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21" s="1"/>
  <c r="C16" i="22"/>
  <c r="C10" i="17"/>
  <c r="C12" s="1"/>
  <c r="D48" i="14" s="1"/>
  <c r="C56" i="22"/>
  <c r="C58" s="1"/>
  <c r="D44" i="14" s="1"/>
  <c r="D46" s="1"/>
  <c r="C17" i="49"/>
  <c r="N55" i="14"/>
  <c r="O13"/>
  <c r="O15" s="1"/>
  <c r="K13"/>
  <c r="E31" i="48"/>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R13" i="14"/>
  <c r="R15" s="1"/>
  <c r="F25" i="48"/>
  <c r="F31" s="1"/>
  <c r="F14"/>
  <c r="D41" i="14" l="1"/>
  <c r="D53" s="1"/>
  <c r="D55" s="1"/>
  <c r="C22" i="48"/>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<sst xmlns="http://schemas.openxmlformats.org/spreadsheetml/2006/main" count="2164" uniqueCount="885">
  <si>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</si>
  <si>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</si>
  <si>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</si>
  <si>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</si>
  <si>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</si>
  <si>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</si>
  <si>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</si>
  <si>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</si>
  <si>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</si>
  <si>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</si>
  <si>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</si>
  <si>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</si>
  <si>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</si>
  <si>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</si>
  <si>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</si>
  <si>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</si>
  <si>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</si>
  <si>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</si>
  <si>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</si>
  <si>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</si>
  <si>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</si>
  <si>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</si>
  <si>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</si>
  <si>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</si>
  <si>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</si>
  <si>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</si>
  <si>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</si>
  <si>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</si>
  <si>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</si>
  <si>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</si>
  <si>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</si>
  <si>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</si>
  <si>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</si>
  <si>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</si>
  <si>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</si>
  <si>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</si>
  <si>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</si>
  <si>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</si>
  <si>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</si>
  <si>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</si>
  <si>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</si>
  <si>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</si>
  <si>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</si>
  <si>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</si>
  <si>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</si>
  <si>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</si>
  <si>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</si>
  <si>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</si>
  <si>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</si>
  <si>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</si>
  <si>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</si>
  <si>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</si>
  <si>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</si>
  <si>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</si>
  <si>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</si>
  <si>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</si>
  <si>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</si>
  <si>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</si>
  <si>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</si>
  <si>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</si>
  <si>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</si>
  <si>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</si>
  <si>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</si>
  <si>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</si>
  <si>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</si>
  <si>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</si>
  <si>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</si>
  <si>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</si>
  <si>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</si>
  <si>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</si>
  <si>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</si>
  <si>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</si>
  <si>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</si>
  <si>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</si>
  <si>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</si>
  <si>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</si>
  <si>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</si>
  <si>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</si>
  <si>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</si>
  <si>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</si>
  <si>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</si>
  <si>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</si>
  <si>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</si>
  <si>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</si>
  <si>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</si>
  <si>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</si>
  <si>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</si>
  <si>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</si>
  <si>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</si>
  <si>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</si>
  <si>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</si>
  <si>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</si>
  <si>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</si>
  <si>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</si>
  <si>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</si>
  <si>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</si>
  <si>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</si>
  <si>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</si>
  <si>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</si>
  <si>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</si>
  <si>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</si>
  <si>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</si>
  <si>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</si>
  <si>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</si>
  <si>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</si>
  <si>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</si>
  <si>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</si>
  <si>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</si>
  <si>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</si>
  <si>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</si>
  <si>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</si>
  <si>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</si>
  <si>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</si>
  <si>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</si>
  <si>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</si>
  <si>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</si>
  <si>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</si>
  <si>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</si>
  <si>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</si>
  <si>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</si>
  <si>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</si>
  <si>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</si>
  <si>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</si>
  <si>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</si>
  <si>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</si>
  <si>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</si>
  <si>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</si>
  <si>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</si>
  <si>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</si>
  <si>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</si>
  <si>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</si>
  <si>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</si>
  <si>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</si>
  <si>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</si>
  <si>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</si>
  <si>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</si>
  <si>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</si>
  <si>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</si>
  <si>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</si>
  <si>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</si>
  <si>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</si>
  <si>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</si>
  <si>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</si>
  <si>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</si>
  <si>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</si>
  <si>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</si>
  <si>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</si>
  <si>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</si>
  <si>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</si>
  <si>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</si>
  <si>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</si>
  <si>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</si>
  <si>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</si>
  <si>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</si>
  <si>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</si>
  <si>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</si>
  <si>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</si>
  <si>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</si>
  <si>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</si>
  <si>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</si>
  <si>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</si>
  <si>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</si>
  <si>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</si>
  <si>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</si>
  <si>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</si>
  <si>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</si>
  <si>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</si>
  <si>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</si>
  <si>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</si>
  <si>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</si>
  <si>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</si>
  <si>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</si>
  <si>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</si>
  <si>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</si>
  <si>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</si>
  <si>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</si>
  <si>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</si>
  <si>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</si>
  <si>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</si>
  <si>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</si>
  <si>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</si>
  <si>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</si>
  <si>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</si>
  <si>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</si>
  <si>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</si>
  <si>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</si>
  <si>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</si>
  <si>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</si>
  <si>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</si>
  <si>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</si>
  <si>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</si>
  <si>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</si>
  <si>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</si>
  <si>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</si>
  <si>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</si>
  <si>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</si>
  <si>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</si>
  <si>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</si>
  <si>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</si>
  <si>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</si>
  <si>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</si>
  <si>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</si>
  <si>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</si>
  <si>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</si>
  <si>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</si>
  <si>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</si>
  <si>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</si>
  <si>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</si>
  <si>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</si>
  <si>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</si>
  <si>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</si>
  <si>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</si>
  <si>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</si>
  <si>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</si>
  <si>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</si>
  <si>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</si>
  <si>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</si>
  <si>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</si>
  <si>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</si>
  <si>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</si>
  <si>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</si>
  <si>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</si>
  <si>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</si>
  <si>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</si>
  <si>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</si>
  <si>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</si>
  <si>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</si>
  <si>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</si>
  <si>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</si>
  <si>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</si>
  <si>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</si>
  <si>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</si>
  <si>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</si>
  <si>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</si>
  <si>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</si>
  <si>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</si>
  <si>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</si>
  <si>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</si>
  <si>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</si>
  <si>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</si>
  <si>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</si>
  <si>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</si>
  <si>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</si>
  <si>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</si>
  <si>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</si>
  <si>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</si>
  <si>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</si>
  <si>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</si>
  <si>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</si>
  <si>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</si>
  <si>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</si>
  <si>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</si>
  <si>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</si>
  <si>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</si>
  <si>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</si>
  <si>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</si>
  <si>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</si>
  <si>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</si>
  <si>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</si>
  <si>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</si>
  <si>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</si>
  <si>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</si>
  <si>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</si>
  <si>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</si>
  <si>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</si>
  <si>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</si>
  <si>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</si>
  <si>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</si>
  <si>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</si>
  <si>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</si>
  <si>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</si>
  <si>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</si>
  <si>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</si>
  <si>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</si>
  <si>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</si>
  <si>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</si>
  <si>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</si>
  <si>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</si>
  <si>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</si>
  <si>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</si>
  <si>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</si>
  <si>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</si>
  <si>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</si>
  <si>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</si>
  <si>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</si>
  <si>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</si>
  <si>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</si>
  <si>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</si>
  <si>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</si>
  <si>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</si>
  <si>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</si>
  <si>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</si>
  <si>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</si>
  <si>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</si>
  <si>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</si>
  <si>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</si>
  <si>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</si>
  <si>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</si>
  <si>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</si>
  <si>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</si>
  <si>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</si>
  <si>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</si>
  <si>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</si>
  <si>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</si>
  <si>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</si>
  <si>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</si>
  <si>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</si>
  <si>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</si>
  <si>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</si>
  <si>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</si>
  <si>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</si>
  <si>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</si>
  <si>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</si>
  <si>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</si>
  <si>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</si>
  <si>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</si>
  <si>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</si>
  <si>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</si>
  <si>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</si>
  <si>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</si>
  <si>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</si>
  <si>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</si>
  <si>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</si>
  <si>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</si>
  <si>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</si>
  <si>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</si>
  <si>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</si>
  <si>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</si>
  <si>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</si>
  <si>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</si>
  <si>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</si>
  <si>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</si>
  <si>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</si>
  <si>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</si>
  <si>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</si>
  <si>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</si>
  <si>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</si>
  <si>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</si>
  <si>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</si>
  <si>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</si>
  <si>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</si>
  <si>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</si>
  <si>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</si>
  <si>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</si>
  <si>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</si>
  <si>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</si>
  <si>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</si>
  <si>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</si>
  <si>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</si>
  <si>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</si>
  <si>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</si>
  <si>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</si>
  <si>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</si>
  <si>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</si>
  <si>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</si>
  <si>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</si>
  <si>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</si>
  <si>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</si>
  <si>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</si>
  <si>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</si>
  <si>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</si>
  <si>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</si>
  <si>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</si>
  <si>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</si>
  <si>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</si>
  <si>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</si>
  <si>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</si>
  <si>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</si>
  <si>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</si>
  <si>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</si>
  <si>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</si>
  <si>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</si>
  <si>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</si>
  <si>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</si>
  <si>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</si>
  <si>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</si>
  <si>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</si>
  <si>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</si>
  <si>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</si>
  <si>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</si>
  <si>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</si>
  <si>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</si>
  <si>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</si>
  <si>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</si>
  <si>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</si>
  <si>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</si>
  <si>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</si>
  <si>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</si>
  <si>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</si>
  <si>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</si>
  <si>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</si>
  <si>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</si>
  <si>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</si>
  <si>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</si>
  <si>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</si>
  <si>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</si>
  <si>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</si>
  <si>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</si>
  <si>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</si>
  <si>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</si>
  <si>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</si>
  <si>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</si>
  <si>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</si>
  <si>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</si>
  <si>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</si>
  <si>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</si>
  <si>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</si>
  <si>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</si>
  <si>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</si>
  <si>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</si>
  <si>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</si>
  <si>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</si>
  <si>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</si>
  <si>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</si>
  <si>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</si>
  <si>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</si>
  <si>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</si>
  <si>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</si>
  <si>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</si>
  <si>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</si>
  <si>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</si>
  <si>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</si>
  <si>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</si>
  <si>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</si>
  <si>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</si>
  <si>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</si>
  <si>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</si>
  <si>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</si>
  <si>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</si>
  <si>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</si>
  <si>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</si>
  <si>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</si>
  <si>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</si>
  <si>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</si>
  <si>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</si>
  <si>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</si>
  <si>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</si>
  <si>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</si>
  <si>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</si>
  <si>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</si>
  <si>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</si>
  <si>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</si>
  <si>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</si>
  <si>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</si>
  <si>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</si>
  <si>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</si>
  <si>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</si>
  <si>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</si>
  <si>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</si>
  <si>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</si>
  <si>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</si>
  <si>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</si>
  <si>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</si>
  <si>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</si>
  <si>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</si>
  <si>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</si>
  <si>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</si>
  <si>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</si>
  <si>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</si>
  <si>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</si>
  <si>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</si>
  <si>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</si>
  <si>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</si>
  <si>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</si>
  <si>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</si>
  <si>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</si>
  <si>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</si>
  <si>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</si>
  <si>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</si>
  <si>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</si>
  <si>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</si>
  <si>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</si>
  <si>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</si>
  <si>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</si>
  <si>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</si>
  <si>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</si>
  <si>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</si>
  <si>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</si>
  <si>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</si>
  <si>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</si>
  <si>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</si>
  <si>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</si>
  <si>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</si>
  <si>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</si>
  <si>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</si>
  <si>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</si>
  <si>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</si>
  <si>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</si>
  <si>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</si>
  <si>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</si>
  <si>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</si>
  <si>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</si>
  <si>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</si>
  <si>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</si>
  <si>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</si>
  <si>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</si>
  <si>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</si>
  <si>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</si>
  <si>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</si>
  <si>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</si>
  <si>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</si>
  <si>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</si>
  <si>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</si>
  <si>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</si>
  <si>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</si>
  <si>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</si>
  <si>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</si>
  <si>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</si>
  <si>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</si>
  <si>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</si>
  <si>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</si>
  <si>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</si>
  <si>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</si>
  <si>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</si>
  <si>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</si>
  <si>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</si>
  <si>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</si>
  <si>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</si>
  <si>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</si>
  <si>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</si>
  <si>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</si>
  <si>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</si>
  <si>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</si>
  <si>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</si>
  <si>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</si>
  <si>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</si>
  <si>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</si>
  <si>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</si>
  <si>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</si>
  <si>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</si>
  <si>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</si>
  <si>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</si>
  <si>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</si>
  <si>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</si>
  <si>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</si>
  <si>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</si>
  <si>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</si>
  <si>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</si>
  <si>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</si>
  <si>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</si>
  <si>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</si>
  <si>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</si>
  <si>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</si>
  <si>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</si>
  <si>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</si>
  <si>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</si>
  <si>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</si>
  <si>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</si>
  <si>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</si>
  <si>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</si>
  <si>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</si>
  <si>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</si>
  <si>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</si>
  <si>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</si>
  <si>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</si>
  <si>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</si>
  <si>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</si>
  <si>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</si>
  <si>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</si>
  <si>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</si>
  <si>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</si>
  <si>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</si>
  <si>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</si>
  <si>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</si>
  <si>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</si>
  <si>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</si>
  <si>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</si>
  <si>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</si>
  <si>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</si>
  <si>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</si>
  <si>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</si>
  <si>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</si>
  <si>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</si>
  <si>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</si>
  <si>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</si>
  <si>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</si>
  <si>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</si>
  <si>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</si>
  <si>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</si>
  <si>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</si>
  <si>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</si>
  <si>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</si>
  <si>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</si>
  <si>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</si>
  <si>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</si>
  <si>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</si>
  <si>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</si>
  <si>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</si>
  <si>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</si>
  <si>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</si>
  <si>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</si>
  <si>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</si>
  <si>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</si>
  <si>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</si>
  <si>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</si>
  <si>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</si>
  <si>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</si>
  <si>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</si>
  <si>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</si>
  <si>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</si>
  <si>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</si>
  <si>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</si>
  <si>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</si>
  <si>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</si>
  <si>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</si>
  <si>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</si>
  <si>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</si>
  <si>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</si>
  <si>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</si>
  <si>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</si>
  <si>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</si>
  <si>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</si>
  <si>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</si>
  <si>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</si>
  <si>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</si>
  <si>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</si>
  <si>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</si>
  <si>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</si>
  <si>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</si>
  <si>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</si>
  <si>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</si>
  <si>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</si>
  <si>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</si>
  <si>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</si>
  <si>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</si>
  <si>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</si>
  <si>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</si>
  <si>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</si>
  <si>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</si>
  <si>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</si>
  <si>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</si>
  <si>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</si>
  <si>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</si>
  <si>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</si>
  <si>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</si>
  <si>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</si>
  <si>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</si>
  <si>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</si>
  <si>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</si>
  <si>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</si>
  <si>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</si>
  <si>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</si>
  <si>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</si>
  <si>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</si>
  <si>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</si>
  <si>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</si>
  <si>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</si>
  <si>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</si>
  <si>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</si>
  <si>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</si>
  <si>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</si>
  <si>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</si>
  <si>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</si>
  <si>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</si>
  <si>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</si>
  <si>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</si>
  <si>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</si>
  <si>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</si>
  <si>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</si>
  <si>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</si>
  <si>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</si>
  <si>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</si>
  <si>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</si>
  <si>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</si>
  <si>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</si>
  <si>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</si>
  <si>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</si>
  <si>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</si>
  <si>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</si>
  <si>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</si>
  <si>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</si>
  <si>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</si>
  <si>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</si>
  <si>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</si>
  <si>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</si>
  <si>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</si>
  <si>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</si>
  <si>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</si>
  <si>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</si>
  <si>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</si>
  <si>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</si>
  <si>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</si>
  <si>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</si>
  <si>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</si>
  <si>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</si>
  <si>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</si>
  <si>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</si>
  <si>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</si>
  <si>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</si>
  <si>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</si>
  <si>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</si>
  <si>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</si>
  <si>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</si>
  <si>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</si>
  <si>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</si>
  <si>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</si>
  <si>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</si>
  <si>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</si>
  <si>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</si>
  <si>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</si>
  <si>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</si>
  <si>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</si>
  <si>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</si>
  <si>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</si>
  <si>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</si>
  <si>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</si>
  <si>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</si>
  <si>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</si>
  <si>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</si>
  <si>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</si>
  <si>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</si>
  <si>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</si>
  <si>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</si>
  <si>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</si>
  <si>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</si>
  <si>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</si>
  <si>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</si>
  <si>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</si>
  <si>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</si>
  <si>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</si>
  <si>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</si>
  <si>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</si>
  <si>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</si>
  <si>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</si>
  <si>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</si>
  <si>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</si>
  <si>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</si>
  <si>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</si>
  <si>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</si>
  <si>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</si>
  <si>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</si>
  <si>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</si>
  <si>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</si>
  <si>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</si>
  <si>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</si>
  <si>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</si>
  <si>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</si>
  <si>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</si>
  <si>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</si>
  <si>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</si>
  <si>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</si>
  <si>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</si>
  <si>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</si>
  <si>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</si>
  <si>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</si>
  <si>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</si>
  <si>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</si>
  <si>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</si>
  <si>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</si>
  <si>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</si>
  <si>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</si>
  <si>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</si>
  <si>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</si>
  <si>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</si>
  <si>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</si>
  <si>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</si>
  <si>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</si>
  <si>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</si>
  <si>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</si>
  <si>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</si>
  <si>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</si>
  <si>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</si>
  <si>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</si>
  <si>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</si>
  <si>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</si>
  <si>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</si>
  <si>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</si>
  <si>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</si>
  <si>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</si>
  <si>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</si>
  <si>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</si>
  <si>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</si>
  <si>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</si>
  <si>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</si>
  <si>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</si>
  <si>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</si>
  <si>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</si>
  <si>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</si>
  <si>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</si>
  <si>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</si>
  <si>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</si>
  <si>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</si>
  <si>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</si>
  <si>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</si>
  <si>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</si>
  <si>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</si>
  <si>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</si>
  <si>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</si>
  <si>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</si>
  <si>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</si>
  <si>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</si>
  <si>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</si>
  <si>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</si>
  <si>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</si>
  <si>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</si>
  <si>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</si>
  <si>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</si>
  <si>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</si>
  <si>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</si>
  <si>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</si>
  <si>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</si>
  <si>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</si>
  <si>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</si>
  <si>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</si>
  <si>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</si>
  <si>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</si>
  <si>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</si>
  <si>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</si>
  <si>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</si>
  <si>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</si>
  <si>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</si>
  <si>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</si>
  <si>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</si>
  <si>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</si>
  <si>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</si>
  <si>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</si>
  <si>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</si>
  <si>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</si>
  <si>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</si>
  <si>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</si>
  <si>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</si>
  <si>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</si>
  <si>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</si>
  <si>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</si>
  <si>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</si>
  <si>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</si>
  <si>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</si>
  <si>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</si>
  <si>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</si>
  <si>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</si>
  <si>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</si>
  <si>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</si>
  <si>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</si>
  <si>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</si>
  <si>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</si>
  <si>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</si>
  <si>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</si>
  <si>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</si>
  <si>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</si>
  <si>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</si>
  <si>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</si>
  <si>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</si>
  <si>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</si>
  <si>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</si>
  <si>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</si>
  <si>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</si>
  <si>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</si>
  <si>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</si>
  <si>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</si>
  <si>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</si>
  <si>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</si>
  <si>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</si>
  <si>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</si>
  <si>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</si>
  <si>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</si>
  <si>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</si>
  <si>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</si>
  <si>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</si>
  <si>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</si>
  <si>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</si>
  <si>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</si>
  <si>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</si>
  <si>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</si>
  <si>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44011</t>
  </si>
  <si>
    <t>DEINZE</t>
  </si>
  <si>
    <t>Paarden&amp;pony's 200 - 600 kg</t>
  </si>
  <si>
    <t>Paarden&amp;pony's &lt; 200 kg</t>
  </si>
  <si>
    <t>referentietaak LNE (2017); Jaarverslag De Lijn (2014)</t>
  </si>
  <si>
    <t>op basis van VEA (maart 2018) en Inventaris Hernieuwbare Energiebronnen (juni 2018)</t>
  </si>
  <si>
    <t>VEA (maart 2016)</t>
  </si>
  <si>
    <t>VEA (juni 2018)</t>
  </si>
  <si>
    <t>Patoma bvba</t>
  </si>
  <si>
    <t>Wierookstraat 2 , 9800 Deinze</t>
  </si>
  <si>
    <t>WKK-0184 Patoma</t>
  </si>
  <si>
    <t>interne verbrandingsmotor</t>
  </si>
  <si>
    <t>WKK interne verbrandinsgmotor (gas)</t>
  </si>
  <si>
    <t>GASELWEST</t>
  </si>
  <si>
    <t>VC Energy bvba</t>
  </si>
  <si>
    <t>Moerstraat 30 , 9800 Deinze</t>
  </si>
  <si>
    <t>WKK-0219 VC Energy</t>
  </si>
  <si>
    <t>aftap-condensatiestoomturbine</t>
  </si>
  <si>
    <t>Stokstormproject ESV</t>
  </si>
  <si>
    <t>Stokstormestraat 14 , 9800 Deinze</t>
  </si>
  <si>
    <t>WKK-0408 Het Groene Huis - Tomato Masters</t>
  </si>
  <si>
    <t>Stokstormestraat 14 a, 9800 Deinze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</si>
</sst>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215021.81825805447</c:v>
                </c:pt>
                <c:pt idx="1">
                  <c:v>109193.73030986864</c:v>
                </c:pt>
                <c:pt idx="2">
                  <c:v>2561.0770000000002</c:v>
                </c:pt>
                <c:pt idx="3">
                  <c:v>113819.86269573167</c:v>
                </c:pt>
                <c:pt idx="4">
                  <c:v>302408.27591609053</c:v>
                </c:pt>
                <c:pt idx="5">
                  <c:v>149246.20235026634</c:v>
                </c:pt>
                <c:pt idx="6">
                  <c:v>2119.6665660801864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215021.81825805447</c:v>
                </c:pt>
                <c:pt idx="1">
                  <c:v>109193.73030986864</c:v>
                </c:pt>
                <c:pt idx="2">
                  <c:v>2561.0770000000002</c:v>
                </c:pt>
                <c:pt idx="3">
                  <c:v>113819.86269573167</c:v>
                </c:pt>
                <c:pt idx="4">
                  <c:v>302408.27591609053</c:v>
                </c:pt>
                <c:pt idx="5">
                  <c:v>149246.20235026634</c:v>
                </c:pt>
                <c:pt idx="6">
                  <c:v>2119.6665660801864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40818.641498273355</c:v>
                </c:pt>
                <c:pt idx="1">
                  <c:v>20997.546562602347</c:v>
                </c:pt>
                <c:pt idx="2">
                  <c:v>474.87449695078078</c:v>
                </c:pt>
                <c:pt idx="3">
                  <c:v>18660.160858193089</c:v>
                </c:pt>
                <c:pt idx="4">
                  <c:v>60197.031741153856</c:v>
                </c:pt>
                <c:pt idx="5">
                  <c:v>37407.500208808204</c:v>
                </c:pt>
                <c:pt idx="6">
                  <c:v>535.41766456034122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16416"/>
        <c:axId val="180420608"/>
      </c:barChart>
      <c:catAx>
        <c:axId val="180316416"/>
        <c:scaling>
          <c:orientation val="minMax"/>
        </c:scaling>
        <c:axPos val="b"/>
        <c:numFmt formatCode="General" sourceLinked="0"/>
        <c:tickLblPos val="nextTo"/>
        <c:crossAx val="180420608"/>
        <c:crosses val="autoZero"/>
        <c:auto val="1"/>
        <c:lblAlgn val="ctr"/>
        <c:lblOffset val="100"/>
      </c:catAx>
      <c:valAx>
        <c:axId val="180420608"/>
        <c:scaling>
          <c:orientation val="minMax"/>
        </c:scaling>
        <c:axPos val="l"/>
        <c:majorGridlines/>
        <c:numFmt formatCode="#,##0" sourceLinked="1"/>
        <c:tickLblPos val="nextTo"/>
        <c:crossAx val="180316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40818.641498273355</c:v>
                </c:pt>
                <c:pt idx="1">
                  <c:v>20997.546562602347</c:v>
                </c:pt>
                <c:pt idx="2">
                  <c:v>474.87449695078078</c:v>
                </c:pt>
                <c:pt idx="3">
                  <c:v>18660.160858193089</c:v>
                </c:pt>
                <c:pt idx="4">
                  <c:v>60197.031741153856</c:v>
                </c:pt>
                <c:pt idx="5">
                  <c:v>37407.500208808204</c:v>
                </c:pt>
                <c:pt idx="6">
                  <c:v>535.41766456034122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44011</v>
      </c>
      <c r="B6" s="416"/>
      <c r="C6" s="417"/>
    </row>
    <row r="7" spans="1:7" s="414" customFormat="1" ht="15.75" customHeight="1">
      <c r="A7" s="418" t="str">
        <f>txtMunicipality</f>
        <v>DEINZE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12558</v>
      </c>
      <c r="C9" s="342">
        <v>13481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4604</v>
      </c>
    </row>
    <row r="15" spans="1:6">
      <c r="A15" s="348" t="s">
        <v>184</v>
      </c>
      <c r="B15" s="334">
        <v>63</v>
      </c>
    </row>
    <row r="16" spans="1:6">
      <c r="A16" s="348" t="s">
        <v>6</v>
      </c>
      <c r="B16" s="334">
        <v>2296</v>
      </c>
    </row>
    <row r="17" spans="1:6">
      <c r="A17" s="348" t="s">
        <v>7</v>
      </c>
      <c r="B17" s="334">
        <v>1826</v>
      </c>
    </row>
    <row r="18" spans="1:6">
      <c r="A18" s="348" t="s">
        <v>8</v>
      </c>
      <c r="B18" s="334">
        <v>2701</v>
      </c>
    </row>
    <row r="19" spans="1:6">
      <c r="A19" s="348" t="s">
        <v>9</v>
      </c>
      <c r="B19" s="334">
        <v>2376</v>
      </c>
    </row>
    <row r="20" spans="1:6">
      <c r="A20" s="348" t="s">
        <v>10</v>
      </c>
      <c r="B20" s="334">
        <v>1563</v>
      </c>
    </row>
    <row r="21" spans="1:6">
      <c r="A21" s="348" t="s">
        <v>11</v>
      </c>
      <c r="B21" s="334">
        <v>7855</v>
      </c>
    </row>
    <row r="22" spans="1:6">
      <c r="A22" s="348" t="s">
        <v>12</v>
      </c>
      <c r="B22" s="334">
        <v>38279</v>
      </c>
    </row>
    <row r="23" spans="1:6">
      <c r="A23" s="348" t="s">
        <v>13</v>
      </c>
      <c r="B23" s="334">
        <v>354</v>
      </c>
    </row>
    <row r="24" spans="1:6">
      <c r="A24" s="348" t="s">
        <v>14</v>
      </c>
      <c r="B24" s="334">
        <v>21</v>
      </c>
    </row>
    <row r="25" spans="1:6">
      <c r="A25" s="348" t="s">
        <v>15</v>
      </c>
      <c r="B25" s="334">
        <v>2238</v>
      </c>
    </row>
    <row r="26" spans="1:6">
      <c r="A26" s="348" t="s">
        <v>16</v>
      </c>
      <c r="B26" s="334">
        <v>241</v>
      </c>
    </row>
    <row r="27" spans="1:6">
      <c r="A27" s="348" t="s">
        <v>17</v>
      </c>
      <c r="B27" s="334">
        <v>2</v>
      </c>
    </row>
    <row r="28" spans="1:6" s="356" customFormat="1">
      <c r="A28" s="355" t="s">
        <v>18</v>
      </c>
      <c r="B28" s="355">
        <v>321168</v>
      </c>
    </row>
    <row r="29" spans="1:6">
      <c r="A29" s="355" t="s">
        <v>865</v>
      </c>
      <c r="B29" s="355">
        <v>188</v>
      </c>
      <c r="C29" s="356"/>
      <c r="D29" s="356"/>
      <c r="E29" s="356"/>
      <c r="F29" s="356"/>
    </row>
    <row r="30" spans="1:6">
      <c r="A30" s="341" t="s">
        <v>866</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87736.82</v>
      </c>
    </row>
    <row r="36" spans="1:6">
      <c r="A36" s="348" t="s">
        <v>25</v>
      </c>
      <c r="B36" s="348" t="s">
        <v>27</v>
      </c>
      <c r="C36" s="334">
        <v>0</v>
      </c>
      <c r="D36" s="334">
        <v>0</v>
      </c>
      <c r="E36" s="334">
        <v>8</v>
      </c>
      <c r="F36" s="334">
        <v>515123.3</v>
      </c>
    </row>
    <row r="37" spans="1:6">
      <c r="A37" s="348" t="s">
        <v>25</v>
      </c>
      <c r="B37" s="348" t="s">
        <v>28</v>
      </c>
      <c r="C37" s="334">
        <v>0</v>
      </c>
      <c r="D37" s="334">
        <v>0</v>
      </c>
      <c r="E37" s="334">
        <v>0</v>
      </c>
      <c r="F37" s="334">
        <v>0</v>
      </c>
    </row>
    <row r="38" spans="1:6">
      <c r="A38" s="348" t="s">
        <v>25</v>
      </c>
      <c r="B38" s="348" t="s">
        <v>29</v>
      </c>
      <c r="C38" s="334">
        <v>1</v>
      </c>
      <c r="D38" s="334">
        <v>103059080.23899999</v>
      </c>
      <c r="E38" s="334">
        <v>2</v>
      </c>
      <c r="F38" s="334">
        <v>3332.982</v>
      </c>
    </row>
    <row r="39" spans="1:6">
      <c r="A39" s="348" t="s">
        <v>30</v>
      </c>
      <c r="B39" s="348" t="s">
        <v>31</v>
      </c>
      <c r="C39" s="334">
        <v>7003</v>
      </c>
      <c r="D39" s="334">
        <v>93448348.407220393</v>
      </c>
      <c r="E39" s="334">
        <v>12288</v>
      </c>
      <c r="F39" s="334">
        <v>52940994</v>
      </c>
    </row>
    <row r="40" spans="1:6">
      <c r="A40" s="348" t="s">
        <v>30</v>
      </c>
      <c r="B40" s="348" t="s">
        <v>29</v>
      </c>
      <c r="C40" s="334">
        <v>0</v>
      </c>
      <c r="D40" s="334">
        <v>0</v>
      </c>
      <c r="E40" s="334">
        <v>0</v>
      </c>
      <c r="F40" s="334">
        <v>0</v>
      </c>
    </row>
    <row r="41" spans="1:6">
      <c r="A41" s="348" t="s">
        <v>32</v>
      </c>
      <c r="B41" s="348" t="s">
        <v>33</v>
      </c>
      <c r="C41" s="334">
        <v>115</v>
      </c>
      <c r="D41" s="334">
        <v>2404835.2041652501</v>
      </c>
      <c r="E41" s="334">
        <v>346</v>
      </c>
      <c r="F41" s="334">
        <v>16127735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144480.33582389099</v>
      </c>
      <c r="E44" s="334">
        <v>24</v>
      </c>
      <c r="F44" s="334">
        <v>3166863</v>
      </c>
    </row>
    <row r="45" spans="1:6">
      <c r="A45" s="348" t="s">
        <v>32</v>
      </c>
      <c r="B45" s="348" t="s">
        <v>37</v>
      </c>
      <c r="C45" s="334">
        <v>3</v>
      </c>
      <c r="D45" s="334">
        <v>104344.60676611299</v>
      </c>
      <c r="E45" s="334">
        <v>11</v>
      </c>
      <c r="F45" s="334">
        <v>2893045</v>
      </c>
    </row>
    <row r="46" spans="1:6">
      <c r="A46" s="348" t="s">
        <v>32</v>
      </c>
      <c r="B46" s="348" t="s">
        <v>38</v>
      </c>
      <c r="C46" s="334">
        <v>0</v>
      </c>
      <c r="D46" s="334">
        <v>0</v>
      </c>
      <c r="E46" s="334">
        <v>0</v>
      </c>
      <c r="F46" s="334">
        <v>0</v>
      </c>
    </row>
    <row r="47" spans="1:6">
      <c r="A47" s="348" t="s">
        <v>32</v>
      </c>
      <c r="B47" s="348" t="s">
        <v>39</v>
      </c>
      <c r="C47" s="334">
        <v>5</v>
      </c>
      <c r="D47" s="334">
        <v>170269.269110336</v>
      </c>
      <c r="E47" s="334">
        <v>11</v>
      </c>
      <c r="F47" s="334">
        <v>1044819</v>
      </c>
    </row>
    <row r="48" spans="1:6">
      <c r="A48" s="348" t="s">
        <v>32</v>
      </c>
      <c r="B48" s="348" t="s">
        <v>29</v>
      </c>
      <c r="C48" s="334">
        <v>39</v>
      </c>
      <c r="D48" s="334">
        <v>64460298.023722403</v>
      </c>
      <c r="E48" s="334">
        <v>48</v>
      </c>
      <c r="F48" s="334">
        <v>7997133.6770000001</v>
      </c>
    </row>
    <row r="49" spans="1:6">
      <c r="A49" s="348" t="s">
        <v>32</v>
      </c>
      <c r="B49" s="348" t="s">
        <v>40</v>
      </c>
      <c r="C49" s="334">
        <v>5</v>
      </c>
      <c r="D49" s="334">
        <v>19651565.116811998</v>
      </c>
      <c r="E49" s="334">
        <v>22</v>
      </c>
      <c r="F49" s="334">
        <v>13113458</v>
      </c>
    </row>
    <row r="50" spans="1:6">
      <c r="A50" s="348" t="s">
        <v>32</v>
      </c>
      <c r="B50" s="348" t="s">
        <v>41</v>
      </c>
      <c r="C50" s="334">
        <v>14</v>
      </c>
      <c r="D50" s="334">
        <v>9350151.1934300009</v>
      </c>
      <c r="E50" s="334">
        <v>44</v>
      </c>
      <c r="F50" s="334">
        <v>41336232</v>
      </c>
    </row>
    <row r="51" spans="1:6">
      <c r="A51" s="348" t="s">
        <v>42</v>
      </c>
      <c r="B51" s="348" t="s">
        <v>43</v>
      </c>
      <c r="C51" s="334">
        <v>10</v>
      </c>
      <c r="D51" s="334">
        <v>215880.20991907999</v>
      </c>
      <c r="E51" s="334">
        <v>196</v>
      </c>
      <c r="F51" s="334">
        <v>4254595</v>
      </c>
    </row>
    <row r="52" spans="1:6">
      <c r="A52" s="348" t="s">
        <v>42</v>
      </c>
      <c r="B52" s="348" t="s">
        <v>29</v>
      </c>
      <c r="C52" s="334">
        <v>5</v>
      </c>
      <c r="D52" s="334">
        <v>26795248.0810665</v>
      </c>
      <c r="E52" s="334">
        <v>8</v>
      </c>
      <c r="F52" s="334">
        <v>214957.9</v>
      </c>
    </row>
    <row r="53" spans="1:6">
      <c r="A53" s="348" t="s">
        <v>44</v>
      </c>
      <c r="B53" s="348" t="s">
        <v>45</v>
      </c>
      <c r="C53" s="334">
        <v>204</v>
      </c>
      <c r="D53" s="334">
        <v>3931592.5521487398</v>
      </c>
      <c r="E53" s="334">
        <v>499</v>
      </c>
      <c r="F53" s="334">
        <v>2174586</v>
      </c>
    </row>
    <row r="54" spans="1:6">
      <c r="A54" s="348" t="s">
        <v>46</v>
      </c>
      <c r="B54" s="348" t="s">
        <v>47</v>
      </c>
      <c r="C54" s="334">
        <v>0</v>
      </c>
      <c r="D54" s="334">
        <v>0</v>
      </c>
      <c r="E54" s="334">
        <v>2</v>
      </c>
      <c r="F54" s="334">
        <v>2561077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107</v>
      </c>
      <c r="D57" s="334">
        <v>10130395.773575099</v>
      </c>
      <c r="E57" s="334">
        <v>189</v>
      </c>
      <c r="F57" s="334">
        <v>4189800</v>
      </c>
    </row>
    <row r="58" spans="1:6">
      <c r="A58" s="348" t="s">
        <v>49</v>
      </c>
      <c r="B58" s="348" t="s">
        <v>51</v>
      </c>
      <c r="C58" s="334">
        <v>73</v>
      </c>
      <c r="D58" s="334">
        <v>10653014.6029703</v>
      </c>
      <c r="E58" s="334">
        <v>109</v>
      </c>
      <c r="F58" s="334">
        <v>6405582</v>
      </c>
    </row>
    <row r="59" spans="1:6">
      <c r="A59" s="348" t="s">
        <v>49</v>
      </c>
      <c r="B59" s="348" t="s">
        <v>52</v>
      </c>
      <c r="C59" s="334">
        <v>224</v>
      </c>
      <c r="D59" s="334">
        <v>8964947.0116717406</v>
      </c>
      <c r="E59" s="334">
        <v>523</v>
      </c>
      <c r="F59" s="334">
        <v>21214772</v>
      </c>
    </row>
    <row r="60" spans="1:6">
      <c r="A60" s="348" t="s">
        <v>49</v>
      </c>
      <c r="B60" s="348" t="s">
        <v>53</v>
      </c>
      <c r="C60" s="334">
        <v>109</v>
      </c>
      <c r="D60" s="334">
        <v>4290495.3958224496</v>
      </c>
      <c r="E60" s="334">
        <v>173</v>
      </c>
      <c r="F60" s="334">
        <v>3984341</v>
      </c>
    </row>
    <row r="61" spans="1:6">
      <c r="A61" s="348" t="s">
        <v>49</v>
      </c>
      <c r="B61" s="348" t="s">
        <v>54</v>
      </c>
      <c r="C61" s="334">
        <v>307</v>
      </c>
      <c r="D61" s="334">
        <v>11842974.3961208</v>
      </c>
      <c r="E61" s="334">
        <v>706</v>
      </c>
      <c r="F61" s="334">
        <v>7427499</v>
      </c>
    </row>
    <row r="62" spans="1:6">
      <c r="A62" s="348" t="s">
        <v>49</v>
      </c>
      <c r="B62" s="348" t="s">
        <v>55</v>
      </c>
      <c r="C62" s="334">
        <v>13</v>
      </c>
      <c r="D62" s="334">
        <v>1637371.96199496</v>
      </c>
      <c r="E62" s="334">
        <v>26</v>
      </c>
      <c r="F62" s="334">
        <v>1203713</v>
      </c>
    </row>
    <row r="63" spans="1:6">
      <c r="A63" s="348" t="s">
        <v>49</v>
      </c>
      <c r="B63" s="348" t="s">
        <v>29</v>
      </c>
      <c r="C63" s="334">
        <v>96</v>
      </c>
      <c r="D63" s="334">
        <v>8408956.6548151597</v>
      </c>
      <c r="E63" s="334">
        <v>99</v>
      </c>
      <c r="F63" s="334">
        <v>3272879</v>
      </c>
    </row>
    <row r="64" spans="1:6">
      <c r="A64" s="348" t="s">
        <v>56</v>
      </c>
      <c r="B64" s="348" t="s">
        <v>57</v>
      </c>
      <c r="C64" s="334">
        <v>0</v>
      </c>
      <c r="D64" s="334">
        <v>0</v>
      </c>
      <c r="E64" s="334">
        <v>0</v>
      </c>
      <c r="F64" s="334">
        <v>0</v>
      </c>
    </row>
    <row r="65" spans="1:6">
      <c r="A65" s="348" t="s">
        <v>56</v>
      </c>
      <c r="B65" s="348" t="s">
        <v>29</v>
      </c>
      <c r="C65" s="334">
        <v>3</v>
      </c>
      <c r="D65" s="334">
        <v>454178.72853557899</v>
      </c>
      <c r="E65" s="334">
        <v>4</v>
      </c>
      <c r="F65" s="334">
        <v>18940.62</v>
      </c>
    </row>
    <row r="66" spans="1:6">
      <c r="A66" s="348" t="s">
        <v>56</v>
      </c>
      <c r="B66" s="348" t="s">
        <v>58</v>
      </c>
      <c r="C66" s="334">
        <v>0</v>
      </c>
      <c r="D66" s="334">
        <v>0</v>
      </c>
      <c r="E66" s="334">
        <v>24</v>
      </c>
      <c r="F66" s="334">
        <v>575486.4</v>
      </c>
    </row>
    <row r="67" spans="1:6">
      <c r="A67" s="355" t="s">
        <v>56</v>
      </c>
      <c r="B67" s="355" t="s">
        <v>59</v>
      </c>
      <c r="C67" s="334">
        <v>0</v>
      </c>
      <c r="D67" s="334">
        <v>0</v>
      </c>
      <c r="E67" s="334">
        <v>0</v>
      </c>
      <c r="F67" s="334">
        <v>0</v>
      </c>
    </row>
    <row r="68" spans="1:6">
      <c r="A68" s="341" t="s">
        <v>56</v>
      </c>
      <c r="B68" s="341" t="s">
        <v>60</v>
      </c>
      <c r="C68" s="334">
        <v>8</v>
      </c>
      <c r="D68" s="334">
        <v>921565.28452585102</v>
      </c>
      <c r="E68" s="334">
        <v>20</v>
      </c>
      <c r="F68" s="334">
        <v>934238.8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126912075</v>
      </c>
      <c r="E73" s="477">
        <v>125412089.49022633</v>
      </c>
    </row>
    <row r="74" spans="1:6">
      <c r="A74" s="348" t="s">
        <v>64</v>
      </c>
      <c r="B74" s="348" t="s">
        <v>714</v>
      </c>
      <c r="C74" s="1288" t="s">
        <v>716</v>
      </c>
      <c r="D74" s="477">
        <v>14387168.243731601</v>
      </c>
      <c r="E74" s="477">
        <v>14189101.587460106</v>
      </c>
    </row>
    <row r="75" spans="1:6">
      <c r="A75" s="348" t="s">
        <v>65</v>
      </c>
      <c r="B75" s="348" t="s">
        <v>713</v>
      </c>
      <c r="C75" s="1288" t="s">
        <v>717</v>
      </c>
      <c r="D75" s="477">
        <v>33243778</v>
      </c>
      <c r="E75" s="477">
        <v>32440603.979780994</v>
      </c>
    </row>
    <row r="76" spans="1:6">
      <c r="A76" s="348" t="s">
        <v>65</v>
      </c>
      <c r="B76" s="348" t="s">
        <v>714</v>
      </c>
      <c r="C76" s="1288" t="s">
        <v>718</v>
      </c>
      <c r="D76" s="477">
        <v>1674757.2437316016</v>
      </c>
      <c r="E76" s="477">
        <v>1605690.0850355516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566425.51253679686</v>
      </c>
      <c r="C83" s="477">
        <v>574704.25658088876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5681.7863717867831</v>
      </c>
    </row>
    <row r="92" spans="1:6">
      <c r="A92" s="341" t="s">
        <v>69</v>
      </c>
      <c r="B92" s="342">
        <v>4357.6872394421434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3409</v>
      </c>
    </row>
    <row r="98" spans="1:6">
      <c r="A98" s="348" t="s">
        <v>72</v>
      </c>
      <c r="B98" s="334">
        <v>2</v>
      </c>
    </row>
    <row r="99" spans="1:6">
      <c r="A99" s="348" t="s">
        <v>73</v>
      </c>
      <c r="B99" s="334">
        <v>265</v>
      </c>
    </row>
    <row r="100" spans="1:6">
      <c r="A100" s="348" t="s">
        <v>74</v>
      </c>
      <c r="B100" s="334">
        <v>1431</v>
      </c>
    </row>
    <row r="101" spans="1:6">
      <c r="A101" s="348" t="s">
        <v>75</v>
      </c>
      <c r="B101" s="334">
        <v>184</v>
      </c>
    </row>
    <row r="102" spans="1:6">
      <c r="A102" s="348" t="s">
        <v>76</v>
      </c>
      <c r="B102" s="334">
        <v>208</v>
      </c>
    </row>
    <row r="103" spans="1:6">
      <c r="A103" s="348" t="s">
        <v>77</v>
      </c>
      <c r="B103" s="334">
        <v>358</v>
      </c>
    </row>
    <row r="104" spans="1:6">
      <c r="A104" s="348" t="s">
        <v>78</v>
      </c>
      <c r="B104" s="334">
        <v>4923</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46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273</v>
      </c>
    </row>
    <row r="130" spans="1:6">
      <c r="A130" s="348" t="s">
        <v>295</v>
      </c>
      <c r="B130" s="334">
        <v>0</v>
      </c>
    </row>
    <row r="131" spans="1:6">
      <c r="A131" s="348" t="s">
        <v>296</v>
      </c>
      <c r="B131" s="334">
        <v>5</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199053.2318723645</v>
      </c>
      <c r="C3" s="43" t="s">
        <v>170</v>
      </c>
      <c r="D3" s="43"/>
      <c r="E3" s="154"/>
      <c r="F3" s="43"/>
      <c r="G3" s="43"/>
      <c r="H3" s="43"/>
      <c r="I3" s="43"/>
      <c r="J3" s="43"/>
      <c r="K3" s="96"/>
    </row>
    <row r="4" spans="1:11">
      <c r="A4" s="384" t="s">
        <v>171</v>
      </c>
      <c r="B4" s="49">
        <f>IF(ISERROR('SEAP template'!B69),0,'SEAP template'!B69)</f>
        <v>78137.973611228925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10186.14705882353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0.18541984366373238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14551.638655462186</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97283.57142857142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0.14957960981260279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2561.0770000000002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2561.0770000000002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0.18541984366373238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474.87449695078078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52940.993999999999</v>
      </c>
      <c r="C5" s="17">
        <f>IF(ISERROR('Eigen informatie GS &amp; warmtenet'!B57),0,'Eigen informatie GS &amp; warmtenet'!B57)</f>
        <v>0</v>
      </c>
      <c r="D5" s="30">
        <f>(SUM(HH_hh_gas_kWh,HH_rest_gas_kWh)/1000)*0.902</f>
        <v>84290.410263312791</v>
      </c>
      <c r="E5" s="17">
        <f>B46*B57</f>
        <v>8039.5200920772359</v>
      </c>
      <c r="F5" s="17">
        <f>B51*B62</f>
        <v>41562.474878324399</v>
      </c>
      <c r="G5" s="18"/>
      <c r="H5" s="17"/>
      <c r="I5" s="17"/>
      <c r="J5" s="17">
        <f>B50*B61+C50*C61</f>
        <v>0</v>
      </c>
      <c r="K5" s="17"/>
      <c r="L5" s="17"/>
      <c r="M5" s="17"/>
      <c r="N5" s="17">
        <f>B48*B59+C48*C59</f>
        <v>21168.995985886602</v>
      </c>
      <c r="O5" s="17">
        <f>B69*B70*B71</f>
        <v>498.70333333333332</v>
      </c>
      <c r="P5" s="17">
        <f>B77*B78*B79/1000-B77*B78*B79/1000/B80</f>
        <v>838.93333333333339</v>
      </c>
    </row>
    <row r="6" spans="1:16">
      <c r="A6" s="16" t="s">
        <v>631</v>
      </c>
      <c r="B6" s="844">
        <f>kWh_PV_kleiner_dan_10kW</f>
        <v>5681.7863717867831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58622.780371786779</v>
      </c>
      <c r="C8" s="21">
        <f>C5</f>
        <v>0</v>
      </c>
      <c r="D8" s="21">
        <f>D5</f>
        <v>84290.410263312791</v>
      </c>
      <c r="E8" s="21">
        <f>E5</f>
        <v>8039.5200920772359</v>
      </c>
      <c r="F8" s="21">
        <f>F5</f>
        <v>41562.474878324399</v>
      </c>
      <c r="G8" s="21"/>
      <c r="H8" s="21"/>
      <c r="I8" s="21"/>
      <c r="J8" s="21">
        <f>J5</f>
        <v>0</v>
      </c>
      <c r="K8" s="21"/>
      <c r="L8" s="21">
        <f>L5</f>
        <v>0</v>
      </c>
      <c r="M8" s="21">
        <f>M5</f>
        <v>0</v>
      </c>
      <c r="N8" s="21">
        <f>N5</f>
        <v>21168.995985886602</v>
      </c>
      <c r="O8" s="21">
        <f>O5</f>
        <v>498.70333333333332</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0.18541984366373238</v>
      </c>
      <c r="C10" s="25">
        <f ca="1">'EF ele_warmte'!B22</f>
        <v>0.14957960981260279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10869.826771670023</v>
      </c>
      <c r="C12" s="23">
        <f ca="1">C10*C8</f>
        <v>0</v>
      </c>
      <c r="D12" s="23">
        <f>D8*D10</f>
        <v>17026.662873189183</v>
      </c>
      <c r="E12" s="23">
        <f>E10*E8</f>
        <v>1824.9710609015326</v>
      </c>
      <c r="F12" s="23">
        <f>F10*F8</f>
        <v>11097.180792512616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3409</v>
      </c>
      <c r="C18" s="166" t="s">
        <v>111</v>
      </c>
      <c r="D18" s="228"/>
      <c r="E18" s="15"/>
    </row>
    <row r="19" spans="1:7">
      <c r="A19" s="171" t="s">
        <v>72</v>
      </c>
      <c r="B19" s="37">
        <f>aantalw2001_ander</f>
        <v>2</v>
      </c>
      <c r="C19" s="166" t="s">
        <v>111</v>
      </c>
      <c r="D19" s="229"/>
      <c r="E19" s="15"/>
    </row>
    <row r="20" spans="1:7">
      <c r="A20" s="171" t="s">
        <v>73</v>
      </c>
      <c r="B20" s="37">
        <f>aantalw2001_propaan</f>
        <v>265</v>
      </c>
      <c r="C20" s="167">
        <f>IF(ISERROR(B20/SUM($B$20,$B$21,$B$22)*100),0,B20/SUM($B$20,$B$21,$B$22)*100)</f>
        <v>14.095744680851062</v>
      </c>
      <c r="D20" s="229"/>
      <c r="E20" s="15"/>
    </row>
    <row r="21" spans="1:7">
      <c r="A21" s="171" t="s">
        <v>74</v>
      </c>
      <c r="B21" s="37">
        <f>aantalw2001_elektriciteit</f>
        <v>1431</v>
      </c>
      <c r="C21" s="167">
        <f>IF(ISERROR(B21/SUM($B$20,$B$21,$B$22)*100),0,B21/SUM($B$20,$B$21,$B$22)*100)</f>
        <v>76.117021276595736</v>
      </c>
      <c r="D21" s="229"/>
      <c r="E21" s="15"/>
    </row>
    <row r="22" spans="1:7">
      <c r="A22" s="171" t="s">
        <v>75</v>
      </c>
      <c r="B22" s="37">
        <f>aantalw2001_hout</f>
        <v>184</v>
      </c>
      <c r="C22" s="167">
        <f>IF(ISERROR(B22/SUM($B$20,$B$21,$B$22)*100),0,B22/SUM($B$20,$B$21,$B$22)*100)</f>
        <v>9.787234042553191</v>
      </c>
      <c r="D22" s="229"/>
      <c r="E22" s="15"/>
    </row>
    <row r="23" spans="1:7">
      <c r="A23" s="171" t="s">
        <v>76</v>
      </c>
      <c r="B23" s="37">
        <f>aantalw2001_niet_gespec</f>
        <v>208</v>
      </c>
      <c r="C23" s="166" t="s">
        <v>111</v>
      </c>
      <c r="D23" s="228"/>
      <c r="E23" s="15"/>
    </row>
    <row r="24" spans="1:7">
      <c r="A24" s="171" t="s">
        <v>77</v>
      </c>
      <c r="B24" s="37">
        <f>aantalw2001_steenkool</f>
        <v>358</v>
      </c>
      <c r="C24" s="166" t="s">
        <v>111</v>
      </c>
      <c r="D24" s="229"/>
      <c r="E24" s="15"/>
    </row>
    <row r="25" spans="1:7">
      <c r="A25" s="171" t="s">
        <v>78</v>
      </c>
      <c r="B25" s="37">
        <f>aantalw2001_stookolie</f>
        <v>4923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12558</v>
      </c>
      <c r="C28" s="36"/>
      <c r="D28" s="228"/>
    </row>
    <row r="29" spans="1:7" s="15" customFormat="1">
      <c r="A29" s="230" t="s">
        <v>741</v>
      </c>
      <c r="B29" s="37">
        <f>SUM(HH_hh_gas_aantal,HH_rest_gas_aantal)</f>
        <v>7003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7003</v>
      </c>
      <c r="C32" s="167">
        <f>IF(ISERROR(B32/SUM($B$32,$B$34,$B$35,$B$36,$B$38,$B$39)*100),0,B32/SUM($B$32,$B$34,$B$35,$B$36,$B$38,$B$39)*100)</f>
        <v>55.961323317883974</v>
      </c>
      <c r="D32" s="233"/>
      <c r="G32" s="15"/>
    </row>
    <row r="33" spans="1:7">
      <c r="A33" s="171" t="s">
        <v>72</v>
      </c>
      <c r="B33" s="34" t="s">
        <v>111</v>
      </c>
      <c r="C33" s="167"/>
      <c r="D33" s="233"/>
      <c r="G33" s="15"/>
    </row>
    <row r="34" spans="1:7">
      <c r="A34" s="171" t="s">
        <v>73</v>
      </c>
      <c r="B34" s="33">
        <f>IF((($B$28-$B$32-$B$39-$B$77-$B$38)*C20/100)&lt;0,0,($B$28-$B$32-$B$39-$B$77-$B$38)*C20/100)</f>
        <v>538.82393617021273</v>
      </c>
      <c r="C34" s="167">
        <f>IF(ISERROR(B34/SUM($B$32,$B$34,$B$35,$B$36,$B$38,$B$39)*100),0,B34/SUM($B$32,$B$34,$B$35,$B$36,$B$38,$B$39)*100)</f>
        <v>4.3057690280502854</v>
      </c>
      <c r="D34" s="233"/>
      <c r="G34" s="15"/>
    </row>
    <row r="35" spans="1:7">
      <c r="A35" s="171" t="s">
        <v>74</v>
      </c>
      <c r="B35" s="33">
        <f>IF((($B$28-$B$32-$B$39-$B$77-$B$38)*C21/100)&lt;0,0,($B$28-$B$32-$B$39-$B$77-$B$38)*C21/100)</f>
        <v>2909.6492553191488</v>
      </c>
      <c r="C35" s="167">
        <f>IF(ISERROR(B35/SUM($B$32,$B$34,$B$35,$B$36,$B$38,$B$39)*100),0,B35/SUM($B$32,$B$34,$B$35,$B$36,$B$38,$B$39)*100)</f>
        <v>23.251152751471544</v>
      </c>
      <c r="D35" s="233"/>
      <c r="G35" s="15"/>
    </row>
    <row r="36" spans="1:7">
      <c r="A36" s="171" t="s">
        <v>75</v>
      </c>
      <c r="B36" s="33">
        <f>IF((($B$28-$B$32-$B$39-$B$77-$B$38)*C22/100)&lt;0,0,($B$28-$B$32-$B$39-$B$77-$B$38)*C22/100)</f>
        <v>374.12680851063828</v>
      </c>
      <c r="C36" s="167">
        <f>IF(ISERROR(B36/SUM($B$32,$B$34,$B$35,$B$36,$B$38,$B$39)*100),0,B36/SUM($B$32,$B$34,$B$35,$B$36,$B$38,$B$39)*100)</f>
        <v>2.9896660421179342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1688.4</v>
      </c>
      <c r="C39" s="167">
        <f>IF(ISERROR(B39/SUM($B$32,$B$34,$B$35,$B$36,$B$38,$B$39)*100),0,B39/SUM($B$32,$B$34,$B$35,$B$36,$B$38,$B$39)*100)</f>
        <v>13.492088860476267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7003</v>
      </c>
      <c r="C44" s="34" t="s">
        <v>111</v>
      </c>
      <c r="D44" s="174"/>
    </row>
    <row r="45" spans="1:7">
      <c r="A45" s="171" t="s">
        <v>72</v>
      </c>
      <c r="B45" s="33" t="str">
        <f t="shared" si="0"/>
        <v>-</v>
      </c>
      <c r="C45" s="34" t="s">
        <v>111</v>
      </c>
      <c r="D45" s="174"/>
    </row>
    <row r="46" spans="1:7">
      <c r="A46" s="171" t="s">
        <v>73</v>
      </c>
      <c r="B46" s="33">
        <f t="shared" si="0"/>
        <v>538.82393617021273</v>
      </c>
      <c r="C46" s="34" t="s">
        <v>111</v>
      </c>
      <c r="D46" s="174"/>
    </row>
    <row r="47" spans="1:7">
      <c r="A47" s="171" t="s">
        <v>74</v>
      </c>
      <c r="B47" s="33">
        <f t="shared" si="0"/>
        <v>2909.6492553191488</v>
      </c>
      <c r="C47" s="34" t="s">
        <v>111</v>
      </c>
      <c r="D47" s="174"/>
    </row>
    <row r="48" spans="1:7">
      <c r="A48" s="171" t="s">
        <v>75</v>
      </c>
      <c r="B48" s="33">
        <f t="shared" si="0"/>
        <v>374.12680851063828</v>
      </c>
      <c r="C48" s="33">
        <f>B48*10</f>
        <v>3741.2680851063828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1688.4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47698.58600000001</v>
      </c>
      <c r="C5" s="17">
        <f>IF(ISERROR('Eigen informatie GS &amp; warmtenet'!B58),0,'Eigen informatie GS &amp; warmtenet'!B58)</f>
        <v>0</v>
      </c>
      <c r="D5" s="30">
        <f>SUM(D6:D12)</f>
        <v>50447.196528867396</v>
      </c>
      <c r="E5" s="17">
        <f>SUM(E6:E12)</f>
        <v>466.51496844064729</v>
      </c>
      <c r="F5" s="17">
        <f>SUM(F6:F12)</f>
        <v>6955.2419731610753</v>
      </c>
      <c r="G5" s="18"/>
      <c r="H5" s="17"/>
      <c r="I5" s="17"/>
      <c r="J5" s="17">
        <f>SUM(J6:J12)</f>
        <v>0</v>
      </c>
      <c r="K5" s="17"/>
      <c r="L5" s="17"/>
      <c r="M5" s="17"/>
      <c r="N5" s="17">
        <f>SUM(N6:N12)</f>
        <v>3530.8575060661824</v>
      </c>
      <c r="O5" s="17">
        <f>B38*B39*B40</f>
        <v>0</v>
      </c>
      <c r="P5" s="17">
        <f>B46*B47*B48/1000-B46*B47*B48/1000/B49</f>
        <v>95.333333333333343</v>
      </c>
      <c r="R5" s="32"/>
    </row>
    <row r="6" spans="1:18">
      <c r="A6" s="32" t="s">
        <v>54</v>
      </c>
      <c r="B6" s="37">
        <f>B26</f>
        <v>7427.4989999999998</v>
      </c>
      <c r="C6" s="33"/>
      <c r="D6" s="37">
        <f>IF(ISERROR(TER_kantoor_gas_kWh/1000),0,TER_kantoor_gas_kWh/1000)*0.902</f>
        <v>10682.362905300963</v>
      </c>
      <c r="E6" s="33">
        <f>$C$26*'E Balans VL '!I12/100/3.6*1000000</f>
        <v>21.518554371624422</v>
      </c>
      <c r="F6" s="33">
        <f>$C$26*('E Balans VL '!L12+'E Balans VL '!N12)/100/3.6*1000000</f>
        <v>840.62924630959913</v>
      </c>
      <c r="G6" s="34"/>
      <c r="H6" s="33"/>
      <c r="I6" s="33"/>
      <c r="J6" s="33">
        <f>$C$26*('E Balans VL '!D12+'E Balans VL '!E12)/100/3.6*1000000</f>
        <v>0</v>
      </c>
      <c r="K6" s="33"/>
      <c r="L6" s="33"/>
      <c r="M6" s="33"/>
      <c r="N6" s="33">
        <f>$C$26*'E Balans VL '!Y12/100/3.6*1000000</f>
        <v>74.343792164381881</v>
      </c>
      <c r="O6" s="33"/>
      <c r="P6" s="33"/>
      <c r="R6" s="32"/>
    </row>
    <row r="7" spans="1:18">
      <c r="A7" s="32" t="s">
        <v>53</v>
      </c>
      <c r="B7" s="37">
        <f t="shared" ref="B7:B12" si="0">B27</f>
        <v>3984.3409999999999</v>
      </c>
      <c r="C7" s="33"/>
      <c r="D7" s="37">
        <f>IF(ISERROR(TER_horeca_gas_kWh/1000),0,TER_horeca_gas_kWh/1000)*0.902</f>
        <v>3870.0268470318497</v>
      </c>
      <c r="E7" s="33">
        <f>$C$27*'E Balans VL '!I9/100/3.6*1000000</f>
        <v>167.25150315125757</v>
      </c>
      <c r="F7" s="33">
        <f>$C$27*('E Balans VL '!L9+'E Balans VL '!N9)/100/3.6*1000000</f>
        <v>856.11737045757411</v>
      </c>
      <c r="G7" s="34"/>
      <c r="H7" s="33"/>
      <c r="I7" s="33"/>
      <c r="J7" s="33">
        <f>$C$27*('E Balans VL '!D9+'E Balans VL '!E9)/100/3.6*1000000</f>
        <v>0</v>
      </c>
      <c r="K7" s="33"/>
      <c r="L7" s="33"/>
      <c r="M7" s="33"/>
      <c r="N7" s="33">
        <f>$C$27*'E Balans VL '!Y9/100/3.6*1000000</f>
        <v>1.0267298313738966</v>
      </c>
      <c r="O7" s="33"/>
      <c r="P7" s="33"/>
      <c r="R7" s="32"/>
    </row>
    <row r="8" spans="1:18">
      <c r="A8" s="6" t="s">
        <v>52</v>
      </c>
      <c r="B8" s="37">
        <f t="shared" si="0"/>
        <v>21214.772000000001</v>
      </c>
      <c r="C8" s="33"/>
      <c r="D8" s="37">
        <f>IF(ISERROR(TER_handel_gas_kWh/1000),0,TER_handel_gas_kWh/1000)*0.902</f>
        <v>8086.3822045279103</v>
      </c>
      <c r="E8" s="33">
        <f>$C$28*'E Balans VL '!I13/100/3.6*1000000</f>
        <v>227.86430783282003</v>
      </c>
      <c r="F8" s="33">
        <f>$C$28*('E Balans VL '!L13+'E Balans VL '!N13)/100/3.6*1000000</f>
        <v>2746.4274233757124</v>
      </c>
      <c r="G8" s="34"/>
      <c r="H8" s="33"/>
      <c r="I8" s="33"/>
      <c r="J8" s="33">
        <f>$C$28*('E Balans VL '!D13+'E Balans VL '!E13)/100/3.6*1000000</f>
        <v>0</v>
      </c>
      <c r="K8" s="33"/>
      <c r="L8" s="33"/>
      <c r="M8" s="33"/>
      <c r="N8" s="33">
        <f>$C$28*'E Balans VL '!Y13/100/3.6*1000000</f>
        <v>172.09538884091688</v>
      </c>
      <c r="O8" s="33"/>
      <c r="P8" s="33"/>
      <c r="R8" s="32"/>
    </row>
    <row r="9" spans="1:18">
      <c r="A9" s="32" t="s">
        <v>51</v>
      </c>
      <c r="B9" s="37">
        <f t="shared" si="0"/>
        <v>6405.5820000000003</v>
      </c>
      <c r="C9" s="33"/>
      <c r="D9" s="37">
        <f>IF(ISERROR(TER_gezond_gas_kWh/1000),0,TER_gezond_gas_kWh/1000)*0.902</f>
        <v>9609.0191718792121</v>
      </c>
      <c r="E9" s="33">
        <f>$C$29*'E Balans VL '!I10/100/3.6*1000000</f>
        <v>5.0992575739442838</v>
      </c>
      <c r="F9" s="33">
        <f>$C$29*('E Balans VL '!L10+'E Balans VL '!N10)/100/3.6*1000000</f>
        <v>778.6910610976272</v>
      </c>
      <c r="G9" s="34"/>
      <c r="H9" s="33"/>
      <c r="I9" s="33"/>
      <c r="J9" s="33">
        <f>$C$29*('E Balans VL '!D10+'E Balans VL '!E10)/100/3.6*1000000</f>
        <v>0</v>
      </c>
      <c r="K9" s="33"/>
      <c r="L9" s="33"/>
      <c r="M9" s="33"/>
      <c r="N9" s="33">
        <f>$C$29*'E Balans VL '!Y10/100/3.6*1000000</f>
        <v>51.742594348551414</v>
      </c>
      <c r="O9" s="33"/>
      <c r="P9" s="33"/>
      <c r="R9" s="32"/>
    </row>
    <row r="10" spans="1:18">
      <c r="A10" s="32" t="s">
        <v>50</v>
      </c>
      <c r="B10" s="37">
        <f t="shared" si="0"/>
        <v>4189.8</v>
      </c>
      <c r="C10" s="33"/>
      <c r="D10" s="37">
        <f>IF(ISERROR(TER_ander_gas_kWh/1000),0,TER_ander_gas_kWh/1000)*0.902</f>
        <v>9137.616987764739</v>
      </c>
      <c r="E10" s="33">
        <f>$C$30*'E Balans VL '!I14/100/3.6*1000000</f>
        <v>14.358664703877775</v>
      </c>
      <c r="F10" s="33">
        <f>$C$30*('E Balans VL '!L14+'E Balans VL '!N14)/100/3.6*1000000</f>
        <v>935.8310665832571</v>
      </c>
      <c r="G10" s="34"/>
      <c r="H10" s="33"/>
      <c r="I10" s="33"/>
      <c r="J10" s="33">
        <f>$C$30*('E Balans VL '!D14+'E Balans VL '!E14)/100/3.6*1000000</f>
        <v>0</v>
      </c>
      <c r="K10" s="33"/>
      <c r="L10" s="33"/>
      <c r="M10" s="33"/>
      <c r="N10" s="33">
        <f>$C$30*'E Balans VL '!Y14/100/3.6*1000000</f>
        <v>2951.3180084299934</v>
      </c>
      <c r="O10" s="33"/>
      <c r="P10" s="33"/>
      <c r="R10" s="32"/>
    </row>
    <row r="11" spans="1:18">
      <c r="A11" s="32" t="s">
        <v>55</v>
      </c>
      <c r="B11" s="37">
        <f t="shared" si="0"/>
        <v>1203.713</v>
      </c>
      <c r="C11" s="33"/>
      <c r="D11" s="37">
        <f>IF(ISERROR(TER_onderwijs_gas_kWh/1000),0,TER_onderwijs_gas_kWh/1000)*0.902</f>
        <v>1476.909509719454</v>
      </c>
      <c r="E11" s="33">
        <f>$C$31*'E Balans VL '!I11/100/3.6*1000000</f>
        <v>0.83208972545716842</v>
      </c>
      <c r="F11" s="33">
        <f>$C$31*('E Balans VL '!L11+'E Balans VL '!N11)/100/3.6*1000000</f>
        <v>315.09709790981537</v>
      </c>
      <c r="G11" s="34"/>
      <c r="H11" s="33"/>
      <c r="I11" s="33"/>
      <c r="J11" s="33">
        <f>$C$31*('E Balans VL '!D11+'E Balans VL '!E11)/100/3.6*1000000</f>
        <v>0</v>
      </c>
      <c r="K11" s="33"/>
      <c r="L11" s="33"/>
      <c r="M11" s="33"/>
      <c r="N11" s="33">
        <f>$C$31*'E Balans VL '!Y11/100/3.6*1000000</f>
        <v>1.1981937672244001</v>
      </c>
      <c r="O11" s="33"/>
      <c r="P11" s="33"/>
      <c r="R11" s="32"/>
    </row>
    <row r="12" spans="1:18">
      <c r="A12" s="32" t="s">
        <v>260</v>
      </c>
      <c r="B12" s="37">
        <f t="shared" si="0"/>
        <v>3272.8789999999999</v>
      </c>
      <c r="C12" s="33"/>
      <c r="D12" s="37">
        <f>IF(ISERROR(TER_rest_gas_kWh/1000),0,TER_rest_gas_kWh/1000)*0.902</f>
        <v>7584.8789026432742</v>
      </c>
      <c r="E12" s="33">
        <f>$C$32*'E Balans VL '!I8/100/3.6*1000000</f>
        <v>29.59059108166602</v>
      </c>
      <c r="F12" s="33">
        <f>$C$32*('E Balans VL '!L8+'E Balans VL '!N8)/100/3.6*1000000</f>
        <v>482.44870742749043</v>
      </c>
      <c r="G12" s="34"/>
      <c r="H12" s="33"/>
      <c r="I12" s="33"/>
      <c r="J12" s="33">
        <f>$C$32*('E Balans VL '!D8+'E Balans VL '!E8)/100/3.6*1000000</f>
        <v>0</v>
      </c>
      <c r="K12" s="33"/>
      <c r="L12" s="33"/>
      <c r="M12" s="33"/>
      <c r="N12" s="33">
        <f>$C$32*'E Balans VL '!Y8/100/3.6*1000000</f>
        <v>279.13279868374042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47698.58600000001</v>
      </c>
      <c r="C16" s="21">
        <f t="shared" ca="1" si="1"/>
        <v>0</v>
      </c>
      <c r="D16" s="21">
        <f t="shared" ca="1" si="1"/>
        <v>50447.196528867396</v>
      </c>
      <c r="E16" s="21">
        <f t="shared" si="1"/>
        <v>466.51496844064729</v>
      </c>
      <c r="F16" s="21">
        <f t="shared" ca="1" si="1"/>
        <v>6955.2419731610753</v>
      </c>
      <c r="G16" s="21">
        <f t="shared" si="1"/>
        <v>0</v>
      </c>
      <c r="H16" s="21">
        <f t="shared" si="1"/>
        <v>0</v>
      </c>
      <c r="I16" s="21">
        <f t="shared" si="1"/>
        <v>0</v>
      </c>
      <c r="J16" s="21">
        <f t="shared" si="1"/>
        <v>0</v>
      </c>
      <c r="K16" s="21">
        <f t="shared" si="1"/>
        <v>0</v>
      </c>
      <c r="L16" s="21">
        <f t="shared" ca="1" si="1"/>
        <v>0</v>
      </c>
      <c r="M16" s="21">
        <f t="shared" si="1"/>
        <v>0</v>
      </c>
      <c r="N16" s="21">
        <f t="shared" ca="1" si="1"/>
        <v>3530.8575060661824</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0.18541984366373238</v>
      </c>
      <c r="C18" s="25">
        <f ca="1">'EF ele_warmte'!B22</f>
        <v>0.14957960981260279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8844.2643591010965</v>
      </c>
      <c r="C20" s="23">
        <f t="shared" ref="C20:P20" ca="1" si="2">C16*C18</f>
        <v>0</v>
      </c>
      <c r="D20" s="23">
        <f t="shared" ca="1" si="2"/>
        <v>10190.333698831215</v>
      </c>
      <c r="E20" s="23">
        <f t="shared" si="2"/>
        <v>105.89889783602693</v>
      </c>
      <c r="F20" s="23">
        <f t="shared" ca="1" si="2"/>
        <v>1857.0496068340071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7427.4989999999998</v>
      </c>
      <c r="C26" s="39">
        <f>IF(ISERROR(B26*3.6/1000000/'E Balans VL '!Z12*100),0,B26*3.6/1000000/'E Balans VL '!Z12*100)</f>
        <v>0.16315360258372738</v>
      </c>
      <c r="D26" s="237" t="s">
        <v>692</v>
      </c>
      <c r="F26" s="6"/>
    </row>
    <row r="27" spans="1:18">
      <c r="A27" s="231" t="s">
        <v>53</v>
      </c>
      <c r="B27" s="33">
        <f>IF(ISERROR(TER_horeca_ele_kWh/1000),0,TER_horeca_ele_kWh/1000)</f>
        <v>3984.3409999999999</v>
      </c>
      <c r="C27" s="39">
        <f>IF(ISERROR(B27*3.6/1000000/'E Balans VL '!Z9*100),0,B27*3.6/1000000/'E Balans VL '!Z9*100)</f>
        <v>0.32018151573018133</v>
      </c>
      <c r="D27" s="237" t="s">
        <v>692</v>
      </c>
      <c r="F27" s="6"/>
    </row>
    <row r="28" spans="1:18">
      <c r="A28" s="171" t="s">
        <v>52</v>
      </c>
      <c r="B28" s="33">
        <f>IF(ISERROR(TER_handel_ele_kWh/1000),0,TER_handel_ele_kWh/1000)</f>
        <v>21214.772000000001</v>
      </c>
      <c r="C28" s="39">
        <f>IF(ISERROR(B28*3.6/1000000/'E Balans VL '!Z13*100),0,B28*3.6/1000000/'E Balans VL '!Z13*100)</f>
        <v>0.62730598708909169</v>
      </c>
      <c r="D28" s="237" t="s">
        <v>692</v>
      </c>
      <c r="F28" s="6"/>
    </row>
    <row r="29" spans="1:18">
      <c r="A29" s="231" t="s">
        <v>51</v>
      </c>
      <c r="B29" s="33">
        <f>IF(ISERROR(TER_gezond_ele_kWh/1000),0,TER_gezond_ele_kWh/1000)</f>
        <v>6405.5820000000003</v>
      </c>
      <c r="C29" s="39">
        <f>IF(ISERROR(B29*3.6/1000000/'E Balans VL '!Z10*100),0,B29*3.6/1000000/'E Balans VL '!Z10*100)</f>
        <v>0.72174371385082792</v>
      </c>
      <c r="D29" s="237" t="s">
        <v>692</v>
      </c>
      <c r="F29" s="6"/>
    </row>
    <row r="30" spans="1:18">
      <c r="A30" s="231" t="s">
        <v>50</v>
      </c>
      <c r="B30" s="33">
        <f>IF(ISERROR(TER_ander_ele_kWh/1000),0,TER_ander_ele_kWh/1000)</f>
        <v>4189.8</v>
      </c>
      <c r="C30" s="39">
        <f>IF(ISERROR(B30*3.6/1000000/'E Balans VL '!Z14*100),0,B30*3.6/1000000/'E Balans VL '!Z14*100)</f>
        <v>0.31686741186041434</v>
      </c>
      <c r="D30" s="237" t="s">
        <v>692</v>
      </c>
      <c r="F30" s="6"/>
    </row>
    <row r="31" spans="1:18">
      <c r="A31" s="231" t="s">
        <v>55</v>
      </c>
      <c r="B31" s="33">
        <f>IF(ISERROR(TER_onderwijs_ele_kWh/1000),0,TER_onderwijs_ele_kWh/1000)</f>
        <v>1203.713</v>
      </c>
      <c r="C31" s="39">
        <f>IF(ISERROR(B31*3.6/1000000/'E Balans VL '!Z11*100),0,B31*3.6/1000000/'E Balans VL '!Z11*100)</f>
        <v>0.2498628758023097</v>
      </c>
      <c r="D31" s="237" t="s">
        <v>692</v>
      </c>
    </row>
    <row r="32" spans="1:18">
      <c r="A32" s="231" t="s">
        <v>260</v>
      </c>
      <c r="B32" s="33">
        <f>IF(ISERROR(TER_rest_ele_kWh/1000),0,TER_rest_ele_kWh/1000)</f>
        <v>3272.8789999999999</v>
      </c>
      <c r="C32" s="39">
        <f>IF(ISERROR(B32*3.6/1000000/'E Balans VL '!Z8*100),0,B32*3.6/1000000/'E Balans VL '!Z8*100)</f>
        <v>2.7572080205486255E-2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85679.285677000007</v>
      </c>
      <c r="C5" s="17">
        <f>IF(ISERROR('Eigen informatie GS &amp; warmtenet'!B59),0,'Eigen informatie GS &amp; warmtenet'!B59)</f>
        <v>0</v>
      </c>
      <c r="D5" s="30">
        <f>SUM(D6:D15)</f>
        <v>86849.921262346659</v>
      </c>
      <c r="E5" s="17">
        <f>SUM(E6:E15)</f>
        <v>5387.6430134948614</v>
      </c>
      <c r="F5" s="17">
        <f>SUM(F6:F15)</f>
        <v>94307.495296071938</v>
      </c>
      <c r="G5" s="18"/>
      <c r="H5" s="17"/>
      <c r="I5" s="17"/>
      <c r="J5" s="17">
        <f>SUM(J6:J15)</f>
        <v>1027.1516457505197</v>
      </c>
      <c r="K5" s="17"/>
      <c r="L5" s="17"/>
      <c r="M5" s="17"/>
      <c r="N5" s="17">
        <f>SUM(N6:N15)</f>
        <v>29156.779021426508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3166.8629999999998</v>
      </c>
      <c r="C8" s="33"/>
      <c r="D8" s="37">
        <f>IF( ISERROR(IND_metaal_Gas_kWH/1000),0,IND_metaal_Gas_kWH/1000)*0.902</f>
        <v>130.32126291314967</v>
      </c>
      <c r="E8" s="33">
        <f>C30*'E Balans VL '!I18/100/3.6*1000000</f>
        <v>79.255497106954564</v>
      </c>
      <c r="F8" s="33">
        <f>C30*'E Balans VL '!L18/100/3.6*1000000+C30*'E Balans VL '!N18/100/3.6*1000000</f>
        <v>992.51061698669571</v>
      </c>
      <c r="G8" s="34"/>
      <c r="H8" s="33"/>
      <c r="I8" s="33"/>
      <c r="J8" s="40">
        <f>C30*'E Balans VL '!D18/100/3.6*1000000+C30*'E Balans VL '!E18/100/3.6*1000000</f>
        <v>0</v>
      </c>
      <c r="K8" s="33"/>
      <c r="L8" s="33"/>
      <c r="M8" s="33"/>
      <c r="N8" s="33">
        <f>C30*'E Balans VL '!Y18/100/3.6*1000000</f>
        <v>79.559817286163451</v>
      </c>
      <c r="O8" s="33"/>
      <c r="P8" s="33"/>
      <c r="R8" s="32"/>
    </row>
    <row r="9" spans="1:18">
      <c r="A9" s="6" t="s">
        <v>33</v>
      </c>
      <c r="B9" s="37">
        <f t="shared" si="0"/>
        <v>16127.735000000001</v>
      </c>
      <c r="C9" s="33"/>
      <c r="D9" s="37">
        <f>IF( ISERROR(IND_andere_gas_kWh/1000),0,IND_andere_gas_kWh/1000)*0.902</f>
        <v>2169.1613541570555</v>
      </c>
      <c r="E9" s="33">
        <f>C31*'E Balans VL '!I19/100/3.6*1000000</f>
        <v>4434.4656450523671</v>
      </c>
      <c r="F9" s="33">
        <f>C31*'E Balans VL '!L19/100/3.6*1000000+C31*'E Balans VL '!N19/100/3.6*1000000</f>
        <v>12711.461607385761</v>
      </c>
      <c r="G9" s="34"/>
      <c r="H9" s="33"/>
      <c r="I9" s="33"/>
      <c r="J9" s="40">
        <f>C31*'E Balans VL '!D19/100/3.6*1000000+C31*'E Balans VL '!E19/100/3.6*1000000</f>
        <v>0</v>
      </c>
      <c r="K9" s="33"/>
      <c r="L9" s="33"/>
      <c r="M9" s="33"/>
      <c r="N9" s="33">
        <f>C31*'E Balans VL '!Y19/100/3.6*1000000</f>
        <v>5220.9735204675644</v>
      </c>
      <c r="O9" s="33"/>
      <c r="P9" s="33"/>
      <c r="R9" s="32"/>
    </row>
    <row r="10" spans="1:18">
      <c r="A10" s="6" t="s">
        <v>41</v>
      </c>
      <c r="B10" s="37">
        <f t="shared" si="0"/>
        <v>41336.232000000004</v>
      </c>
      <c r="C10" s="33"/>
      <c r="D10" s="37">
        <f>IF( ISERROR(IND_voed_gas_kWh/1000),0,IND_voed_gas_kWh/1000)*0.902</f>
        <v>8433.8363764738624</v>
      </c>
      <c r="E10" s="33">
        <f>C32*'E Balans VL '!I20/100/3.6*1000000</f>
        <v>421.40011297985217</v>
      </c>
      <c r="F10" s="33">
        <f>C32*'E Balans VL '!L20/100/3.6*1000000+C32*'E Balans VL '!N20/100/3.6*1000000</f>
        <v>78083.883714825308</v>
      </c>
      <c r="G10" s="34"/>
      <c r="H10" s="33"/>
      <c r="I10" s="33"/>
      <c r="J10" s="40">
        <f>C32*'E Balans VL '!D20/100/3.6*1000000+C32*'E Balans VL '!E20/100/3.6*1000000</f>
        <v>989.31128452344717</v>
      </c>
      <c r="K10" s="33"/>
      <c r="L10" s="33"/>
      <c r="M10" s="33"/>
      <c r="N10" s="33">
        <f>C32*'E Balans VL '!Y20/100/3.6*1000000</f>
        <v>21788.955614072678</v>
      </c>
      <c r="O10" s="33"/>
      <c r="P10" s="33"/>
      <c r="R10" s="32"/>
    </row>
    <row r="11" spans="1:18">
      <c r="A11" s="6" t="s">
        <v>40</v>
      </c>
      <c r="B11" s="37">
        <f t="shared" si="0"/>
        <v>13113.458000000001</v>
      </c>
      <c r="C11" s="33"/>
      <c r="D11" s="37">
        <f>IF( ISERROR(IND_textiel_gas_kWh/1000),0,IND_textiel_gas_kWh/1000)*0.902</f>
        <v>17725.711735364424</v>
      </c>
      <c r="E11" s="33">
        <f>C33*'E Balans VL '!I21/100/3.6*1000000</f>
        <v>34.757079033171109</v>
      </c>
      <c r="F11" s="33">
        <f>C33*'E Balans VL '!L21/100/3.6*1000000+C33*'E Balans VL '!N21/100/3.6*1000000</f>
        <v>585.66056181921431</v>
      </c>
      <c r="G11" s="34"/>
      <c r="H11" s="33"/>
      <c r="I11" s="33"/>
      <c r="J11" s="40">
        <f>C33*'E Balans VL '!D21/100/3.6*1000000+C33*'E Balans VL '!E21/100/3.6*1000000</f>
        <v>0</v>
      </c>
      <c r="K11" s="33"/>
      <c r="L11" s="33"/>
      <c r="M11" s="33"/>
      <c r="N11" s="33">
        <f>C33*'E Balans VL '!Y21/100/3.6*1000000</f>
        <v>123.58496759800518</v>
      </c>
      <c r="O11" s="33"/>
      <c r="P11" s="33"/>
      <c r="R11" s="32"/>
    </row>
    <row r="12" spans="1:18">
      <c r="A12" s="6" t="s">
        <v>37</v>
      </c>
      <c r="B12" s="37">
        <f t="shared" si="0"/>
        <v>2893.0450000000001</v>
      </c>
      <c r="C12" s="33"/>
      <c r="D12" s="37">
        <f>IF( ISERROR(IND_min_gas_kWh/1000),0,IND_min_gas_kWh/1000)*0.902</f>
        <v>94.118835303033919</v>
      </c>
      <c r="E12" s="33">
        <f>C34*'E Balans VL '!I22/100/3.6*1000000</f>
        <v>8.7617246276093237</v>
      </c>
      <c r="F12" s="33">
        <f>C34*'E Balans VL '!L22/100/3.6*1000000+C34*'E Balans VL '!N22/100/3.6*1000000</f>
        <v>90.410143505239901</v>
      </c>
      <c r="G12" s="34"/>
      <c r="H12" s="33"/>
      <c r="I12" s="33"/>
      <c r="J12" s="40">
        <f>C34*'E Balans VL '!D22/100/3.6*1000000+C34*'E Balans VL '!E22/100/3.6*1000000</f>
        <v>4.2897435121031258</v>
      </c>
      <c r="K12" s="33"/>
      <c r="L12" s="33"/>
      <c r="M12" s="33"/>
      <c r="N12" s="33">
        <f>C34*'E Balans VL '!Y22/100/3.6*1000000</f>
        <v>0</v>
      </c>
      <c r="O12" s="33"/>
      <c r="P12" s="33"/>
      <c r="R12" s="32"/>
    </row>
    <row r="13" spans="1:18">
      <c r="A13" s="6" t="s">
        <v>39</v>
      </c>
      <c r="B13" s="37">
        <f t="shared" si="0"/>
        <v>1044.819</v>
      </c>
      <c r="C13" s="33"/>
      <c r="D13" s="37">
        <f>IF( ISERROR(IND_papier_gas_kWh/1000),0,IND_papier_gas_kWh/1000)*0.902</f>
        <v>153.58288073752306</v>
      </c>
      <c r="E13" s="33">
        <f>C35*'E Balans VL '!I23/100/3.6*1000000</f>
        <v>2.1638906725843219</v>
      </c>
      <c r="F13" s="33">
        <f>C35*'E Balans VL '!L23/100/3.6*1000000+C35*'E Balans VL '!N23/100/3.6*1000000</f>
        <v>20.721000683905892</v>
      </c>
      <c r="G13" s="34"/>
      <c r="H13" s="33"/>
      <c r="I13" s="33"/>
      <c r="J13" s="40">
        <f>C35*'E Balans VL '!D23/100/3.6*1000000+C35*'E Balans VL '!E23/100/3.6*1000000</f>
        <v>0</v>
      </c>
      <c r="K13" s="33"/>
      <c r="L13" s="33"/>
      <c r="M13" s="33"/>
      <c r="N13" s="33">
        <f>C35*'E Balans VL '!Y23/100/3.6*1000000</f>
        <v>441.17259601111664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7997.1336769999998</v>
      </c>
      <c r="C15" s="33"/>
      <c r="D15" s="37">
        <f>IF( ISERROR(IND_rest_gas_kWh/1000),0,IND_rest_gas_kWh/1000)*0.902</f>
        <v>58143.188817397611</v>
      </c>
      <c r="E15" s="33">
        <f>C37*'E Balans VL '!I15/100/3.6*1000000</f>
        <v>406.83906402232225</v>
      </c>
      <c r="F15" s="33">
        <f>C37*'E Balans VL '!L15/100/3.6*1000000+C37*'E Balans VL '!N15/100/3.6*1000000</f>
        <v>1822.8476508658146</v>
      </c>
      <c r="G15" s="34"/>
      <c r="H15" s="33"/>
      <c r="I15" s="33"/>
      <c r="J15" s="40">
        <f>C37*'E Balans VL '!D15/100/3.6*1000000+C37*'E Balans VL '!E15/100/3.6*1000000</f>
        <v>33.550617714969526</v>
      </c>
      <c r="K15" s="33"/>
      <c r="L15" s="33"/>
      <c r="M15" s="33"/>
      <c r="N15" s="33">
        <f>C37*'E Balans VL '!Y15/100/3.6*1000000</f>
        <v>1502.5325059909765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85679.285677000007</v>
      </c>
      <c r="C18" s="21">
        <f>C5+C16</f>
        <v>0</v>
      </c>
      <c r="D18" s="21">
        <f>MAX((D5+D16),0)</f>
        <v>86849.921262346659</v>
      </c>
      <c r="E18" s="21">
        <f>MAX((E5+E16),0)</f>
        <v>5387.6430134948614</v>
      </c>
      <c r="F18" s="21">
        <f>MAX((F5+F16),0)</f>
        <v>94307.495296071938</v>
      </c>
      <c r="G18" s="21"/>
      <c r="H18" s="21"/>
      <c r="I18" s="21"/>
      <c r="J18" s="21">
        <f>MAX((J5+J16),0)</f>
        <v>1027.1516457505197</v>
      </c>
      <c r="K18" s="21"/>
      <c r="L18" s="21">
        <f>MAX((L5+L16),0)</f>
        <v>0</v>
      </c>
      <c r="M18" s="21"/>
      <c r="N18" s="21">
        <f>MAX((N5+N16),0)</f>
        <v>29156.779021426508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0.18541984366373238</v>
      </c>
      <c r="C20" s="25">
        <f ca="1">'EF ele_warmte'!B22</f>
        <v>0.14957960981260279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15886.639755449605</v>
      </c>
      <c r="C22" s="23">
        <f ca="1">C18*C20</f>
        <v>0</v>
      </c>
      <c r="D22" s="23">
        <f>D18*D20</f>
        <v>17543.684094994027</v>
      </c>
      <c r="E22" s="23">
        <f>E18*E20</f>
        <v>1222.9949640633336</v>
      </c>
      <c r="F22" s="23">
        <f>F18*F20</f>
        <v>25180.10124405121</v>
      </c>
      <c r="G22" s="23"/>
      <c r="H22" s="23"/>
      <c r="I22" s="23"/>
      <c r="J22" s="23">
        <f>J18*J20</f>
        <v>363.61168259568399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3166.8629999999998</v>
      </c>
      <c r="C30" s="39">
        <f>IF(ISERROR(B30*3.6/1000000/'E Balans VL '!Z18*100),0,B30*3.6/1000000/'E Balans VL '!Z18*100)</f>
        <v>0.44325528312462692</v>
      </c>
      <c r="D30" s="237" t="s">
        <v>692</v>
      </c>
    </row>
    <row r="31" spans="1:18">
      <c r="A31" s="6" t="s">
        <v>33</v>
      </c>
      <c r="B31" s="37">
        <f>IF( ISERROR(IND_ander_ele_kWh/1000),0,IND_ander_ele_kWh/1000)</f>
        <v>16127.735000000001</v>
      </c>
      <c r="C31" s="39">
        <f>IF(ISERROR(B31*3.6/1000000/'E Balans VL '!Z19*100),0,B31*3.6/1000000/'E Balans VL '!Z19*100)</f>
        <v>0.70590834465967534</v>
      </c>
      <c r="D31" s="237" t="s">
        <v>692</v>
      </c>
    </row>
    <row r="32" spans="1:18">
      <c r="A32" s="171" t="s">
        <v>41</v>
      </c>
      <c r="B32" s="37">
        <f>IF( ISERROR(IND_voed_ele_kWh/1000),0,IND_voed_ele_kWh/1000)</f>
        <v>41336.232000000004</v>
      </c>
      <c r="C32" s="39">
        <f>IF(ISERROR(B32*3.6/1000000/'E Balans VL '!Z20*100),0,B32*3.6/1000000/'E Balans VL '!Z20*100)</f>
        <v>10.23347833464479</v>
      </c>
      <c r="D32" s="237" t="s">
        <v>692</v>
      </c>
    </row>
    <row r="33" spans="1:5">
      <c r="A33" s="171" t="s">
        <v>40</v>
      </c>
      <c r="B33" s="37">
        <f>IF( ISERROR(IND_textiel_ele_kWh/1000),0,IND_textiel_ele_kWh/1000)</f>
        <v>13113.458000000001</v>
      </c>
      <c r="C33" s="39">
        <f>IF(ISERROR(B33*3.6/1000000/'E Balans VL '!Z21*100),0,B33*3.6/1000000/'E Balans VL '!Z21*100)</f>
        <v>1.4776557209091619</v>
      </c>
      <c r="D33" s="237" t="s">
        <v>692</v>
      </c>
    </row>
    <row r="34" spans="1:5">
      <c r="A34" s="171" t="s">
        <v>37</v>
      </c>
      <c r="B34" s="37">
        <f>IF( ISERROR(IND_min_ele_kWh/1000),0,IND_min_ele_kWh/1000)</f>
        <v>2893.0450000000001</v>
      </c>
      <c r="C34" s="39">
        <f>IF(ISERROR(B34*3.6/1000000/'E Balans VL '!Z22*100),0,B34*3.6/1000000/'E Balans VL '!Z22*100)</f>
        <v>8.2092814110745232E-2</v>
      </c>
      <c r="D34" s="237" t="s">
        <v>692</v>
      </c>
    </row>
    <row r="35" spans="1:5">
      <c r="A35" s="171" t="s">
        <v>39</v>
      </c>
      <c r="B35" s="37">
        <f>IF( ISERROR(IND_papier_ele_kWh/1000),0,IND_papier_ele_kWh/1000)</f>
        <v>1044.819</v>
      </c>
      <c r="C35" s="39">
        <f>IF(ISERROR(B35*3.6/1000000/'E Balans VL '!Z22*100),0,B35*3.6/1000000/'E Balans VL '!Z22*100)</f>
        <v>2.9647700587572857E-2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7997.1336769999998</v>
      </c>
      <c r="C37" s="39">
        <f>IF(ISERROR(B37*3.6/1000000/'E Balans VL '!Z15*100),0,B37*3.6/1000000/'E Balans VL '!Z15*100)</f>
        <v>5.9297377047731206E-2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4469.5529000000006</v>
      </c>
      <c r="C5" s="17">
        <f>'Eigen informatie GS &amp; warmtenet'!B60</f>
        <v>0</v>
      </c>
      <c r="D5" s="30">
        <f>IF(ISERROR(SUM(LB_lb_gas_kWh,LB_rest_gas_kWh,onbekend_gas_kWh)/1000),0,SUM(LB_lb_gas_kWh,LB_rest_gas_kWh,onbekend_gas_kWh)/1000)*0.902</f>
        <v>27910.334200507157</v>
      </c>
      <c r="E5" s="17">
        <f>B17*'E Balans VL '!I25/3.6*1000000/100</f>
        <v>41.398870980634271</v>
      </c>
      <c r="F5" s="17">
        <f>B17*('E Balans VL '!L25/3.6*1000000+'E Balans VL '!N25/3.6*1000000)/100</f>
        <v>11340.107156253676</v>
      </c>
      <c r="G5" s="18"/>
      <c r="H5" s="17"/>
      <c r="I5" s="17"/>
      <c r="J5" s="17">
        <f>('E Balans VL '!D25+'E Balans VL '!E25)/3.6*1000000*landbouw!B17/100</f>
        <v>685.23233992594453</v>
      </c>
      <c r="K5" s="17"/>
      <c r="L5" s="17">
        <f>L6*(-1)</f>
        <v>0</v>
      </c>
      <c r="M5" s="17"/>
      <c r="N5" s="17">
        <f>N6*(-1)</f>
        <v>72102.857142857145</v>
      </c>
      <c r="O5" s="17"/>
      <c r="P5" s="17"/>
      <c r="R5" s="32"/>
    </row>
    <row r="6" spans="1:18">
      <c r="A6" s="16" t="s">
        <v>494</v>
      </c>
      <c r="B6" s="17" t="s">
        <v>211</v>
      </c>
      <c r="C6" s="17">
        <f>'lokale energieproductie'!O91+'lokale energieproductie'!O60</f>
        <v>97283.57142857142</v>
      </c>
      <c r="D6" s="310">
        <f>('lokale energieproductie'!P60+'lokale energieproductie'!P91)*(-1)</f>
        <v>-122464.28571428571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-72102.857142857145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4469.5529000000006</v>
      </c>
      <c r="C8" s="21">
        <f>C5+C6</f>
        <v>97283.57142857142</v>
      </c>
      <c r="D8" s="21">
        <f>MAX((D5+D6),0)</f>
        <v>0</v>
      </c>
      <c r="E8" s="21">
        <f>MAX((E5+E6),0)</f>
        <v>41.398870980634271</v>
      </c>
      <c r="F8" s="21">
        <f>MAX((F5+F6),0)</f>
        <v>11340.107156253676</v>
      </c>
      <c r="G8" s="21"/>
      <c r="H8" s="21"/>
      <c r="I8" s="21"/>
      <c r="J8" s="21">
        <f>MAX((J5+J6),0)</f>
        <v>685.23233992594453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0.18541984366373238</v>
      </c>
      <c r="C10" s="31">
        <f ca="1">'EF ele_warmte'!B22</f>
        <v>0.14957960981260279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828.74379996478183</v>
      </c>
      <c r="C12" s="23">
        <f ca="1">C8*C10</f>
        <v>14551.638655462186</v>
      </c>
      <c r="D12" s="23">
        <f>D8*D10</f>
        <v>0</v>
      </c>
      <c r="E12" s="23">
        <f>E8*E10</f>
        <v>9.39754371260398</v>
      </c>
      <c r="F12" s="23">
        <f>F8*F10</f>
        <v>3027.8086107197319</v>
      </c>
      <c r="G12" s="23"/>
      <c r="H12" s="23"/>
      <c r="I12" s="23"/>
      <c r="J12" s="23">
        <f>J8*J10</f>
        <v>242.57224833378436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0.63547565147745766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850.74392200439468</v>
      </c>
      <c r="C26" s="247">
        <f>B26*'GWP N2O_CH4'!B5</f>
        <v>17865.622362092286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356.26396539837549</v>
      </c>
      <c r="C27" s="247">
        <f>B27*'GWP N2O_CH4'!B5</f>
        <v>7481.5432733658854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11.679526058894133</v>
      </c>
      <c r="C28" s="247">
        <f>B28*'GWP N2O_CH4'!B4</f>
        <v>3620.6530782571813</v>
      </c>
      <c r="D28" s="50"/>
    </row>
    <row r="29" spans="1:4">
      <c r="A29" s="41" t="s">
        <v>277</v>
      </c>
      <c r="B29" s="247">
        <f>B34*'ha_N2O bodem landbouw'!B4</f>
        <v>30.477500027501495</v>
      </c>
      <c r="C29" s="247">
        <f>B29*'GWP N2O_CH4'!B4</f>
        <v>9448.0250085254629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6.8355663245914097E-3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7.9019724879672939E-5</v>
      </c>
      <c r="C5" s="464" t="s">
        <v>211</v>
      </c>
      <c r="D5" s="449">
        <f>SUM(D6:D11)</f>
        <v>2.1194623324801134E-4</v>
      </c>
      <c r="E5" s="449">
        <f>SUM(E6:E11)</f>
        <v>1.3463754392267805E-3</v>
      </c>
      <c r="F5" s="462" t="s">
        <v>211</v>
      </c>
      <c r="G5" s="449">
        <f>SUM(G6:G11)</f>
        <v>0.42838498749453752</v>
      </c>
      <c r="H5" s="449">
        <f>SUM(H6:H11)</f>
        <v>8.0020549806481503E-2</v>
      </c>
      <c r="I5" s="464" t="s">
        <v>211</v>
      </c>
      <c r="J5" s="464" t="s">
        <v>211</v>
      </c>
      <c r="K5" s="464" t="s">
        <v>211</v>
      </c>
      <c r="L5" s="464" t="s">
        <v>211</v>
      </c>
      <c r="M5" s="449">
        <f>SUM(M6:M11)</f>
        <v>2.7243449762585314E-2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6.2617488293783541E-5</v>
      </c>
      <c r="C6" s="450"/>
      <c r="D6" s="963">
        <f>vkm_2011_GW_PW*SUMIFS(TableVerdeelsleutelVkm[CNG],TableVerdeelsleutelVkm[Voertuigtype],"Lichte voertuigen")*SUMIFS(TableECFTransport[EnergieConsumptieFactor (PJ per km)],TableECFTransport[Index],CONCATENATE($A6,"_CNG_CNG"))</f>
        <v>1.4484114432340478E-4</v>
      </c>
      <c r="E6" s="963">
        <f>vkm_2011_GW_PW*SUMIFS(TableVerdeelsleutelVkm[LPG],TableVerdeelsleutelVkm[Voertuigtype],"Lichte voertuigen")*SUMIFS(TableECFTransport[EnergieConsumptieFactor (PJ per km)],TableECFTransport[Index],CONCATENATE($A6,"_LPG_LPG"))</f>
        <v>9.4311806471696926E-4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0.195925800502949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5.5227434234142878E-2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1.3033550921613993E-2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0.13421565490633511</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4.5899316508130593E-5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7.7651364051882048E-3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1.6402236585889392E-5</v>
      </c>
      <c r="C8" s="450"/>
      <c r="D8" s="452">
        <f>vkm_2011_NGW_PW*SUMIFS(TableVerdeelsleutelVkm[CNG],TableVerdeelsleutelVkm[Voertuigtype],"Lichte voertuigen")*SUMIFS(TableECFTransport[EnergieConsumptieFactor (PJ per km)],TableECFTransport[Index],CONCATENATE($A8,"_CNG_CNG"))</f>
        <v>6.7105088924606558E-5</v>
      </c>
      <c r="E8" s="452">
        <f>vkm_2011_NGW_PW*SUMIFS(TableVerdeelsleutelVkm[LPG],TableVerdeelsleutelVkm[Voertuigtype],"Lichte voertuigen")*SUMIFS(TableECFTransport[EnergieConsumptieFactor (PJ per km)],TableECFTransport[Index],CONCATENATE($A8,"_LPG_LPG"))</f>
        <v>4.032573745098112E-4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7.8311989718702402E-2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2.474076664089693E-2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5.2916210190015424E-3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1.9931542366551029E-2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6.4496149335628101E-6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1.1531414167815707E-3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21.949923577686928</v>
      </c>
      <c r="C14" s="21"/>
      <c r="D14" s="21">
        <f t="shared" ref="D14:M14" si="0">((D5)*10^9/3600)+D12</f>
        <v>58.873953680003147</v>
      </c>
      <c r="E14" s="21">
        <f t="shared" si="0"/>
        <v>373.99317756299462</v>
      </c>
      <c r="F14" s="21"/>
      <c r="G14" s="21">
        <f t="shared" si="0"/>
        <v>118995.82985959375</v>
      </c>
      <c r="H14" s="21">
        <f t="shared" si="0"/>
        <v>22227.93050180042</v>
      </c>
      <c r="I14" s="21"/>
      <c r="J14" s="21"/>
      <c r="K14" s="21"/>
      <c r="L14" s="21"/>
      <c r="M14" s="21">
        <f t="shared" si="0"/>
        <v>7567.624934051476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0.18541984366373238</v>
      </c>
      <c r="C16" s="56">
        <f ca="1">'EF ele_warmte'!B22</f>
        <v>0.14957960981260279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4.0699513982055837</v>
      </c>
      <c r="C18" s="23"/>
      <c r="D18" s="23">
        <f t="shared" ref="D18:M18" si="1">D14*D16</f>
        <v>11.892538643360636</v>
      </c>
      <c r="E18" s="23">
        <f t="shared" si="1"/>
        <v>84.896451306799776</v>
      </c>
      <c r="F18" s="23"/>
      <c r="G18" s="23">
        <f t="shared" si="1"/>
        <v>31771.886572511532</v>
      </c>
      <c r="H18" s="23">
        <f t="shared" si="1"/>
        <v>5534.7546949483049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7.2191145783416788E-3</v>
      </c>
      <c r="H50" s="321">
        <f t="shared" si="2"/>
        <v>0</v>
      </c>
      <c r="I50" s="321">
        <f t="shared" si="2"/>
        <v>0</v>
      </c>
      <c r="J50" s="321">
        <f t="shared" si="2"/>
        <v>0</v>
      </c>
      <c r="K50" s="321">
        <f t="shared" si="2"/>
        <v>0</v>
      </c>
      <c r="L50" s="321">
        <f t="shared" si="2"/>
        <v>0</v>
      </c>
      <c r="M50" s="321">
        <f t="shared" si="2"/>
        <v>4.116850595469923E-4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7.2191145783416788E-3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4.116850595469923E-4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2005.3096050949107</v>
      </c>
      <c r="H54" s="21">
        <f t="shared" si="3"/>
        <v>0</v>
      </c>
      <c r="I54" s="21">
        <f t="shared" si="3"/>
        <v>0</v>
      </c>
      <c r="J54" s="21">
        <f t="shared" si="3"/>
        <v>0</v>
      </c>
      <c r="K54" s="21">
        <f t="shared" si="3"/>
        <v>0</v>
      </c>
      <c r="L54" s="21">
        <f t="shared" si="3"/>
        <v>0</v>
      </c>
      <c r="M54" s="21">
        <f t="shared" si="3"/>
        <v>114.35696098527563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0.18541984366373238</v>
      </c>
      <c r="C56" s="56">
        <f ca="1">'EF ele_warmte'!B22</f>
        <v>0.14957960981260279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535.41766456034122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10039.473611228927</v>
      </c>
      <c r="C6" s="1223"/>
      <c r="D6" s="1226"/>
      <c r="E6" s="1226"/>
      <c r="F6" s="1229"/>
      <c r="G6" s="1232"/>
      <c r="H6" s="1220"/>
      <c r="I6" s="1226"/>
      <c r="J6" s="1226"/>
      <c r="K6" s="1226"/>
      <c r="L6" s="1256"/>
      <c r="M6" s="576"/>
      <c r="N6" s="1268"/>
      <c r="O6" s="1269"/>
      <c r="Q6" s="574"/>
      <c r="R6" s="1253"/>
      <c r="S6" s="1253"/>
    </row>
    <row r="7" spans="1:19" s="564" customFormat="1">
      <c r="A7" s="577" t="s">
        <v>252</v>
      </c>
      <c r="B7" s="578">
        <f>N57</f>
        <v>68098.5</v>
      </c>
      <c r="C7" s="579">
        <f>B100</f>
        <v>50426.470588235294</v>
      </c>
      <c r="D7" s="580"/>
      <c r="E7" s="580">
        <f>E100</f>
        <v>0</v>
      </c>
      <c r="F7" s="581"/>
      <c r="G7" s="582"/>
      <c r="H7" s="580">
        <f>I100</f>
        <v>0</v>
      </c>
      <c r="I7" s="580">
        <f>G100+F100</f>
        <v>0</v>
      </c>
      <c r="J7" s="580">
        <f>H100+D100+C100</f>
        <v>29689.411764705885</v>
      </c>
      <c r="K7" s="580"/>
      <c r="L7" s="583"/>
      <c r="M7" s="584">
        <f>C7*$C$11+D7*$D$11+E7*$E$11+F7*$F$11+G7*$G$11+H7*$H$11+I7*$I$11+J7*$J$11</f>
        <v>10186.14705882353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78137.973611228925</v>
      </c>
      <c r="C9" s="595">
        <f t="shared" ref="C9:L9" si="0">SUM(C7:C8)</f>
        <v>50426.470588235294</v>
      </c>
      <c r="D9" s="595">
        <f t="shared" si="0"/>
        <v>0</v>
      </c>
      <c r="E9" s="595">
        <f t="shared" si="0"/>
        <v>0</v>
      </c>
      <c r="F9" s="595">
        <f t="shared" si="0"/>
        <v>0</v>
      </c>
      <c r="G9" s="595">
        <f t="shared" si="0"/>
        <v>0</v>
      </c>
      <c r="H9" s="595">
        <f t="shared" si="0"/>
        <v>0</v>
      </c>
      <c r="I9" s="595">
        <f t="shared" si="0"/>
        <v>0</v>
      </c>
      <c r="J9" s="595">
        <f t="shared" si="0"/>
        <v>29689.411764705885</v>
      </c>
      <c r="K9" s="595">
        <f t="shared" si="0"/>
        <v>0</v>
      </c>
      <c r="L9" s="595">
        <f t="shared" si="0"/>
        <v>0</v>
      </c>
      <c r="M9" s="596">
        <f>SUM(M4:M8)</f>
        <v>10186.14705882353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97283.57142857142</v>
      </c>
      <c r="C16" s="611">
        <f>B101</f>
        <v>72037.815126050424</v>
      </c>
      <c r="D16" s="612"/>
      <c r="E16" s="612">
        <f>E101</f>
        <v>0</v>
      </c>
      <c r="F16" s="613"/>
      <c r="G16" s="614"/>
      <c r="H16" s="611">
        <f>I101</f>
        <v>0</v>
      </c>
      <c r="I16" s="612">
        <f>G101+F101</f>
        <v>0</v>
      </c>
      <c r="J16" s="612">
        <f>H101+D101+C101</f>
        <v>42413.445378151264</v>
      </c>
      <c r="K16" s="612"/>
      <c r="L16" s="615"/>
      <c r="M16" s="616">
        <f>C16*$C$21+E16*$E$21+H16*$H$21+I16*$I$21+J16*$J$21+D16*$D$21+F16*$F$21+G16*$G$21+K16*$K$21+L16*$L$21</f>
        <v>14551.638655462186</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97283.57142857142</v>
      </c>
      <c r="C19" s="594">
        <f>SUM(C16:C18)</f>
        <v>72037.815126050424</v>
      </c>
      <c r="D19" s="594">
        <f t="shared" ref="D19:M19" si="1">SUM(D16:D18)</f>
        <v>0</v>
      </c>
      <c r="E19" s="594">
        <f t="shared" si="1"/>
        <v>0</v>
      </c>
      <c r="F19" s="594">
        <f t="shared" si="1"/>
        <v>0</v>
      </c>
      <c r="G19" s="594">
        <f t="shared" si="1"/>
        <v>0</v>
      </c>
      <c r="H19" s="594">
        <f t="shared" si="1"/>
        <v>0</v>
      </c>
      <c r="I19" s="594">
        <f t="shared" si="1"/>
        <v>0</v>
      </c>
      <c r="J19" s="594">
        <f t="shared" si="1"/>
        <v>42413.445378151264</v>
      </c>
      <c r="K19" s="594">
        <f t="shared" si="1"/>
        <v>0</v>
      </c>
      <c r="L19" s="594">
        <f t="shared" si="1"/>
        <v>0</v>
      </c>
      <c r="M19" s="621">
        <f t="shared" si="1"/>
        <v>14551.638655462186</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44011</v>
      </c>
      <c r="C27" s="852">
        <v>9800</v>
      </c>
      <c r="D27" s="673" t="s">
        <v>871</v>
      </c>
      <c r="E27" s="672" t="s">
        <v>872</v>
      </c>
      <c r="F27" s="672" t="s">
        <v>873</v>
      </c>
      <c r="G27" s="672" t="s">
        <v>874</v>
      </c>
      <c r="H27" s="672" t="s">
        <v>875</v>
      </c>
      <c r="I27" s="672" t="s">
        <v>872</v>
      </c>
      <c r="J27" s="851">
        <v>39860</v>
      </c>
      <c r="K27" s="851">
        <v>39875</v>
      </c>
      <c r="L27" s="672" t="s">
        <v>876</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38.25">
      <c r="A28" s="625"/>
      <c r="B28" s="852">
        <v>44011</v>
      </c>
      <c r="C28" s="852">
        <v>9800</v>
      </c>
      <c r="D28" s="673" t="s">
        <v>877</v>
      </c>
      <c r="E28" s="672" t="s">
        <v>878</v>
      </c>
      <c r="F28" s="672" t="s">
        <v>879</v>
      </c>
      <c r="G28" s="672" t="s">
        <v>880</v>
      </c>
      <c r="H28" s="672" t="s">
        <v>875</v>
      </c>
      <c r="I28" s="672" t="s">
        <v>878</v>
      </c>
      <c r="J28" s="851">
        <v>40718</v>
      </c>
      <c r="K28" s="851">
        <v>40718</v>
      </c>
      <c r="L28" s="672" t="s">
        <v>876</v>
      </c>
      <c r="M28" s="672">
        <v>5608</v>
      </c>
      <c r="N28" s="672">
        <v>25236</v>
      </c>
      <c r="O28" s="672">
        <v>36051.428571428572</v>
      </c>
      <c r="P28" s="672">
        <v>0</v>
      </c>
      <c r="Q28" s="672">
        <v>0</v>
      </c>
      <c r="R28" s="672">
        <v>0</v>
      </c>
      <c r="S28" s="672">
        <v>0</v>
      </c>
      <c r="T28" s="672">
        <v>0</v>
      </c>
      <c r="U28" s="672">
        <v>0</v>
      </c>
      <c r="V28" s="672">
        <v>72102.857142857145</v>
      </c>
      <c r="W28" s="672">
        <v>0</v>
      </c>
      <c r="X28" s="672">
        <v>10</v>
      </c>
      <c r="Y28" s="672" t="s">
        <v>112</v>
      </c>
      <c r="Z28" s="674" t="s">
        <v>112</v>
      </c>
    </row>
    <row r="29" spans="1:26" s="626" customFormat="1" ht="38.25">
      <c r="A29" s="625"/>
      <c r="B29" s="852">
        <v>44011</v>
      </c>
      <c r="C29" s="852">
        <v>9800</v>
      </c>
      <c r="D29" s="673" t="s">
        <v>881</v>
      </c>
      <c r="E29" s="672" t="s">
        <v>882</v>
      </c>
      <c r="F29" s="672" t="s">
        <v>883</v>
      </c>
      <c r="G29" s="672" t="s">
        <v>874</v>
      </c>
      <c r="H29" s="672" t="s">
        <v>875</v>
      </c>
      <c r="I29" s="672" t="s">
        <v>884</v>
      </c>
      <c r="J29" s="851">
        <v>41320</v>
      </c>
      <c r="K29" s="851">
        <v>41320</v>
      </c>
      <c r="L29" s="672" t="s">
        <v>876</v>
      </c>
      <c r="M29" s="672">
        <v>7525</v>
      </c>
      <c r="N29" s="672">
        <v>33862.5</v>
      </c>
      <c r="O29" s="672">
        <v>48375</v>
      </c>
      <c r="P29" s="672">
        <v>96750</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15133</v>
      </c>
      <c r="N57" s="630">
        <f>SUM(N27:N56)</f>
        <v>68098.5</v>
      </c>
      <c r="O57" s="630">
        <f t="shared" ref="O57:W57" si="2">SUM(O27:O56)</f>
        <v>97283.57142857142</v>
      </c>
      <c r="P57" s="630">
        <f t="shared" si="2"/>
        <v>122464.28571428571</v>
      </c>
      <c r="Q57" s="630">
        <f t="shared" si="2"/>
        <v>0</v>
      </c>
      <c r="R57" s="630">
        <f t="shared" si="2"/>
        <v>0</v>
      </c>
      <c r="S57" s="630">
        <f t="shared" si="2"/>
        <v>0</v>
      </c>
      <c r="T57" s="630">
        <f t="shared" si="2"/>
        <v>0</v>
      </c>
      <c r="U57" s="630">
        <f t="shared" si="2"/>
        <v>0</v>
      </c>
      <c r="V57" s="630">
        <f t="shared" si="2"/>
        <v>72102.857142857145</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15133</v>
      </c>
      <c r="N60" s="635">
        <f t="shared" ref="N60:W60" si="4">SUMIF($Z$27:$Z$56,"landbouw",N27:N56)</f>
        <v>68098.5</v>
      </c>
      <c r="O60" s="635">
        <f t="shared" si="4"/>
        <v>97283.57142857142</v>
      </c>
      <c r="P60" s="635">
        <f t="shared" si="4"/>
        <v>122464.28571428571</v>
      </c>
      <c r="Q60" s="635">
        <f t="shared" si="4"/>
        <v>0</v>
      </c>
      <c r="R60" s="635">
        <f t="shared" si="4"/>
        <v>0</v>
      </c>
      <c r="S60" s="635">
        <f t="shared" si="4"/>
        <v>0</v>
      </c>
      <c r="T60" s="635">
        <f t="shared" si="4"/>
        <v>0</v>
      </c>
      <c r="U60" s="635">
        <f t="shared" si="4"/>
        <v>0</v>
      </c>
      <c r="V60" s="635">
        <f t="shared" si="4"/>
        <v>72102.857142857145</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50426.470588235294</v>
      </c>
      <c r="C100" s="664">
        <f t="shared" si="9"/>
        <v>0</v>
      </c>
      <c r="D100" s="664">
        <f t="shared" si="9"/>
        <v>0</v>
      </c>
      <c r="E100" s="664">
        <f t="shared" si="9"/>
        <v>0</v>
      </c>
      <c r="F100" s="664">
        <f t="shared" si="9"/>
        <v>0</v>
      </c>
      <c r="G100" s="664">
        <f t="shared" si="9"/>
        <v>0</v>
      </c>
      <c r="H100" s="664">
        <f t="shared" si="9"/>
        <v>29689.411764705885</v>
      </c>
      <c r="I100" s="665">
        <f t="shared" si="9"/>
        <v>0</v>
      </c>
      <c r="J100" s="622"/>
      <c r="K100" s="622"/>
      <c r="L100" s="660"/>
      <c r="M100" s="647"/>
      <c r="N100" s="647"/>
    </row>
    <row r="101" spans="1:14" ht="15.75" thickBot="1">
      <c r="A101" s="666" t="s">
        <v>286</v>
      </c>
      <c r="B101" s="667">
        <f>$B$97*P57</f>
        <v>72037.815126050424</v>
      </c>
      <c r="C101" s="667">
        <f t="shared" ref="C101:H101" si="10">$B$97*Q57</f>
        <v>0</v>
      </c>
      <c r="D101" s="667">
        <f t="shared" si="10"/>
        <v>0</v>
      </c>
      <c r="E101" s="667">
        <f t="shared" si="10"/>
        <v>0</v>
      </c>
      <c r="F101" s="667">
        <f t="shared" si="10"/>
        <v>0</v>
      </c>
      <c r="G101" s="667">
        <f t="shared" si="10"/>
        <v>0</v>
      </c>
      <c r="H101" s="667">
        <f t="shared" si="10"/>
        <v>42413.445378151264</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50259.663000000008</v>
      </c>
      <c r="D10" s="719">
        <f ca="1">tertiair!C16</f>
        <v>0</v>
      </c>
      <c r="E10" s="719">
        <f ca="1">tertiair!D16</f>
        <v>50447.196528867396</v>
      </c>
      <c r="F10" s="719">
        <f>tertiair!E16</f>
        <v>466.51496844064729</v>
      </c>
      <c r="G10" s="719">
        <f ca="1">tertiair!F16</f>
        <v>6955.2419731610753</v>
      </c>
      <c r="H10" s="719">
        <f>tertiair!G16</f>
        <v>0</v>
      </c>
      <c r="I10" s="719">
        <f>tertiair!H16</f>
        <v>0</v>
      </c>
      <c r="J10" s="719">
        <f>tertiair!I16</f>
        <v>0</v>
      </c>
      <c r="K10" s="719">
        <f>tertiair!J16</f>
        <v>0</v>
      </c>
      <c r="L10" s="719">
        <f>tertiair!K16</f>
        <v>0</v>
      </c>
      <c r="M10" s="719">
        <f ca="1">tertiair!L16</f>
        <v>0</v>
      </c>
      <c r="N10" s="719">
        <f>tertiair!M16</f>
        <v>0</v>
      </c>
      <c r="O10" s="719">
        <f ca="1">tertiair!N16</f>
        <v>3530.8575060661824</v>
      </c>
      <c r="P10" s="719">
        <f>tertiair!O16</f>
        <v>0</v>
      </c>
      <c r="Q10" s="720">
        <f>tertiair!P16</f>
        <v>95.333333333333343</v>
      </c>
      <c r="R10" s="722">
        <f ca="1">SUM(C10:Q10)</f>
        <v>111754.80730986864</v>
      </c>
      <c r="S10" s="67"/>
    </row>
    <row r="11" spans="1:19" s="475" customFormat="1">
      <c r="A11" s="871" t="s">
        <v>225</v>
      </c>
      <c r="B11" s="876"/>
      <c r="C11" s="719">
        <f>huishoudens!B8</f>
        <v>58622.780371786779</v>
      </c>
      <c r="D11" s="719">
        <f>huishoudens!C8</f>
        <v>0</v>
      </c>
      <c r="E11" s="719">
        <f>huishoudens!D8</f>
        <v>84290.410263312791</v>
      </c>
      <c r="F11" s="719">
        <f>huishoudens!E8</f>
        <v>8039.5200920772359</v>
      </c>
      <c r="G11" s="719">
        <f>huishoudens!F8</f>
        <v>41562.474878324399</v>
      </c>
      <c r="H11" s="719">
        <f>huishoudens!G8</f>
        <v>0</v>
      </c>
      <c r="I11" s="719">
        <f>huishoudens!H8</f>
        <v>0</v>
      </c>
      <c r="J11" s="719">
        <f>huishoudens!I8</f>
        <v>0</v>
      </c>
      <c r="K11" s="719">
        <f>huishoudens!J8</f>
        <v>0</v>
      </c>
      <c r="L11" s="719">
        <f>huishoudens!K8</f>
        <v>0</v>
      </c>
      <c r="M11" s="719">
        <f>huishoudens!L8</f>
        <v>0</v>
      </c>
      <c r="N11" s="719">
        <f>huishoudens!M8</f>
        <v>0</v>
      </c>
      <c r="O11" s="719">
        <f>huishoudens!N8</f>
        <v>21168.995985886602</v>
      </c>
      <c r="P11" s="719">
        <f>huishoudens!O8</f>
        <v>498.70333333333332</v>
      </c>
      <c r="Q11" s="720">
        <f>huishoudens!P8</f>
        <v>838.93333333333339</v>
      </c>
      <c r="R11" s="722">
        <f>SUM(C11:Q11)</f>
        <v>215021.81825805447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85679.285677000007</v>
      </c>
      <c r="D13" s="719">
        <f>industrie!C18</f>
        <v>0</v>
      </c>
      <c r="E13" s="719">
        <f>industrie!D18</f>
        <v>86849.921262346659</v>
      </c>
      <c r="F13" s="719">
        <f>industrie!E18</f>
        <v>5387.6430134948614</v>
      </c>
      <c r="G13" s="719">
        <f>industrie!F18</f>
        <v>94307.495296071938</v>
      </c>
      <c r="H13" s="719">
        <f>industrie!G18</f>
        <v>0</v>
      </c>
      <c r="I13" s="719">
        <f>industrie!H18</f>
        <v>0</v>
      </c>
      <c r="J13" s="719">
        <f>industrie!I18</f>
        <v>0</v>
      </c>
      <c r="K13" s="719">
        <f>industrie!J18</f>
        <v>1027.1516457505197</v>
      </c>
      <c r="L13" s="719">
        <f>industrie!K18</f>
        <v>0</v>
      </c>
      <c r="M13" s="719">
        <f>industrie!L18</f>
        <v>0</v>
      </c>
      <c r="N13" s="719">
        <f>industrie!M18</f>
        <v>0</v>
      </c>
      <c r="O13" s="719">
        <f>industrie!N18</f>
        <v>29156.779021426508</v>
      </c>
      <c r="P13" s="719">
        <f>industrie!O18</f>
        <v>0</v>
      </c>
      <c r="Q13" s="720">
        <f>industrie!P18</f>
        <v>0</v>
      </c>
      <c r="R13" s="722">
        <f>SUM(C13:Q13)</f>
        <v>302408.27591609053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194561.7290487868</v>
      </c>
      <c r="D15" s="724">
        <f t="shared" ref="D15:Q15" ca="1" si="0">SUM(D9:D14)</f>
        <v>0</v>
      </c>
      <c r="E15" s="724">
        <f t="shared" ca="1" si="0"/>
        <v>221587.52805452683</v>
      </c>
      <c r="F15" s="724">
        <f t="shared" si="0"/>
        <v>13893.678074012743</v>
      </c>
      <c r="G15" s="724">
        <f t="shared" ca="1" si="0"/>
        <v>142825.21214755741</v>
      </c>
      <c r="H15" s="724">
        <f t="shared" si="0"/>
        <v>0</v>
      </c>
      <c r="I15" s="724">
        <f t="shared" si="0"/>
        <v>0</v>
      </c>
      <c r="J15" s="724">
        <f t="shared" si="0"/>
        <v>0</v>
      </c>
      <c r="K15" s="724">
        <f t="shared" si="0"/>
        <v>1027.1516457505197</v>
      </c>
      <c r="L15" s="724">
        <f t="shared" si="0"/>
        <v>0</v>
      </c>
      <c r="M15" s="724">
        <f t="shared" ca="1" si="0"/>
        <v>0</v>
      </c>
      <c r="N15" s="724">
        <f t="shared" si="0"/>
        <v>0</v>
      </c>
      <c r="O15" s="724">
        <f t="shared" ca="1" si="0"/>
        <v>53856.632513379293</v>
      </c>
      <c r="P15" s="724">
        <f t="shared" si="0"/>
        <v>498.70333333333332</v>
      </c>
      <c r="Q15" s="725">
        <f t="shared" si="0"/>
        <v>934.26666666666677</v>
      </c>
      <c r="R15" s="726">
        <f ca="1">SUM(R9:R14)</f>
        <v>629184.90148401365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2005.3096050949107</v>
      </c>
      <c r="I18" s="719">
        <f>transport!H54</f>
        <v>0</v>
      </c>
      <c r="J18" s="719">
        <f>transport!I54</f>
        <v>0</v>
      </c>
      <c r="K18" s="719">
        <f>transport!J54</f>
        <v>0</v>
      </c>
      <c r="L18" s="719">
        <f>transport!K54</f>
        <v>0</v>
      </c>
      <c r="M18" s="719">
        <f>transport!L54</f>
        <v>0</v>
      </c>
      <c r="N18" s="719">
        <f>transport!M54</f>
        <v>114.35696098527563</v>
      </c>
      <c r="O18" s="719">
        <f>transport!N54</f>
        <v>0</v>
      </c>
      <c r="P18" s="719">
        <f>transport!O54</f>
        <v>0</v>
      </c>
      <c r="Q18" s="720">
        <f>transport!P54</f>
        <v>0</v>
      </c>
      <c r="R18" s="722">
        <f>SUM(C18:Q18)</f>
        <v>2119.6665660801864</v>
      </c>
      <c r="S18" s="67"/>
    </row>
    <row r="19" spans="1:19" s="475" customFormat="1" ht="15" thickBot="1">
      <c r="A19" s="871" t="s">
        <v>307</v>
      </c>
      <c r="B19" s="876"/>
      <c r="C19" s="728">
        <f>transport!B14</f>
        <v>21.949923577686928</v>
      </c>
      <c r="D19" s="728">
        <f>transport!C14</f>
        <v>0</v>
      </c>
      <c r="E19" s="728">
        <f>transport!D14</f>
        <v>58.873953680003147</v>
      </c>
      <c r="F19" s="728">
        <f>transport!E14</f>
        <v>373.99317756299462</v>
      </c>
      <c r="G19" s="728">
        <f>transport!F14</f>
        <v>0</v>
      </c>
      <c r="H19" s="728">
        <f>transport!G14</f>
        <v>118995.82985959375</v>
      </c>
      <c r="I19" s="728">
        <f>transport!H14</f>
        <v>22227.93050180042</v>
      </c>
      <c r="J19" s="728">
        <f>transport!I14</f>
        <v>0</v>
      </c>
      <c r="K19" s="728">
        <f>transport!J14</f>
        <v>0</v>
      </c>
      <c r="L19" s="728">
        <f>transport!K14</f>
        <v>0</v>
      </c>
      <c r="M19" s="728">
        <f>transport!L14</f>
        <v>0</v>
      </c>
      <c r="N19" s="728">
        <f>transport!M14</f>
        <v>7567.624934051476</v>
      </c>
      <c r="O19" s="728">
        <f>transport!N14</f>
        <v>0</v>
      </c>
      <c r="P19" s="728">
        <f>transport!O14</f>
        <v>0</v>
      </c>
      <c r="Q19" s="729">
        <f>transport!P14</f>
        <v>0</v>
      </c>
      <c r="R19" s="730">
        <f>SUM(C19:Q19)</f>
        <v>149246.20235026634</v>
      </c>
      <c r="S19" s="67"/>
    </row>
    <row r="20" spans="1:19" s="475" customFormat="1" ht="15.75" thickBot="1">
      <c r="A20" s="731" t="s">
        <v>230</v>
      </c>
      <c r="B20" s="879"/>
      <c r="C20" s="874">
        <f>SUM(C17:C19)</f>
        <v>21.949923577686928</v>
      </c>
      <c r="D20" s="732">
        <f t="shared" ref="D20:R20" si="1">SUM(D17:D19)</f>
        <v>0</v>
      </c>
      <c r="E20" s="732">
        <f t="shared" si="1"/>
        <v>58.873953680003147</v>
      </c>
      <c r="F20" s="732">
        <f t="shared" si="1"/>
        <v>373.99317756299462</v>
      </c>
      <c r="G20" s="732">
        <f t="shared" si="1"/>
        <v>0</v>
      </c>
      <c r="H20" s="732">
        <f t="shared" si="1"/>
        <v>121001.13946468866</v>
      </c>
      <c r="I20" s="732">
        <f t="shared" si="1"/>
        <v>22227.93050180042</v>
      </c>
      <c r="J20" s="732">
        <f t="shared" si="1"/>
        <v>0</v>
      </c>
      <c r="K20" s="732">
        <f t="shared" si="1"/>
        <v>0</v>
      </c>
      <c r="L20" s="732">
        <f t="shared" si="1"/>
        <v>0</v>
      </c>
      <c r="M20" s="732">
        <f t="shared" si="1"/>
        <v>0</v>
      </c>
      <c r="N20" s="732">
        <f t="shared" si="1"/>
        <v>7681.9818950367517</v>
      </c>
      <c r="O20" s="732">
        <f t="shared" si="1"/>
        <v>0</v>
      </c>
      <c r="P20" s="732">
        <f t="shared" si="1"/>
        <v>0</v>
      </c>
      <c r="Q20" s="733">
        <f t="shared" si="1"/>
        <v>0</v>
      </c>
      <c r="R20" s="734">
        <f t="shared" si="1"/>
        <v>151365.86891634652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4469.5529000000006</v>
      </c>
      <c r="D22" s="728">
        <f>+landbouw!C8</f>
        <v>97283.57142857142</v>
      </c>
      <c r="E22" s="728">
        <f>+landbouw!D8</f>
        <v>0</v>
      </c>
      <c r="F22" s="728">
        <f>+landbouw!E8</f>
        <v>41.398870980634271</v>
      </c>
      <c r="G22" s="728">
        <f>+landbouw!F8</f>
        <v>11340.107156253676</v>
      </c>
      <c r="H22" s="728">
        <f>+landbouw!G8</f>
        <v>0</v>
      </c>
      <c r="I22" s="728">
        <f>+landbouw!H8</f>
        <v>0</v>
      </c>
      <c r="J22" s="728">
        <f>+landbouw!I8</f>
        <v>0</v>
      </c>
      <c r="K22" s="728">
        <f>+landbouw!J8</f>
        <v>685.23233992594453</v>
      </c>
      <c r="L22" s="728">
        <f>+landbouw!K8</f>
        <v>0</v>
      </c>
      <c r="M22" s="728">
        <f>+landbouw!L8</f>
        <v>0</v>
      </c>
      <c r="N22" s="728">
        <f>+landbouw!M8</f>
        <v>0</v>
      </c>
      <c r="O22" s="728">
        <f>+landbouw!N8</f>
        <v>0</v>
      </c>
      <c r="P22" s="728">
        <f>+landbouw!O8</f>
        <v>0</v>
      </c>
      <c r="Q22" s="729">
        <f>+landbouw!P8</f>
        <v>0</v>
      </c>
      <c r="R22" s="730">
        <f>SUM(C22:Q22)</f>
        <v>113819.86269573167</v>
      </c>
      <c r="S22" s="67"/>
    </row>
    <row r="23" spans="1:19" s="475" customFormat="1" ht="17.25" thickTop="1" thickBot="1">
      <c r="A23" s="735" t="s">
        <v>116</v>
      </c>
      <c r="B23" s="865"/>
      <c r="C23" s="736">
        <f ca="1">C20+C15+C22</f>
        <v>199053.2318723645</v>
      </c>
      <c r="D23" s="736">
        <f t="shared" ref="D23:Q23" ca="1" si="2">D20+D15+D22</f>
        <v>97283.57142857142</v>
      </c>
      <c r="E23" s="736">
        <f t="shared" ca="1" si="2"/>
        <v>221646.40200820685</v>
      </c>
      <c r="F23" s="736">
        <f t="shared" si="2"/>
        <v>14309.070122556372</v>
      </c>
      <c r="G23" s="736">
        <f t="shared" ca="1" si="2"/>
        <v>154165.31930381109</v>
      </c>
      <c r="H23" s="736">
        <f t="shared" si="2"/>
        <v>121001.13946468866</v>
      </c>
      <c r="I23" s="736">
        <f t="shared" si="2"/>
        <v>22227.93050180042</v>
      </c>
      <c r="J23" s="736">
        <f t="shared" si="2"/>
        <v>0</v>
      </c>
      <c r="K23" s="736">
        <f t="shared" si="2"/>
        <v>1712.3839856764644</v>
      </c>
      <c r="L23" s="736">
        <f t="shared" si="2"/>
        <v>0</v>
      </c>
      <c r="M23" s="736">
        <f t="shared" ca="1" si="2"/>
        <v>0</v>
      </c>
      <c r="N23" s="736">
        <f t="shared" si="2"/>
        <v>7681.9818950367517</v>
      </c>
      <c r="O23" s="736">
        <f t="shared" ca="1" si="2"/>
        <v>53856.632513379293</v>
      </c>
      <c r="P23" s="736">
        <f t="shared" si="2"/>
        <v>498.70333333333332</v>
      </c>
      <c r="Q23" s="737">
        <f t="shared" si="2"/>
        <v>934.26666666666677</v>
      </c>
      <c r="R23" s="738">
        <f ca="1">R20+R15+R22</f>
        <v>894370.63309609191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9319.1388560518772</v>
      </c>
      <c r="D36" s="719">
        <f ca="1">tertiair!C20</f>
        <v>0</v>
      </c>
      <c r="E36" s="719">
        <f ca="1">tertiair!D20</f>
        <v>10190.333698831215</v>
      </c>
      <c r="F36" s="719">
        <f>tertiair!E20</f>
        <v>105.89889783602693</v>
      </c>
      <c r="G36" s="719">
        <f ca="1">tertiair!F20</f>
        <v>1857.0496068340071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21472.421059553126</v>
      </c>
    </row>
    <row r="37" spans="1:18">
      <c r="A37" s="886" t="s">
        <v>225</v>
      </c>
      <c r="B37" s="893"/>
      <c r="C37" s="719">
        <f ca="1">huishoudens!B12</f>
        <v>10869.826771670023</v>
      </c>
      <c r="D37" s="719">
        <f ca="1">huishoudens!C12</f>
        <v>0</v>
      </c>
      <c r="E37" s="719">
        <f>huishoudens!D12</f>
        <v>17026.662873189183</v>
      </c>
      <c r="F37" s="719">
        <f>huishoudens!E12</f>
        <v>1824.9710609015326</v>
      </c>
      <c r="G37" s="719">
        <f>huishoudens!F12</f>
        <v>11097.180792512616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40818.641498273355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15886.639755449605</v>
      </c>
      <c r="D39" s="719">
        <f ca="1">industrie!C22</f>
        <v>0</v>
      </c>
      <c r="E39" s="719">
        <f>industrie!D22</f>
        <v>17543.684094994027</v>
      </c>
      <c r="F39" s="719">
        <f>industrie!E22</f>
        <v>1222.9949640633336</v>
      </c>
      <c r="G39" s="719">
        <f>industrie!F22</f>
        <v>25180.10124405121</v>
      </c>
      <c r="H39" s="719">
        <f>industrie!G22</f>
        <v>0</v>
      </c>
      <c r="I39" s="719">
        <f>industrie!H22</f>
        <v>0</v>
      </c>
      <c r="J39" s="719">
        <f>industrie!I22</f>
        <v>0</v>
      </c>
      <c r="K39" s="719">
        <f>industrie!J22</f>
        <v>363.61168259568399</v>
      </c>
      <c r="L39" s="719">
        <f>industrie!K22</f>
        <v>0</v>
      </c>
      <c r="M39" s="719">
        <f>industrie!L22</f>
        <v>0</v>
      </c>
      <c r="N39" s="719">
        <f>industrie!M22</f>
        <v>0</v>
      </c>
      <c r="O39" s="719">
        <f>industrie!N22</f>
        <v>0</v>
      </c>
      <c r="P39" s="719">
        <f>industrie!O22</f>
        <v>0</v>
      </c>
      <c r="Q39" s="829">
        <f>industrie!P22</f>
        <v>0</v>
      </c>
      <c r="R39" s="919">
        <f ca="1">SUM(C39:Q39)</f>
        <v>60197.031741153856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36075.605383171503</v>
      </c>
      <c r="D41" s="764">
        <f t="shared" ref="D41:R41" ca="1" si="4">SUM(D35:D40)</f>
        <v>0</v>
      </c>
      <c r="E41" s="764">
        <f t="shared" ca="1" si="4"/>
        <v>44760.680667014429</v>
      </c>
      <c r="F41" s="764">
        <f t="shared" si="4"/>
        <v>3153.8649228008931</v>
      </c>
      <c r="G41" s="764">
        <f t="shared" ca="1" si="4"/>
        <v>38134.331643397833</v>
      </c>
      <c r="H41" s="764">
        <f t="shared" si="4"/>
        <v>0</v>
      </c>
      <c r="I41" s="764">
        <f t="shared" si="4"/>
        <v>0</v>
      </c>
      <c r="J41" s="764">
        <f t="shared" si="4"/>
        <v>0</v>
      </c>
      <c r="K41" s="764">
        <f t="shared" si="4"/>
        <v>363.61168259568399</v>
      </c>
      <c r="L41" s="764">
        <f t="shared" si="4"/>
        <v>0</v>
      </c>
      <c r="M41" s="764">
        <f t="shared" ca="1" si="4"/>
        <v>0</v>
      </c>
      <c r="N41" s="764">
        <f t="shared" si="4"/>
        <v>0</v>
      </c>
      <c r="O41" s="764">
        <f t="shared" ca="1" si="4"/>
        <v>0</v>
      </c>
      <c r="P41" s="764">
        <f t="shared" si="4"/>
        <v>0</v>
      </c>
      <c r="Q41" s="765">
        <f t="shared" si="4"/>
        <v>0</v>
      </c>
      <c r="R41" s="766">
        <f t="shared" ca="1" si="4"/>
        <v>122488.09429898034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535.41766456034122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535.41766456034122</v>
      </c>
    </row>
    <row r="45" spans="1:18" ht="15" thickBot="1">
      <c r="A45" s="889" t="s">
        <v>307</v>
      </c>
      <c r="B45" s="899"/>
      <c r="C45" s="728">
        <f ca="1">transport!B18</f>
        <v>4.0699513982055837</v>
      </c>
      <c r="D45" s="728">
        <f>transport!C18</f>
        <v>0</v>
      </c>
      <c r="E45" s="728">
        <f>transport!D18</f>
        <v>11.892538643360636</v>
      </c>
      <c r="F45" s="728">
        <f>transport!E18</f>
        <v>84.896451306799776</v>
      </c>
      <c r="G45" s="728">
        <f>transport!F18</f>
        <v>0</v>
      </c>
      <c r="H45" s="728">
        <f>transport!G18</f>
        <v>31771.886572511532</v>
      </c>
      <c r="I45" s="728">
        <f>transport!H18</f>
        <v>5534.7546949483049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37407.500208808204</v>
      </c>
    </row>
    <row r="46" spans="1:18" ht="15.75" thickBot="1">
      <c r="A46" s="887" t="s">
        <v>230</v>
      </c>
      <c r="B46" s="900"/>
      <c r="C46" s="764">
        <f t="shared" ref="C46:R46" ca="1" si="5">SUM(C43:C45)</f>
        <v>4.0699513982055837</v>
      </c>
      <c r="D46" s="764">
        <f t="shared" ca="1" si="5"/>
        <v>0</v>
      </c>
      <c r="E46" s="764">
        <f t="shared" si="5"/>
        <v>11.892538643360636</v>
      </c>
      <c r="F46" s="764">
        <f t="shared" si="5"/>
        <v>84.896451306799776</v>
      </c>
      <c r="G46" s="764">
        <f t="shared" si="5"/>
        <v>0</v>
      </c>
      <c r="H46" s="764">
        <f t="shared" si="5"/>
        <v>32307.304237071872</v>
      </c>
      <c r="I46" s="764">
        <f t="shared" si="5"/>
        <v>5534.7546949483049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37942.917873368548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828.74379996478183</v>
      </c>
      <c r="D48" s="719">
        <f ca="1">+landbouw!C12</f>
        <v>14551.638655462186</v>
      </c>
      <c r="E48" s="719">
        <f>+landbouw!D12</f>
        <v>0</v>
      </c>
      <c r="F48" s="719">
        <f>+landbouw!E12</f>
        <v>9.39754371260398</v>
      </c>
      <c r="G48" s="719">
        <f>+landbouw!F12</f>
        <v>3027.8086107197319</v>
      </c>
      <c r="H48" s="719">
        <f>+landbouw!G12</f>
        <v>0</v>
      </c>
      <c r="I48" s="719">
        <f>+landbouw!H12</f>
        <v>0</v>
      </c>
      <c r="J48" s="719">
        <f>+landbouw!I12</f>
        <v>0</v>
      </c>
      <c r="K48" s="719">
        <f>+landbouw!J12</f>
        <v>242.57224833378436</v>
      </c>
      <c r="L48" s="719">
        <f>+landbouw!K12</f>
        <v>0</v>
      </c>
      <c r="M48" s="719">
        <f>+landbouw!L12</f>
        <v>0</v>
      </c>
      <c r="N48" s="719">
        <f>+landbouw!M12</f>
        <v>0</v>
      </c>
      <c r="O48" s="719">
        <f>+landbouw!N12</f>
        <v>0</v>
      </c>
      <c r="P48" s="719">
        <f>+landbouw!O12</f>
        <v>0</v>
      </c>
      <c r="Q48" s="720">
        <f>+landbouw!P12</f>
        <v>0</v>
      </c>
      <c r="R48" s="762">
        <f ca="1">SUM(C48:Q48)</f>
        <v>18660.160858193089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36908.419134534488</v>
      </c>
      <c r="D53" s="774">
        <f t="shared" ref="D53:Q53" ca="1" si="6">D41+D46+D48</f>
        <v>14551.638655462186</v>
      </c>
      <c r="E53" s="774">
        <f t="shared" ca="1" si="6"/>
        <v>44772.573205657791</v>
      </c>
      <c r="F53" s="774">
        <f t="shared" si="6"/>
        <v>3248.1589178202971</v>
      </c>
      <c r="G53" s="774">
        <f t="shared" ca="1" si="6"/>
        <v>41162.140254117563</v>
      </c>
      <c r="H53" s="774">
        <f t="shared" si="6"/>
        <v>32307.304237071872</v>
      </c>
      <c r="I53" s="774">
        <f t="shared" si="6"/>
        <v>5534.7546949483049</v>
      </c>
      <c r="J53" s="774">
        <f t="shared" si="6"/>
        <v>0</v>
      </c>
      <c r="K53" s="774">
        <f t="shared" si="6"/>
        <v>606.18393092946837</v>
      </c>
      <c r="L53" s="774">
        <f t="shared" si="6"/>
        <v>0</v>
      </c>
      <c r="M53" s="774">
        <f t="shared" ca="1" si="6"/>
        <v>0</v>
      </c>
      <c r="N53" s="774">
        <f t="shared" si="6"/>
        <v>0</v>
      </c>
      <c r="O53" s="774">
        <f t="shared" ca="1" si="6"/>
        <v>0</v>
      </c>
      <c r="P53" s="774">
        <f>P41+P46+P48</f>
        <v>0</v>
      </c>
      <c r="Q53" s="775">
        <f t="shared" si="6"/>
        <v>0</v>
      </c>
      <c r="R53" s="776">
        <f ca="1">R41+R46+R48</f>
        <v>179091.17303054198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0.18541984366373235</v>
      </c>
      <c r="D55" s="837">
        <f t="shared" ca="1" si="7"/>
        <v>0.14957960981260279</v>
      </c>
      <c r="E55" s="837">
        <f t="shared" ca="1" si="7"/>
        <v>0.20200000000000004</v>
      </c>
      <c r="F55" s="837">
        <f t="shared" si="7"/>
        <v>0.22700000000000006</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10039.473611228927</v>
      </c>
      <c r="C66" s="796">
        <f>'lokale energieproductie'!B6</f>
        <v>10039.473611228927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68098.5</v>
      </c>
      <c r="C67" s="795">
        <f>B67*IFERROR(SUM(J67:L67)/SUM(D67:M67),0)</f>
        <v>25236.000000000004</v>
      </c>
      <c r="D67" s="827">
        <f>'lokale energieproductie'!C7</f>
        <v>50426.470588235294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29689.411764705885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10186.14705882353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78137.973611228925</v>
      </c>
      <c r="C69" s="804">
        <f>SUM(C64:C68)</f>
        <v>35275.473611228932</v>
      </c>
      <c r="D69" s="805">
        <f t="shared" ref="D69:M69" si="8">SUM(D67:D68)</f>
        <v>50426.470588235294</v>
      </c>
      <c r="E69" s="805">
        <f t="shared" si="8"/>
        <v>0</v>
      </c>
      <c r="F69" s="805">
        <f t="shared" si="8"/>
        <v>0</v>
      </c>
      <c r="G69" s="805">
        <f t="shared" si="8"/>
        <v>0</v>
      </c>
      <c r="H69" s="805">
        <f t="shared" si="8"/>
        <v>0</v>
      </c>
      <c r="I69" s="805">
        <f t="shared" si="8"/>
        <v>0</v>
      </c>
      <c r="J69" s="805">
        <f t="shared" si="8"/>
        <v>0</v>
      </c>
      <c r="K69" s="805">
        <f t="shared" si="8"/>
        <v>29689.411764705885</v>
      </c>
      <c r="L69" s="805">
        <f t="shared" si="8"/>
        <v>0</v>
      </c>
      <c r="M69" s="931">
        <f t="shared" si="8"/>
        <v>0</v>
      </c>
      <c r="N69" s="806">
        <v>0</v>
      </c>
      <c r="O69" s="806">
        <f>SUM(O67:O68)</f>
        <v>10186.14705882353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97283.57142857142</v>
      </c>
      <c r="C78" s="818">
        <f>B78*IFERROR(SUM(I78:L78)/SUM(D78:M78),0)</f>
        <v>36051.428571428565</v>
      </c>
      <c r="D78" s="833">
        <f>'lokale energieproductie'!C16</f>
        <v>72037.815126050424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42413.445378151264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14551.638655462186</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97283.57142857142</v>
      </c>
      <c r="C81" s="804">
        <f>SUM(C78:C80)</f>
        <v>36051.428571428565</v>
      </c>
      <c r="D81" s="804">
        <f t="shared" ref="D81:P81" si="9">SUM(D78:D80)</f>
        <v>72037.815126050424</v>
      </c>
      <c r="E81" s="804">
        <f t="shared" si="9"/>
        <v>0</v>
      </c>
      <c r="F81" s="804">
        <f t="shared" si="9"/>
        <v>0</v>
      </c>
      <c r="G81" s="804">
        <f t="shared" si="9"/>
        <v>0</v>
      </c>
      <c r="H81" s="804">
        <f t="shared" si="9"/>
        <v>0</v>
      </c>
      <c r="I81" s="804">
        <f t="shared" si="9"/>
        <v>0</v>
      </c>
      <c r="J81" s="804">
        <f t="shared" si="9"/>
        <v>0</v>
      </c>
      <c r="K81" s="804">
        <f t="shared" si="9"/>
        <v>42413.445378151264</v>
      </c>
      <c r="L81" s="804">
        <f t="shared" si="9"/>
        <v>0</v>
      </c>
      <c r="M81" s="804">
        <f t="shared" si="9"/>
        <v>0</v>
      </c>
      <c r="N81" s="804">
        <v>0</v>
      </c>
      <c r="O81" s="804">
        <f>SUM(O78:O80)</f>
        <v>14551.638655462186</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58622.780371786779</v>
      </c>
      <c r="C4" s="479">
        <f>huishoudens!C8</f>
        <v>0</v>
      </c>
      <c r="D4" s="479">
        <f>huishoudens!D8</f>
        <v>84290.410263312791</v>
      </c>
      <c r="E4" s="479">
        <f>huishoudens!E8</f>
        <v>8039.5200920772359</v>
      </c>
      <c r="F4" s="479">
        <f>huishoudens!F8</f>
        <v>41562.474878324399</v>
      </c>
      <c r="G4" s="479">
        <f>huishoudens!G8</f>
        <v>0</v>
      </c>
      <c r="H4" s="479">
        <f>huishoudens!H8</f>
        <v>0</v>
      </c>
      <c r="I4" s="479">
        <f>huishoudens!I8</f>
        <v>0</v>
      </c>
      <c r="J4" s="479">
        <f>huishoudens!J8</f>
        <v>0</v>
      </c>
      <c r="K4" s="479">
        <f>huishoudens!K8</f>
        <v>0</v>
      </c>
      <c r="L4" s="479">
        <f>huishoudens!L8</f>
        <v>0</v>
      </c>
      <c r="M4" s="479">
        <f>huishoudens!M8</f>
        <v>0</v>
      </c>
      <c r="N4" s="479">
        <f>huishoudens!N8</f>
        <v>21168.995985886602</v>
      </c>
      <c r="O4" s="479">
        <f>huishoudens!O8</f>
        <v>498.70333333333332</v>
      </c>
      <c r="P4" s="480">
        <f>huishoudens!P8</f>
        <v>838.93333333333339</v>
      </c>
      <c r="Q4" s="481">
        <f>SUM(B4:P4)</f>
        <v>215021.81825805447</v>
      </c>
    </row>
    <row r="5" spans="1:17">
      <c r="A5" s="478" t="s">
        <v>156</v>
      </c>
      <c r="B5" s="479">
        <f ca="1">tertiair!B16</f>
        <v>47698.58600000001</v>
      </c>
      <c r="C5" s="479">
        <f ca="1">tertiair!C16</f>
        <v>0</v>
      </c>
      <c r="D5" s="479">
        <f ca="1">tertiair!D16</f>
        <v>50447.196528867396</v>
      </c>
      <c r="E5" s="479">
        <f>tertiair!E16</f>
        <v>466.51496844064729</v>
      </c>
      <c r="F5" s="479">
        <f ca="1">tertiair!F16</f>
        <v>6955.2419731610753</v>
      </c>
      <c r="G5" s="479">
        <f>tertiair!G16</f>
        <v>0</v>
      </c>
      <c r="H5" s="479">
        <f>tertiair!H16</f>
        <v>0</v>
      </c>
      <c r="I5" s="479">
        <f>tertiair!I16</f>
        <v>0</v>
      </c>
      <c r="J5" s="479">
        <f>tertiair!J16</f>
        <v>0</v>
      </c>
      <c r="K5" s="479">
        <f>tertiair!K16</f>
        <v>0</v>
      </c>
      <c r="L5" s="479">
        <f ca="1">tertiair!L16</f>
        <v>0</v>
      </c>
      <c r="M5" s="479">
        <f>tertiair!M16</f>
        <v>0</v>
      </c>
      <c r="N5" s="479">
        <f ca="1">tertiair!N16</f>
        <v>3530.8575060661824</v>
      </c>
      <c r="O5" s="479">
        <f>tertiair!O16</f>
        <v>0</v>
      </c>
      <c r="P5" s="480">
        <f>tertiair!P16</f>
        <v>95.333333333333343</v>
      </c>
      <c r="Q5" s="478">
        <f t="shared" ref="Q5:Q13" ca="1" si="0">SUM(B5:P5)</f>
        <v>109193.73030986864</v>
      </c>
    </row>
    <row r="6" spans="1:17">
      <c r="A6" s="478" t="s">
        <v>194</v>
      </c>
      <c r="B6" s="479">
        <f>'openbare verlichting'!B8</f>
        <v>2561.0770000000002</v>
      </c>
      <c r="C6" s="479"/>
      <c r="D6" s="479"/>
      <c r="E6" s="479"/>
      <c r="F6" s="479"/>
      <c r="G6" s="479"/>
      <c r="H6" s="479"/>
      <c r="I6" s="479"/>
      <c r="J6" s="479"/>
      <c r="K6" s="479"/>
      <c r="L6" s="479"/>
      <c r="M6" s="479"/>
      <c r="N6" s="479"/>
      <c r="O6" s="479"/>
      <c r="P6" s="480"/>
      <c r="Q6" s="478">
        <f t="shared" si="0"/>
        <v>2561.0770000000002</v>
      </c>
    </row>
    <row r="7" spans="1:17">
      <c r="A7" s="478" t="s">
        <v>112</v>
      </c>
      <c r="B7" s="479">
        <f>landbouw!B8</f>
        <v>4469.5529000000006</v>
      </c>
      <c r="C7" s="479">
        <f>landbouw!C8</f>
        <v>97283.57142857142</v>
      </c>
      <c r="D7" s="479">
        <f>landbouw!D8</f>
        <v>0</v>
      </c>
      <c r="E7" s="479">
        <f>landbouw!E8</f>
        <v>41.398870980634271</v>
      </c>
      <c r="F7" s="479">
        <f>landbouw!F8</f>
        <v>11340.107156253676</v>
      </c>
      <c r="G7" s="479">
        <f>landbouw!G8</f>
        <v>0</v>
      </c>
      <c r="H7" s="479">
        <f>landbouw!H8</f>
        <v>0</v>
      </c>
      <c r="I7" s="479">
        <f>landbouw!I8</f>
        <v>0</v>
      </c>
      <c r="J7" s="479">
        <f>landbouw!J8</f>
        <v>685.23233992594453</v>
      </c>
      <c r="K7" s="479">
        <f>landbouw!K8</f>
        <v>0</v>
      </c>
      <c r="L7" s="479">
        <f>landbouw!L8</f>
        <v>0</v>
      </c>
      <c r="M7" s="479">
        <f>landbouw!M8</f>
        <v>0</v>
      </c>
      <c r="N7" s="479">
        <f>landbouw!N8</f>
        <v>0</v>
      </c>
      <c r="O7" s="479">
        <f>landbouw!O8</f>
        <v>0</v>
      </c>
      <c r="P7" s="480">
        <f>landbouw!P8</f>
        <v>0</v>
      </c>
      <c r="Q7" s="478">
        <f t="shared" si="0"/>
        <v>113819.86269573167</v>
      </c>
    </row>
    <row r="8" spans="1:17">
      <c r="A8" s="478" t="s">
        <v>650</v>
      </c>
      <c r="B8" s="479">
        <f>industrie!B18</f>
        <v>85679.285677000007</v>
      </c>
      <c r="C8" s="479">
        <f>industrie!C18</f>
        <v>0</v>
      </c>
      <c r="D8" s="479">
        <f>industrie!D18</f>
        <v>86849.921262346659</v>
      </c>
      <c r="E8" s="479">
        <f>industrie!E18</f>
        <v>5387.6430134948614</v>
      </c>
      <c r="F8" s="479">
        <f>industrie!F18</f>
        <v>94307.495296071938</v>
      </c>
      <c r="G8" s="479">
        <f>industrie!G18</f>
        <v>0</v>
      </c>
      <c r="H8" s="479">
        <f>industrie!H18</f>
        <v>0</v>
      </c>
      <c r="I8" s="479">
        <f>industrie!I18</f>
        <v>0</v>
      </c>
      <c r="J8" s="479">
        <f>industrie!J18</f>
        <v>1027.1516457505197</v>
      </c>
      <c r="K8" s="479">
        <f>industrie!K18</f>
        <v>0</v>
      </c>
      <c r="L8" s="479">
        <f>industrie!L18</f>
        <v>0</v>
      </c>
      <c r="M8" s="479">
        <f>industrie!M18</f>
        <v>0</v>
      </c>
      <c r="N8" s="479">
        <f>industrie!N18</f>
        <v>29156.779021426508</v>
      </c>
      <c r="O8" s="479">
        <f>industrie!O18</f>
        <v>0</v>
      </c>
      <c r="P8" s="480">
        <f>industrie!P18</f>
        <v>0</v>
      </c>
      <c r="Q8" s="478">
        <f t="shared" si="0"/>
        <v>302408.27591609053</v>
      </c>
    </row>
    <row r="9" spans="1:17" s="484" customFormat="1">
      <c r="A9" s="482" t="s">
        <v>571</v>
      </c>
      <c r="B9" s="483">
        <f>transport!B14</f>
        <v>21.949923577686928</v>
      </c>
      <c r="C9" s="483"/>
      <c r="D9" s="483">
        <f>transport!D14</f>
        <v>58.873953680003147</v>
      </c>
      <c r="E9" s="483">
        <f>transport!E14</f>
        <v>373.99317756299462</v>
      </c>
      <c r="F9" s="483"/>
      <c r="G9" s="483">
        <f>transport!G14</f>
        <v>118995.82985959375</v>
      </c>
      <c r="H9" s="483">
        <f>transport!H14</f>
        <v>22227.93050180042</v>
      </c>
      <c r="I9" s="483"/>
      <c r="J9" s="483"/>
      <c r="K9" s="483"/>
      <c r="L9" s="483"/>
      <c r="M9" s="483">
        <f>transport!M14</f>
        <v>7567.624934051476</v>
      </c>
      <c r="N9" s="483"/>
      <c r="O9" s="483"/>
      <c r="P9" s="483"/>
      <c r="Q9" s="482">
        <f>SUM(B9:P9)</f>
        <v>149246.20235026634</v>
      </c>
    </row>
    <row r="10" spans="1:17">
      <c r="A10" s="478" t="s">
        <v>561</v>
      </c>
      <c r="B10" s="479">
        <f>transport!B54</f>
        <v>0</v>
      </c>
      <c r="C10" s="479"/>
      <c r="D10" s="479">
        <f>transport!D54</f>
        <v>0</v>
      </c>
      <c r="E10" s="479"/>
      <c r="F10" s="479"/>
      <c r="G10" s="479">
        <f>transport!G54</f>
        <v>2005.3096050949107</v>
      </c>
      <c r="H10" s="479"/>
      <c r="I10" s="479"/>
      <c r="J10" s="479"/>
      <c r="K10" s="479"/>
      <c r="L10" s="479"/>
      <c r="M10" s="479">
        <f>transport!M54</f>
        <v>114.35696098527563</v>
      </c>
      <c r="N10" s="479"/>
      <c r="O10" s="479"/>
      <c r="P10" s="480"/>
      <c r="Q10" s="478">
        <f t="shared" si="0"/>
        <v>2119.6665660801864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199053.2318723645</v>
      </c>
      <c r="C14" s="489">
        <f t="shared" ref="C14:Q14" ca="1" si="1">SUM(C4:C13)</f>
        <v>97283.57142857142</v>
      </c>
      <c r="D14" s="489">
        <f t="shared" ca="1" si="1"/>
        <v>221646.40200820685</v>
      </c>
      <c r="E14" s="489">
        <f t="shared" si="1"/>
        <v>14309.070122556373</v>
      </c>
      <c r="F14" s="489">
        <f t="shared" ca="1" si="1"/>
        <v>154165.31930381109</v>
      </c>
      <c r="G14" s="489">
        <f t="shared" si="1"/>
        <v>121001.13946468866</v>
      </c>
      <c r="H14" s="489">
        <f t="shared" si="1"/>
        <v>22227.93050180042</v>
      </c>
      <c r="I14" s="489">
        <f t="shared" si="1"/>
        <v>0</v>
      </c>
      <c r="J14" s="489">
        <f t="shared" si="1"/>
        <v>1712.3839856764644</v>
      </c>
      <c r="K14" s="489">
        <f t="shared" si="1"/>
        <v>0</v>
      </c>
      <c r="L14" s="489">
        <f t="shared" ca="1" si="1"/>
        <v>0</v>
      </c>
      <c r="M14" s="489">
        <f t="shared" si="1"/>
        <v>7681.9818950367517</v>
      </c>
      <c r="N14" s="489">
        <f t="shared" ca="1" si="1"/>
        <v>53856.632513379293</v>
      </c>
      <c r="O14" s="489">
        <f t="shared" si="1"/>
        <v>498.70333333333332</v>
      </c>
      <c r="P14" s="490">
        <f t="shared" si="1"/>
        <v>934.26666666666677</v>
      </c>
      <c r="Q14" s="490">
        <f t="shared" ca="1" si="1"/>
        <v>894370.63309609191</v>
      </c>
    </row>
    <row r="16" spans="1:17">
      <c r="A16" s="492" t="s">
        <v>566</v>
      </c>
      <c r="B16" s="842">
        <f ca="1">huishoudens!B10</f>
        <v>0.18541984366373238</v>
      </c>
      <c r="C16" s="842">
        <f ca="1">huishoudens!C10</f>
        <v>0.14957960981260279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10869.826771670023</v>
      </c>
      <c r="C21" s="479">
        <f t="shared" ref="C21:C28" ca="1" si="3">C4*$C$16</f>
        <v>0</v>
      </c>
      <c r="D21" s="479">
        <f t="shared" ref="D21:D30" si="4">D4*$D$16</f>
        <v>17026.662873189183</v>
      </c>
      <c r="E21" s="479">
        <f t="shared" ref="E21:E30" si="5">E4*$E$16</f>
        <v>1824.9710609015326</v>
      </c>
      <c r="F21" s="479">
        <f t="shared" ref="F21:F28" si="6">F4*$F$16</f>
        <v>11097.180792512616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40818.641498273355</v>
      </c>
    </row>
    <row r="22" spans="1:17">
      <c r="A22" s="478" t="s">
        <v>156</v>
      </c>
      <c r="B22" s="479">
        <f t="shared" ca="1" si="2"/>
        <v>8844.2643591010965</v>
      </c>
      <c r="C22" s="479">
        <f t="shared" ca="1" si="3"/>
        <v>0</v>
      </c>
      <c r="D22" s="479">
        <f t="shared" ca="1" si="4"/>
        <v>10190.333698831215</v>
      </c>
      <c r="E22" s="479">
        <f t="shared" si="5"/>
        <v>105.89889783602693</v>
      </c>
      <c r="F22" s="479">
        <f t="shared" ca="1" si="6"/>
        <v>1857.0496068340071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20997.546562602347</v>
      </c>
    </row>
    <row r="23" spans="1:17">
      <c r="A23" s="478" t="s">
        <v>194</v>
      </c>
      <c r="B23" s="479">
        <f t="shared" ca="1" si="2"/>
        <v>474.87449695078078</v>
      </c>
      <c r="C23" s="479"/>
      <c r="D23" s="479"/>
      <c r="E23" s="479"/>
      <c r="F23" s="479"/>
      <c r="G23" s="479"/>
      <c r="H23" s="479"/>
      <c r="I23" s="479"/>
      <c r="J23" s="479"/>
      <c r="K23" s="479"/>
      <c r="L23" s="479"/>
      <c r="M23" s="479"/>
      <c r="N23" s="479"/>
      <c r="O23" s="479"/>
      <c r="P23" s="480"/>
      <c r="Q23" s="478">
        <f t="shared" ca="1" si="17"/>
        <v>474.87449695078078</v>
      </c>
    </row>
    <row r="24" spans="1:17">
      <c r="A24" s="478" t="s">
        <v>112</v>
      </c>
      <c r="B24" s="479">
        <f t="shared" ca="1" si="2"/>
        <v>828.74379996478183</v>
      </c>
      <c r="C24" s="479">
        <f t="shared" ca="1" si="3"/>
        <v>14551.638655462186</v>
      </c>
      <c r="D24" s="479">
        <f t="shared" si="4"/>
        <v>0</v>
      </c>
      <c r="E24" s="479">
        <f t="shared" si="5"/>
        <v>9.39754371260398</v>
      </c>
      <c r="F24" s="479">
        <f t="shared" si="6"/>
        <v>3027.8086107197319</v>
      </c>
      <c r="G24" s="479">
        <f t="shared" si="7"/>
        <v>0</v>
      </c>
      <c r="H24" s="479">
        <f t="shared" si="8"/>
        <v>0</v>
      </c>
      <c r="I24" s="479">
        <f t="shared" si="9"/>
        <v>0</v>
      </c>
      <c r="J24" s="479">
        <f t="shared" si="10"/>
        <v>242.57224833378436</v>
      </c>
      <c r="K24" s="479">
        <f t="shared" si="11"/>
        <v>0</v>
      </c>
      <c r="L24" s="479">
        <f t="shared" si="12"/>
        <v>0</v>
      </c>
      <c r="M24" s="479">
        <f t="shared" si="13"/>
        <v>0</v>
      </c>
      <c r="N24" s="479">
        <f t="shared" si="14"/>
        <v>0</v>
      </c>
      <c r="O24" s="479">
        <f t="shared" si="15"/>
        <v>0</v>
      </c>
      <c r="P24" s="480">
        <f t="shared" si="16"/>
        <v>0</v>
      </c>
      <c r="Q24" s="478">
        <f t="shared" ca="1" si="17"/>
        <v>18660.160858193089</v>
      </c>
    </row>
    <row r="25" spans="1:17">
      <c r="A25" s="478" t="s">
        <v>650</v>
      </c>
      <c r="B25" s="479">
        <f t="shared" ca="1" si="2"/>
        <v>15886.639755449605</v>
      </c>
      <c r="C25" s="479">
        <f t="shared" ca="1" si="3"/>
        <v>0</v>
      </c>
      <c r="D25" s="479">
        <f t="shared" si="4"/>
        <v>17543.684094994027</v>
      </c>
      <c r="E25" s="479">
        <f t="shared" si="5"/>
        <v>1222.9949640633336</v>
      </c>
      <c r="F25" s="479">
        <f t="shared" si="6"/>
        <v>25180.10124405121</v>
      </c>
      <c r="G25" s="479">
        <f t="shared" si="7"/>
        <v>0</v>
      </c>
      <c r="H25" s="479">
        <f t="shared" si="8"/>
        <v>0</v>
      </c>
      <c r="I25" s="479">
        <f t="shared" si="9"/>
        <v>0</v>
      </c>
      <c r="J25" s="479">
        <f t="shared" si="10"/>
        <v>363.61168259568399</v>
      </c>
      <c r="K25" s="479">
        <f t="shared" si="11"/>
        <v>0</v>
      </c>
      <c r="L25" s="479">
        <f t="shared" si="12"/>
        <v>0</v>
      </c>
      <c r="M25" s="479">
        <f t="shared" si="13"/>
        <v>0</v>
      </c>
      <c r="N25" s="479">
        <f t="shared" si="14"/>
        <v>0</v>
      </c>
      <c r="O25" s="479">
        <f t="shared" si="15"/>
        <v>0</v>
      </c>
      <c r="P25" s="480">
        <f t="shared" si="16"/>
        <v>0</v>
      </c>
      <c r="Q25" s="478">
        <f t="shared" ca="1" si="17"/>
        <v>60197.031741153856</v>
      </c>
    </row>
    <row r="26" spans="1:17" s="484" customFormat="1">
      <c r="A26" s="482" t="s">
        <v>571</v>
      </c>
      <c r="B26" s="836">
        <f t="shared" ca="1" si="2"/>
        <v>4.0699513982055837</v>
      </c>
      <c r="C26" s="483"/>
      <c r="D26" s="483">
        <f t="shared" si="4"/>
        <v>11.892538643360636</v>
      </c>
      <c r="E26" s="483">
        <f t="shared" si="5"/>
        <v>84.896451306799776</v>
      </c>
      <c r="F26" s="483"/>
      <c r="G26" s="483">
        <f t="shared" si="7"/>
        <v>31771.886572511532</v>
      </c>
      <c r="H26" s="483">
        <f t="shared" si="8"/>
        <v>5534.7546949483049</v>
      </c>
      <c r="I26" s="483"/>
      <c r="J26" s="483"/>
      <c r="K26" s="483"/>
      <c r="L26" s="483"/>
      <c r="M26" s="483">
        <f t="shared" si="13"/>
        <v>0</v>
      </c>
      <c r="N26" s="483"/>
      <c r="O26" s="483"/>
      <c r="P26" s="494"/>
      <c r="Q26" s="482">
        <f t="shared" ca="1" si="17"/>
        <v>37407.500208808204</v>
      </c>
    </row>
    <row r="27" spans="1:17">
      <c r="A27" s="478" t="s">
        <v>561</v>
      </c>
      <c r="B27" s="479">
        <f t="shared" ca="1" si="2"/>
        <v>0</v>
      </c>
      <c r="C27" s="479"/>
      <c r="D27" s="483">
        <f t="shared" si="4"/>
        <v>0</v>
      </c>
      <c r="E27" s="479"/>
      <c r="F27" s="479"/>
      <c r="G27" s="479">
        <f t="shared" si="7"/>
        <v>535.41766456034122</v>
      </c>
      <c r="H27" s="479"/>
      <c r="I27" s="479"/>
      <c r="J27" s="479"/>
      <c r="K27" s="479"/>
      <c r="L27" s="479"/>
      <c r="M27" s="479">
        <f t="shared" si="13"/>
        <v>0</v>
      </c>
      <c r="N27" s="479"/>
      <c r="O27" s="479"/>
      <c r="P27" s="480"/>
      <c r="Q27" s="478">
        <f t="shared" ca="1" si="17"/>
        <v>535.41766456034122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36908.419134534495</v>
      </c>
      <c r="C31" s="489">
        <f t="shared" ca="1" si="18"/>
        <v>14551.638655462186</v>
      </c>
      <c r="D31" s="489">
        <f t="shared" ca="1" si="18"/>
        <v>44772.573205657791</v>
      </c>
      <c r="E31" s="489">
        <f t="shared" si="18"/>
        <v>3248.1589178202971</v>
      </c>
      <c r="F31" s="489">
        <f t="shared" ca="1" si="18"/>
        <v>41162.140254117563</v>
      </c>
      <c r="G31" s="489">
        <f t="shared" si="18"/>
        <v>32307.304237071872</v>
      </c>
      <c r="H31" s="489">
        <f t="shared" si="18"/>
        <v>5534.7546949483049</v>
      </c>
      <c r="I31" s="489">
        <f t="shared" si="18"/>
        <v>0</v>
      </c>
      <c r="J31" s="489">
        <f t="shared" si="18"/>
        <v>606.18393092946837</v>
      </c>
      <c r="K31" s="489">
        <f t="shared" si="18"/>
        <v>0</v>
      </c>
      <c r="L31" s="489">
        <f t="shared" ca="1" si="18"/>
        <v>0</v>
      </c>
      <c r="M31" s="489">
        <f t="shared" si="18"/>
        <v>0</v>
      </c>
      <c r="N31" s="489">
        <f t="shared" ca="1" si="18"/>
        <v>0</v>
      </c>
      <c r="O31" s="489">
        <f t="shared" si="18"/>
        <v>0</v>
      </c>
      <c r="P31" s="490">
        <f t="shared" si="18"/>
        <v>0</v>
      </c>
      <c r="Q31" s="490">
        <f t="shared" ca="1" si="18"/>
        <v>179091.17303054198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0.18541984366373238</v>
      </c>
      <c r="C17" s="529">
        <f ca="1">'EF ele_warmte'!B22</f>
        <v>0.14957960981260279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0.18541984366373238</v>
      </c>
      <c r="C17" s="529">
        <f ca="1">'EF ele_warmte'!B22</f>
        <v>0.14957960981260279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0.18541984366373238</v>
      </c>
      <c r="C29" s="530">
        <f ca="1">'EF ele_warmte'!B22</f>
        <v>0.14957960981260279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2019-01-01T21:33:30Z</dcterms:modified>
</cp:coreProperties>
</file>