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<sst xmlns="http://schemas.openxmlformats.org/spreadsheetml/2006/main" count="2155" uniqueCount="882">
  <si>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</si>
  <si>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</si>
  <si>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</si>
  <si>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</si>
  <si>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</si>
  <si>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</si>
  <si>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</si>
  <si>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</si>
  <si>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</si>
  <si>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</si>
  <si>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</si>
  <si>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</si>
  <si>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</si>
  <si>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</si>
  <si>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</si>
  <si>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</si>
  <si>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</si>
  <si>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</si>
  <si>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</si>
  <si>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</si>
  <si>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</si>
  <si>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</si>
  <si>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</si>
  <si>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</si>
  <si>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</si>
  <si>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</si>
  <si>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</si>
  <si>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</si>
  <si>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</si>
  <si>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</si>
  <si>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</si>
  <si>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</si>
  <si>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</si>
  <si>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</si>
  <si>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</si>
  <si>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</si>
  <si>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</si>
  <si>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</si>
  <si>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</si>
  <si>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</si>
  <si>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</si>
  <si>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</si>
  <si>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</si>
  <si>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</si>
  <si>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</si>
  <si>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</si>
  <si>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</si>
  <si>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</si>
  <si>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</si>
  <si>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</si>
  <si>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</si>
  <si>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</si>
  <si>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</si>
  <si>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</si>
  <si>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</si>
  <si>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</si>
  <si>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</si>
  <si>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</si>
  <si>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</si>
  <si>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</si>
  <si>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</si>
  <si>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</si>
  <si>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</si>
  <si>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</si>
  <si>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</si>
  <si>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</si>
  <si>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</si>
  <si>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</si>
  <si>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</si>
  <si>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</si>
  <si>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</si>
  <si>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</si>
  <si>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</si>
  <si>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</si>
  <si>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</si>
  <si>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</si>
  <si>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</si>
  <si>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</si>
  <si>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</si>
  <si>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</si>
  <si>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</si>
  <si>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</si>
  <si>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</si>
  <si>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</si>
  <si>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</si>
  <si>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</si>
  <si>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</si>
  <si>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</si>
  <si>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</si>
  <si>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</si>
  <si>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</si>
  <si>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</si>
  <si>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</si>
  <si>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</si>
  <si>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</si>
  <si>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</si>
  <si>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</si>
  <si>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</si>
  <si>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</si>
  <si>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</si>
  <si>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</si>
  <si>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</si>
  <si>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</si>
  <si>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</si>
  <si>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</si>
  <si>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</si>
  <si>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</si>
  <si>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</si>
  <si>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</si>
  <si>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</si>
  <si>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</si>
  <si>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</si>
  <si>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</si>
  <si>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</si>
  <si>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</si>
  <si>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</si>
  <si>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</si>
  <si>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</si>
  <si>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</si>
  <si>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</si>
  <si>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</si>
  <si>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</si>
  <si>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</si>
  <si>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</si>
  <si>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</si>
  <si>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</si>
  <si>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</si>
  <si>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</si>
  <si>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</si>
  <si>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</si>
  <si>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</si>
  <si>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</si>
  <si>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</si>
  <si>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</si>
  <si>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</si>
  <si>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</si>
  <si>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</si>
  <si>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</si>
  <si>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</si>
  <si>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</si>
  <si>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</si>
  <si>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</si>
  <si>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</si>
  <si>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</si>
  <si>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</si>
  <si>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</si>
  <si>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</si>
  <si>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</si>
  <si>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</si>
  <si>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</si>
  <si>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</si>
  <si>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</si>
  <si>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</si>
  <si>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</si>
  <si>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</si>
  <si>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</si>
  <si>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</si>
  <si>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</si>
  <si>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</si>
  <si>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</si>
  <si>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</si>
  <si>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</si>
  <si>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</si>
  <si>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</si>
  <si>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</si>
  <si>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</si>
  <si>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</si>
  <si>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</si>
  <si>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</si>
  <si>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</si>
  <si>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</si>
  <si>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</si>
  <si>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</si>
  <si>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</si>
  <si>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</si>
  <si>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</si>
  <si>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</si>
  <si>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</si>
  <si>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</si>
  <si>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</si>
  <si>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</si>
  <si>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</si>
  <si>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</si>
  <si>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</si>
  <si>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</si>
  <si>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</si>
  <si>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</si>
  <si>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</si>
  <si>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</si>
  <si>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</si>
  <si>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</si>
  <si>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</si>
  <si>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</si>
  <si>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</si>
  <si>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</si>
  <si>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</si>
  <si>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</si>
  <si>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</si>
  <si>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</si>
  <si>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</si>
  <si>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</si>
  <si>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</si>
  <si>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</si>
  <si>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</si>
  <si>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</si>
  <si>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</si>
  <si>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</si>
  <si>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</si>
  <si>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</si>
  <si>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</si>
  <si>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</si>
  <si>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</si>
  <si>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</si>
  <si>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</si>
  <si>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</si>
  <si>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</si>
  <si>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</si>
  <si>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</si>
  <si>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</si>
  <si>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</si>
  <si>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</si>
  <si>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</si>
  <si>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</si>
  <si>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</si>
  <si>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</si>
  <si>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</si>
  <si>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</si>
  <si>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</si>
  <si>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</si>
  <si>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</si>
  <si>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</si>
  <si>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</si>
  <si>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</si>
  <si>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</si>
  <si>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</si>
  <si>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</si>
  <si>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</si>
  <si>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</si>
  <si>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</si>
  <si>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</si>
  <si>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</si>
  <si>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</si>
  <si>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</si>
  <si>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</si>
  <si>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</si>
  <si>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</si>
  <si>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</si>
  <si>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</si>
  <si>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</si>
  <si>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</si>
  <si>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</si>
  <si>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</si>
  <si>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</si>
  <si>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</si>
  <si>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</si>
  <si>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</si>
  <si>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</si>
  <si>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</si>
  <si>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</si>
  <si>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</si>
  <si>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</si>
  <si>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</si>
  <si>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</si>
  <si>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</si>
  <si>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</si>
  <si>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</si>
  <si>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</si>
  <si>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</si>
  <si>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</si>
  <si>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</si>
  <si>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</si>
  <si>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</si>
  <si>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</si>
  <si>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</si>
  <si>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</si>
  <si>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</si>
  <si>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</si>
  <si>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</si>
  <si>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</si>
  <si>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</si>
  <si>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</si>
  <si>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</si>
  <si>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</si>
  <si>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</si>
  <si>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</si>
  <si>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</si>
  <si>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</si>
  <si>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</si>
  <si>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</si>
  <si>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</si>
  <si>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</si>
  <si>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</si>
  <si>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</si>
  <si>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</si>
  <si>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</si>
  <si>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</si>
  <si>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</si>
  <si>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</si>
  <si>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</si>
  <si>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</si>
  <si>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</si>
  <si>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</si>
  <si>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</si>
  <si>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</si>
  <si>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</si>
  <si>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</si>
  <si>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</si>
  <si>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</si>
  <si>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</si>
  <si>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</si>
  <si>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</si>
  <si>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</si>
  <si>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</si>
  <si>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</si>
  <si>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</si>
  <si>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</si>
  <si>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</si>
  <si>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</si>
  <si>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</si>
  <si>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</si>
  <si>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</si>
  <si>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</si>
  <si>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</si>
  <si>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</si>
  <si>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</si>
  <si>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</si>
  <si>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</si>
  <si>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</si>
  <si>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</si>
  <si>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</si>
  <si>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</si>
  <si>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</si>
  <si>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</si>
  <si>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</si>
  <si>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</si>
  <si>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</si>
  <si>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</si>
  <si>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</si>
  <si>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</si>
  <si>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</si>
  <si>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</si>
  <si>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</si>
  <si>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</si>
  <si>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</si>
  <si>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</si>
  <si>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</si>
  <si>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</si>
  <si>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</si>
  <si>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</si>
  <si>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</si>
  <si>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</si>
  <si>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</si>
  <si>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</si>
  <si>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</si>
  <si>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</si>
  <si>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</si>
  <si>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</si>
  <si>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</si>
  <si>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</si>
  <si>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</si>
  <si>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</si>
  <si>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</si>
  <si>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</si>
  <si>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</si>
  <si>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</si>
  <si>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</si>
  <si>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</si>
  <si>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</si>
  <si>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</si>
  <si>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</si>
  <si>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</si>
  <si>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</si>
  <si>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</si>
  <si>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</si>
  <si>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</si>
  <si>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</si>
  <si>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</si>
  <si>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</si>
  <si>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</si>
  <si>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</si>
  <si>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</si>
  <si>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</si>
  <si>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</si>
  <si>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</si>
  <si>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</si>
  <si>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</si>
  <si>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</si>
  <si>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</si>
  <si>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</si>
  <si>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</si>
  <si>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</si>
  <si>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</si>
  <si>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</si>
  <si>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</si>
  <si>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</si>
  <si>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</si>
  <si>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</si>
  <si>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</si>
  <si>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</si>
  <si>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</si>
  <si>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</si>
  <si>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</si>
  <si>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</si>
  <si>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</si>
  <si>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</si>
  <si>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</si>
  <si>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</si>
  <si>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</si>
  <si>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</si>
  <si>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</si>
  <si>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</si>
  <si>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</si>
  <si>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</si>
  <si>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</si>
  <si>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</si>
  <si>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</si>
  <si>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</si>
  <si>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</si>
  <si>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</si>
  <si>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</si>
  <si>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</si>
  <si>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</si>
  <si>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</si>
  <si>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</si>
  <si>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</si>
  <si>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</si>
  <si>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</si>
  <si>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</si>
  <si>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</si>
  <si>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</si>
  <si>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</si>
  <si>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</si>
  <si>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</si>
  <si>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</si>
  <si>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</si>
  <si>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</si>
  <si>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</si>
  <si>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</si>
  <si>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</si>
  <si>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</si>
  <si>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</si>
  <si>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</si>
  <si>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</si>
  <si>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</si>
  <si>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</si>
  <si>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</si>
  <si>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</si>
  <si>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</si>
  <si>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</si>
  <si>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</si>
  <si>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</si>
  <si>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</si>
  <si>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</si>
  <si>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</si>
  <si>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</si>
  <si>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</si>
  <si>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</si>
  <si>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</si>
  <si>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</si>
  <si>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</si>
  <si>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</si>
  <si>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</si>
  <si>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</si>
  <si>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</si>
  <si>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</si>
  <si>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</si>
  <si>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</si>
  <si>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</si>
  <si>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</si>
  <si>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</si>
  <si>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</si>
  <si>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</si>
  <si>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</si>
  <si>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</si>
  <si>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</si>
  <si>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</si>
  <si>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</si>
  <si>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</si>
  <si>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</si>
  <si>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</si>
  <si>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</si>
  <si>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</si>
  <si>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</si>
  <si>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</si>
  <si>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</si>
  <si>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</si>
  <si>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</si>
  <si>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</si>
  <si>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</si>
  <si>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</si>
  <si>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</si>
  <si>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</si>
  <si>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</si>
  <si>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</si>
  <si>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</si>
  <si>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</si>
  <si>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</si>
  <si>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</si>
  <si>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</si>
  <si>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</si>
  <si>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</si>
  <si>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</si>
  <si>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</si>
  <si>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</si>
  <si>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</si>
  <si>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</si>
  <si>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</si>
  <si>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</si>
  <si>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</si>
  <si>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</si>
  <si>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</si>
  <si>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</si>
  <si>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</si>
  <si>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</si>
  <si>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</si>
  <si>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</si>
  <si>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</si>
  <si>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</si>
  <si>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</si>
  <si>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</si>
  <si>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</si>
  <si>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</si>
  <si>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</si>
  <si>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</si>
  <si>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</si>
  <si>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</si>
  <si>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</si>
  <si>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</si>
  <si>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</si>
  <si>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</si>
  <si>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</si>
  <si>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</si>
  <si>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</si>
  <si>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</si>
  <si>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</si>
  <si>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</si>
  <si>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</si>
  <si>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</si>
  <si>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</si>
  <si>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</si>
  <si>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</si>
  <si>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</si>
  <si>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</si>
  <si>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</si>
  <si>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</si>
  <si>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</si>
  <si>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</si>
  <si>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</si>
  <si>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</si>
  <si>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</si>
  <si>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</si>
  <si>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</si>
  <si>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</si>
  <si>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</si>
  <si>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</si>
  <si>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</si>
  <si>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</si>
  <si>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</si>
  <si>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</si>
  <si>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</si>
  <si>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</si>
  <si>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</si>
  <si>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</si>
  <si>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</si>
  <si>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</si>
  <si>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</si>
  <si>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</si>
  <si>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</si>
  <si>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</si>
  <si>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</si>
  <si>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</si>
  <si>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</si>
  <si>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</si>
  <si>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</si>
  <si>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</si>
  <si>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</si>
  <si>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</si>
  <si>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</si>
  <si>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</si>
  <si>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</si>
  <si>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</si>
  <si>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</si>
  <si>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</si>
  <si>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</si>
  <si>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</si>
  <si>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</si>
  <si>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</si>
  <si>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</si>
  <si>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</si>
  <si>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</si>
  <si>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</si>
  <si>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</si>
  <si>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</si>
  <si>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</si>
  <si>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</si>
  <si>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</si>
  <si>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</si>
  <si>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</si>
  <si>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</si>
  <si>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</si>
  <si>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</si>
  <si>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</si>
  <si>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</si>
  <si>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</si>
  <si>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</si>
  <si>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</si>
  <si>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</si>
  <si>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</si>
  <si>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</si>
  <si>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</si>
  <si>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</si>
  <si>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</si>
  <si>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</si>
  <si>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</si>
  <si>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</si>
  <si>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</si>
  <si>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</si>
  <si>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</si>
  <si>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</si>
  <si>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</si>
  <si>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</si>
  <si>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</si>
  <si>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</si>
  <si>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</si>
  <si>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</si>
  <si>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</si>
  <si>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</si>
  <si>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</si>
  <si>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</si>
  <si>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</si>
  <si>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</si>
  <si>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</si>
  <si>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</si>
  <si>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</si>
  <si>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</si>
  <si>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</si>
  <si>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</si>
  <si>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</si>
  <si>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</si>
  <si>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</si>
  <si>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</si>
  <si>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</si>
  <si>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</si>
  <si>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</si>
  <si>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</si>
  <si>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</si>
  <si>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</si>
  <si>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</si>
  <si>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</si>
  <si>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</si>
  <si>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</si>
  <si>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</si>
  <si>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</si>
  <si>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</si>
  <si>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</si>
  <si>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</si>
  <si>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</si>
  <si>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</si>
  <si>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</si>
  <si>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</si>
  <si>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</si>
  <si>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</si>
  <si>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</si>
  <si>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</si>
  <si>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</si>
  <si>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</si>
  <si>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</si>
  <si>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</si>
  <si>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</si>
  <si>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</si>
  <si>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</si>
  <si>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</si>
  <si>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</si>
  <si>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</si>
  <si>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</si>
  <si>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</si>
  <si>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</si>
  <si>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</si>
  <si>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</si>
  <si>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</si>
  <si>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</si>
  <si>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</si>
  <si>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</si>
  <si>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</si>
  <si>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</si>
  <si>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</si>
  <si>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</si>
  <si>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</si>
  <si>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</si>
  <si>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</si>
  <si>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</si>
  <si>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</si>
  <si>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</si>
  <si>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</si>
  <si>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</si>
  <si>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</si>
  <si>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</si>
  <si>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</si>
  <si>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</si>
  <si>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</si>
  <si>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</si>
  <si>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</si>
  <si>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</si>
  <si>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</si>
  <si>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</si>
  <si>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</si>
  <si>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</si>
  <si>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</si>
  <si>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</si>
  <si>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</si>
  <si>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</si>
  <si>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</si>
  <si>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</si>
  <si>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</si>
  <si>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</si>
  <si>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</si>
  <si>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</si>
  <si>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</si>
  <si>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</si>
  <si>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</si>
  <si>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</si>
  <si>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</si>
  <si>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</si>
  <si>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</si>
  <si>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</si>
  <si>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</si>
  <si>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</si>
  <si>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</si>
  <si>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</si>
  <si>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</si>
  <si>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</si>
  <si>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</si>
  <si>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</si>
  <si>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</si>
  <si>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</si>
  <si>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</si>
  <si>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</si>
  <si>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</si>
  <si>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</si>
  <si>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</si>
  <si>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</si>
  <si>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</si>
  <si>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</si>
  <si>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</si>
  <si>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</si>
  <si>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</si>
  <si>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</si>
  <si>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</si>
  <si>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</si>
  <si>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</si>
  <si>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</si>
  <si>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</si>
  <si>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</si>
  <si>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</si>
  <si>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</si>
  <si>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</si>
  <si>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</si>
  <si>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</si>
  <si>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</si>
  <si>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</si>
  <si>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</si>
  <si>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</si>
  <si>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</si>
  <si>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</si>
  <si>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</si>
  <si>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</si>
  <si>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</si>
  <si>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</si>
  <si>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</si>
  <si>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</si>
  <si>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</si>
  <si>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</si>
  <si>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</si>
  <si>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</si>
  <si>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</si>
  <si>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</si>
  <si>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</si>
  <si>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</si>
  <si>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</si>
  <si>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</si>
  <si>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</si>
  <si>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</si>
  <si>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</si>
  <si>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</si>
  <si>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</si>
  <si>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</si>
  <si>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</si>
  <si>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</si>
  <si>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</si>
  <si>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</si>
  <si>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</si>
  <si>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</si>
  <si>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</si>
  <si>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</si>
  <si>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</si>
  <si>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</si>
  <si>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</si>
  <si>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</si>
  <si>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</si>
  <si>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</si>
  <si>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</si>
  <si>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</si>
  <si>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</si>
  <si>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</si>
  <si>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</si>
  <si>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</si>
  <si>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</si>
  <si>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</si>
  <si>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</si>
  <si>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</si>
  <si>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</si>
  <si>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</si>
  <si>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</si>
  <si>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</si>
  <si>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</si>
  <si>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</si>
  <si>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</si>
  <si>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</si>
  <si>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</si>
  <si>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</si>
  <si>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</si>
  <si>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</si>
  <si>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</si>
  <si>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</si>
  <si>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</si>
  <si>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</si>
  <si>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</si>
  <si>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</si>
  <si>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</si>
  <si>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</si>
  <si>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</si>
  <si>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</si>
  <si>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</si>
  <si>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</si>
  <si>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</si>
  <si>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</si>
  <si>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</si>
  <si>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</si>
  <si>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</si>
  <si>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</si>
  <si>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</si>
  <si>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</si>
  <si>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</si>
  <si>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</si>
  <si>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</si>
  <si>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</si>
  <si>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</si>
  <si>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</si>
  <si>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</si>
  <si>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</si>
  <si>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</si>
  <si>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</si>
  <si>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</si>
  <si>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</si>
  <si>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</si>
  <si>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</si>
  <si>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</si>
  <si>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</si>
  <si>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</si>
  <si>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</si>
  <si>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</si>
  <si>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</si>
  <si>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</si>
  <si>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42011</t>
  </si>
  <si>
    <t>LEBBEKE</t>
  </si>
  <si>
    <t>Paarden&amp;pony's 200 - 600 kg</t>
  </si>
  <si>
    <t>Paarden&amp;pony's &lt; 200 kg</t>
  </si>
  <si>
    <t>referentietaak LNE (2017); Jaarverslag De Lijn (2014)</t>
  </si>
  <si>
    <t>op basis van VEA (maart 2018) en Inventaris Hernieuwbare Energiebronnen (juni 2018)</t>
  </si>
  <si>
    <t>VEA (maart 2016)</t>
  </si>
  <si>
    <t>VEA (juni 2018)</t>
  </si>
  <si>
    <t>Cassaer Snijrozen nv</t>
  </si>
  <si>
    <t>Langeroot 2A, 9280 Wieze</t>
  </si>
  <si>
    <t>WKK-0047 Cassaer</t>
  </si>
  <si>
    <t>interne verbrandingsmotor</t>
  </si>
  <si>
    <t>WKK interne verbrandinsgmotor (vloeibaar)</t>
  </si>
  <si>
    <t>INTERGEM</t>
  </si>
  <si>
    <t>BVBA Woon en Zorg</t>
  </si>
  <si>
    <t>Hoeksken 3 , 9280 Lebbeke</t>
  </si>
  <si>
    <t>WKK-0610 Woon en Zorg</t>
  </si>
  <si>
    <t>WKK interne verbrandinsgmotor (gas)</t>
  </si>
  <si>
    <t>Aalstersestraat 40 , 9280 Lebbeke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</si>
</sst>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141314.35442259916</c:v>
                </c:pt>
                <c:pt idx="1">
                  <c:v>29842.740082224376</c:v>
                </c:pt>
                <c:pt idx="2">
                  <c:v>1063.8040000000001</c:v>
                </c:pt>
                <c:pt idx="3">
                  <c:v>8688.8915256195705</c:v>
                </c:pt>
                <c:pt idx="4">
                  <c:v>294220.68715924287</c:v>
                </c:pt>
                <c:pt idx="5">
                  <c:v>95777.471464908231</c:v>
                </c:pt>
                <c:pt idx="6">
                  <c:v>786.48752107755831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5440"/>
        <c:axId val="179143808"/>
      </c:barChart>
      <c:catAx>
        <c:axId val="165805440"/>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16580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141314.35442259916</c:v>
                </c:pt>
                <c:pt idx="1">
                  <c:v>29842.740082224376</c:v>
                </c:pt>
                <c:pt idx="2">
                  <c:v>1063.8040000000001</c:v>
                </c:pt>
                <c:pt idx="3">
                  <c:v>8688.8915256195705</c:v>
                </c:pt>
                <c:pt idx="4">
                  <c:v>294220.68715924287</c:v>
                </c:pt>
                <c:pt idx="5">
                  <c:v>95777.471464908231</c:v>
                </c:pt>
                <c:pt idx="6">
                  <c:v>786.48752107755831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28111.910152813602</c:v>
                </c:pt>
                <c:pt idx="1">
                  <c:v>6034.9416946006322</c:v>
                </c:pt>
                <c:pt idx="2">
                  <c:v>222.87670497554274</c:v>
                </c:pt>
                <c:pt idx="3">
                  <c:v>1371.5042955228505</c:v>
                </c:pt>
                <c:pt idx="4">
                  <c:v>61444.677439133047</c:v>
                </c:pt>
                <c:pt idx="5">
                  <c:v>23977.55501243586</c:v>
                </c:pt>
                <c:pt idx="6">
                  <c:v>198.66299656738954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34592"/>
      </c:barChart>
      <c:catAx>
        <c:axId val="180300032"/>
        <c:scaling>
          <c:orientation val="minMax"/>
        </c:scaling>
        <c:axPos val="b"/>
        <c:numFmt formatCode="General" sourceLinked="0"/>
        <c:tickLblPos val="nextTo"/>
        <c:crossAx val="180334592"/>
        <c:crosses val="autoZero"/>
        <c:auto val="1"/>
        <c:lblAlgn val="ctr"/>
        <c:lblOffset val="100"/>
      </c:catAx>
      <c:valAx>
        <c:axId val="18033459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28111.910152813602</c:v>
                </c:pt>
                <c:pt idx="1">
                  <c:v>6034.9416946006322</c:v>
                </c:pt>
                <c:pt idx="2">
                  <c:v>222.87670497554274</c:v>
                </c:pt>
                <c:pt idx="3">
                  <c:v>1371.5042955228505</c:v>
                </c:pt>
                <c:pt idx="4">
                  <c:v>61444.677439133047</c:v>
                </c:pt>
                <c:pt idx="5">
                  <c:v>23977.55501243586</c:v>
                </c:pt>
                <c:pt idx="6">
                  <c:v>198.66299656738954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42011</v>
      </c>
      <c r="B6" s="416"/>
      <c r="C6" s="417"/>
    </row>
    <row r="7" spans="1:7" s="414" customFormat="1" ht="15.75" customHeight="1">
      <c r="A7" s="418" t="str">
        <f>txtMunicipality</f>
        <v>LEBBEKE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7784</v>
      </c>
      <c r="C9" s="342">
        <v>7779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1318</v>
      </c>
    </row>
    <row r="15" spans="1:6">
      <c r="A15" s="348" t="s">
        <v>184</v>
      </c>
      <c r="B15" s="334">
        <v>14</v>
      </c>
    </row>
    <row r="16" spans="1:6">
      <c r="A16" s="348" t="s">
        <v>6</v>
      </c>
      <c r="B16" s="334">
        <v>406</v>
      </c>
    </row>
    <row r="17" spans="1:6">
      <c r="A17" s="348" t="s">
        <v>7</v>
      </c>
      <c r="B17" s="334">
        <v>390</v>
      </c>
    </row>
    <row r="18" spans="1:6">
      <c r="A18" s="348" t="s">
        <v>8</v>
      </c>
      <c r="B18" s="334">
        <v>475</v>
      </c>
    </row>
    <row r="19" spans="1:6">
      <c r="A19" s="348" t="s">
        <v>9</v>
      </c>
      <c r="B19" s="334">
        <v>493</v>
      </c>
    </row>
    <row r="20" spans="1:6">
      <c r="A20" s="348" t="s">
        <v>10</v>
      </c>
      <c r="B20" s="334">
        <v>364</v>
      </c>
    </row>
    <row r="21" spans="1:6">
      <c r="A21" s="348" t="s">
        <v>11</v>
      </c>
      <c r="B21" s="334">
        <v>655</v>
      </c>
    </row>
    <row r="22" spans="1:6">
      <c r="A22" s="348" t="s">
        <v>12</v>
      </c>
      <c r="B22" s="334">
        <v>1519</v>
      </c>
    </row>
    <row r="23" spans="1:6">
      <c r="A23" s="348" t="s">
        <v>13</v>
      </c>
      <c r="B23" s="334">
        <v>51</v>
      </c>
    </row>
    <row r="24" spans="1:6">
      <c r="A24" s="348" t="s">
        <v>14</v>
      </c>
      <c r="B24" s="334">
        <v>3</v>
      </c>
    </row>
    <row r="25" spans="1:6">
      <c r="A25" s="348" t="s">
        <v>15</v>
      </c>
      <c r="B25" s="334">
        <v>276</v>
      </c>
    </row>
    <row r="26" spans="1:6">
      <c r="A26" s="348" t="s">
        <v>16</v>
      </c>
      <c r="B26" s="334">
        <v>25</v>
      </c>
    </row>
    <row r="27" spans="1:6">
      <c r="A27" s="348" t="s">
        <v>17</v>
      </c>
      <c r="B27" s="334">
        <v>0</v>
      </c>
    </row>
    <row r="28" spans="1:6" s="356" customFormat="1">
      <c r="A28" s="355" t="s">
        <v>18</v>
      </c>
      <c r="B28" s="355">
        <v>0</v>
      </c>
    </row>
    <row r="29" spans="1:6">
      <c r="A29" s="355" t="s">
        <v>865</v>
      </c>
      <c r="B29" s="355">
        <v>82</v>
      </c>
      <c r="C29" s="356"/>
      <c r="D29" s="356"/>
      <c r="E29" s="356"/>
      <c r="F29" s="356"/>
    </row>
    <row r="30" spans="1:6">
      <c r="A30" s="341" t="s">
        <v>866</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141686.097444627</v>
      </c>
      <c r="E38" s="334">
        <v>1</v>
      </c>
      <c r="F38" s="334">
        <v>412</v>
      </c>
    </row>
    <row r="39" spans="1:6">
      <c r="A39" s="348" t="s">
        <v>30</v>
      </c>
      <c r="B39" s="348" t="s">
        <v>31</v>
      </c>
      <c r="C39" s="334">
        <v>4969</v>
      </c>
      <c r="D39" s="334">
        <v>72602556.493645296</v>
      </c>
      <c r="E39" s="334">
        <v>7787</v>
      </c>
      <c r="F39" s="334">
        <v>30692532</v>
      </c>
    </row>
    <row r="40" spans="1:6">
      <c r="A40" s="348" t="s">
        <v>30</v>
      </c>
      <c r="B40" s="348" t="s">
        <v>29</v>
      </c>
      <c r="C40" s="334">
        <v>0</v>
      </c>
      <c r="D40" s="334">
        <v>0</v>
      </c>
      <c r="E40" s="334">
        <v>0</v>
      </c>
      <c r="F40" s="334">
        <v>0</v>
      </c>
    </row>
    <row r="41" spans="1:6">
      <c r="A41" s="348" t="s">
        <v>32</v>
      </c>
      <c r="B41" s="348" t="s">
        <v>33</v>
      </c>
      <c r="C41" s="334">
        <v>43</v>
      </c>
      <c r="D41" s="334">
        <v>910025.20878390397</v>
      </c>
      <c r="E41" s="334">
        <v>139</v>
      </c>
      <c r="F41" s="334">
        <v>1129083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66227.42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55383.450731699602</v>
      </c>
      <c r="E47" s="334">
        <v>8</v>
      </c>
      <c r="F47" s="334">
        <v>148318.9</v>
      </c>
    </row>
    <row r="48" spans="1:6">
      <c r="A48" s="348" t="s">
        <v>32</v>
      </c>
      <c r="B48" s="348" t="s">
        <v>29</v>
      </c>
      <c r="C48" s="334">
        <v>31</v>
      </c>
      <c r="D48" s="334">
        <v>3456241.04404175</v>
      </c>
      <c r="E48" s="334">
        <v>29</v>
      </c>
      <c r="F48" s="334">
        <v>2674158</v>
      </c>
    </row>
    <row r="49" spans="1:6">
      <c r="A49" s="348" t="s">
        <v>32</v>
      </c>
      <c r="B49" s="348" t="s">
        <v>40</v>
      </c>
      <c r="C49" s="334">
        <v>0</v>
      </c>
      <c r="D49" s="334">
        <v>0</v>
      </c>
      <c r="E49" s="334">
        <v>0</v>
      </c>
      <c r="F49" s="334">
        <v>0</v>
      </c>
    </row>
    <row r="50" spans="1:6">
      <c r="A50" s="348" t="s">
        <v>32</v>
      </c>
      <c r="B50" s="348" t="s">
        <v>41</v>
      </c>
      <c r="C50" s="334">
        <v>10</v>
      </c>
      <c r="D50" s="334">
        <v>29940492.8135994</v>
      </c>
      <c r="E50" s="334">
        <v>14</v>
      </c>
      <c r="F50" s="334">
        <v>74282783</v>
      </c>
    </row>
    <row r="51" spans="1:6">
      <c r="A51" s="348" t="s">
        <v>42</v>
      </c>
      <c r="B51" s="348" t="s">
        <v>43</v>
      </c>
      <c r="C51" s="334">
        <v>16</v>
      </c>
      <c r="D51" s="334">
        <v>452886.43665970402</v>
      </c>
      <c r="E51" s="334">
        <v>88</v>
      </c>
      <c r="F51" s="334">
        <v>1117652</v>
      </c>
    </row>
    <row r="52" spans="1:6">
      <c r="A52" s="348" t="s">
        <v>42</v>
      </c>
      <c r="B52" s="348" t="s">
        <v>29</v>
      </c>
      <c r="C52" s="334">
        <v>3</v>
      </c>
      <c r="D52" s="334">
        <v>35465.623798564702</v>
      </c>
      <c r="E52" s="334">
        <v>10</v>
      </c>
      <c r="F52" s="334">
        <v>194735.8</v>
      </c>
    </row>
    <row r="53" spans="1:6">
      <c r="A53" s="348" t="s">
        <v>44</v>
      </c>
      <c r="B53" s="348" t="s">
        <v>45</v>
      </c>
      <c r="C53" s="334">
        <v>108</v>
      </c>
      <c r="D53" s="334">
        <v>1765934.28753231</v>
      </c>
      <c r="E53" s="334">
        <v>253</v>
      </c>
      <c r="F53" s="334">
        <v>1060391</v>
      </c>
    </row>
    <row r="54" spans="1:6">
      <c r="A54" s="348" t="s">
        <v>46</v>
      </c>
      <c r="B54" s="348" t="s">
        <v>47</v>
      </c>
      <c r="C54" s="334">
        <v>0</v>
      </c>
      <c r="D54" s="334">
        <v>0</v>
      </c>
      <c r="E54" s="334">
        <v>1</v>
      </c>
      <c r="F54" s="334">
        <v>1063804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2875661.3055913602</v>
      </c>
      <c r="E57" s="334">
        <v>80</v>
      </c>
      <c r="F57" s="334">
        <v>1127981</v>
      </c>
    </row>
    <row r="58" spans="1:6">
      <c r="A58" s="348" t="s">
        <v>49</v>
      </c>
      <c r="B58" s="348" t="s">
        <v>51</v>
      </c>
      <c r="C58" s="334">
        <v>14</v>
      </c>
      <c r="D58" s="334">
        <v>390356.23075822101</v>
      </c>
      <c r="E58" s="334">
        <v>42</v>
      </c>
      <c r="F58" s="334">
        <v>415753.2</v>
      </c>
    </row>
    <row r="59" spans="1:6">
      <c r="A59" s="348" t="s">
        <v>49</v>
      </c>
      <c r="B59" s="348" t="s">
        <v>52</v>
      </c>
      <c r="C59" s="334">
        <v>55</v>
      </c>
      <c r="D59" s="334">
        <v>2142807.6558312098</v>
      </c>
      <c r="E59" s="334">
        <v>178</v>
      </c>
      <c r="F59" s="334">
        <v>4982119</v>
      </c>
    </row>
    <row r="60" spans="1:6">
      <c r="A60" s="348" t="s">
        <v>49</v>
      </c>
      <c r="B60" s="348" t="s">
        <v>53</v>
      </c>
      <c r="C60" s="334">
        <v>53</v>
      </c>
      <c r="D60" s="334">
        <v>1732224.62349761</v>
      </c>
      <c r="E60" s="334">
        <v>70</v>
      </c>
      <c r="F60" s="334">
        <v>1495645</v>
      </c>
    </row>
    <row r="61" spans="1:6">
      <c r="A61" s="348" t="s">
        <v>49</v>
      </c>
      <c r="B61" s="348" t="s">
        <v>54</v>
      </c>
      <c r="C61" s="334">
        <v>70</v>
      </c>
      <c r="D61" s="334">
        <v>3775131.2978560501</v>
      </c>
      <c r="E61" s="334">
        <v>242</v>
      </c>
      <c r="F61" s="334">
        <v>2496530</v>
      </c>
    </row>
    <row r="62" spans="1:6">
      <c r="A62" s="348" t="s">
        <v>49</v>
      </c>
      <c r="B62" s="348" t="s">
        <v>55</v>
      </c>
      <c r="C62" s="334">
        <v>9</v>
      </c>
      <c r="D62" s="334">
        <v>726874.45490748703</v>
      </c>
      <c r="E62" s="334">
        <v>9</v>
      </c>
      <c r="F62" s="334">
        <v>116578.1</v>
      </c>
    </row>
    <row r="63" spans="1:6">
      <c r="A63" s="348" t="s">
        <v>49</v>
      </c>
      <c r="B63" s="348" t="s">
        <v>29</v>
      </c>
      <c r="C63" s="334">
        <v>109</v>
      </c>
      <c r="D63" s="334">
        <v>4529688.0222161803</v>
      </c>
      <c r="E63" s="334">
        <v>107</v>
      </c>
      <c r="F63" s="334">
        <v>1656392</v>
      </c>
    </row>
    <row r="64" spans="1:6">
      <c r="A64" s="348" t="s">
        <v>56</v>
      </c>
      <c r="B64" s="348" t="s">
        <v>57</v>
      </c>
      <c r="C64" s="334">
        <v>0</v>
      </c>
      <c r="D64" s="334">
        <v>0</v>
      </c>
      <c r="E64" s="334">
        <v>0</v>
      </c>
      <c r="F64" s="334">
        <v>0</v>
      </c>
    </row>
    <row r="65" spans="1:6">
      <c r="A65" s="348" t="s">
        <v>56</v>
      </c>
      <c r="B65" s="348" t="s">
        <v>29</v>
      </c>
      <c r="C65" s="334">
        <v>2</v>
      </c>
      <c r="D65" s="334">
        <v>61987.641535673603</v>
      </c>
      <c r="E65" s="334">
        <v>2</v>
      </c>
      <c r="F65" s="334">
        <v>6418.4480000000003</v>
      </c>
    </row>
    <row r="66" spans="1:6">
      <c r="A66" s="348" t="s">
        <v>56</v>
      </c>
      <c r="B66" s="348" t="s">
        <v>58</v>
      </c>
      <c r="C66" s="334">
        <v>0</v>
      </c>
      <c r="D66" s="334">
        <v>0</v>
      </c>
      <c r="E66" s="334">
        <v>3</v>
      </c>
      <c r="F66" s="334">
        <v>16105.13</v>
      </c>
    </row>
    <row r="67" spans="1:6">
      <c r="A67" s="355" t="s">
        <v>56</v>
      </c>
      <c r="B67" s="355" t="s">
        <v>59</v>
      </c>
      <c r="C67" s="334">
        <v>0</v>
      </c>
      <c r="D67" s="334">
        <v>0</v>
      </c>
      <c r="E67" s="334">
        <v>0</v>
      </c>
      <c r="F67" s="334">
        <v>0</v>
      </c>
    </row>
    <row r="68" spans="1:6">
      <c r="A68" s="341" t="s">
        <v>56</v>
      </c>
      <c r="B68" s="341" t="s">
        <v>60</v>
      </c>
      <c r="C68" s="334">
        <v>5</v>
      </c>
      <c r="D68" s="334">
        <v>82967.993446109904</v>
      </c>
      <c r="E68" s="334">
        <v>11</v>
      </c>
      <c r="F68" s="334">
        <v>103391.8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35210073</v>
      </c>
      <c r="E73" s="477">
        <v>36645883.594464771</v>
      </c>
    </row>
    <row r="74" spans="1:6">
      <c r="A74" s="348" t="s">
        <v>64</v>
      </c>
      <c r="B74" s="348" t="s">
        <v>714</v>
      </c>
      <c r="C74" s="1288" t="s">
        <v>716</v>
      </c>
      <c r="D74" s="477">
        <v>2893930.8786671879</v>
      </c>
      <c r="E74" s="477">
        <v>2903282.8421549238</v>
      </c>
    </row>
    <row r="75" spans="1:6">
      <c r="A75" s="348" t="s">
        <v>65</v>
      </c>
      <c r="B75" s="348" t="s">
        <v>713</v>
      </c>
      <c r="C75" s="1288" t="s">
        <v>717</v>
      </c>
      <c r="D75" s="477">
        <v>60290438</v>
      </c>
      <c r="E75" s="477">
        <v>70440258.905961633</v>
      </c>
    </row>
    <row r="76" spans="1:6">
      <c r="A76" s="348" t="s">
        <v>65</v>
      </c>
      <c r="B76" s="348" t="s">
        <v>714</v>
      </c>
      <c r="C76" s="1288" t="s">
        <v>718</v>
      </c>
      <c r="D76" s="477">
        <v>3592456.8786671879</v>
      </c>
      <c r="E76" s="477">
        <v>4153239.4720688718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210168.2426656241</v>
      </c>
      <c r="C83" s="477">
        <v>213240.01300208521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3539.4614145310416</v>
      </c>
    </row>
    <row r="92" spans="1:6">
      <c r="A92" s="341" t="s">
        <v>69</v>
      </c>
      <c r="B92" s="342">
        <v>760.32977827917011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127239.84251582998</v>
      </c>
      <c r="C3" s="43" t="s">
        <v>170</v>
      </c>
      <c r="D3" s="43"/>
      <c r="E3" s="154"/>
      <c r="F3" s="43"/>
      <c r="G3" s="43"/>
      <c r="H3" s="43"/>
      <c r="I3" s="43"/>
      <c r="J3" s="43"/>
      <c r="K3" s="96"/>
    </row>
    <row r="4" spans="1:11">
      <c r="A4" s="384" t="s">
        <v>171</v>
      </c>
      <c r="B4" s="49">
        <f>IF(ISERROR('SEAP template'!B69),0,'SEAP template'!B69)</f>
        <v>7926.7911928102112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289.73087652057995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0.20950918117956194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326.60198062227727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4088.5714285714284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7.9881686385602405E-2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1063.8040000000001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1063.8040000000001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0.20950918117956194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222.87670497554274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30692.531999999999</v>
      </c>
      <c r="C5" s="17">
        <f>IF(ISERROR('Eigen informatie GS &amp; warmtenet'!B57),0,'Eigen informatie GS &amp; warmtenet'!B57)</f>
        <v>0</v>
      </c>
      <c r="D5" s="30">
        <f>(SUM(HH_hh_gas_kWh,HH_rest_gas_kWh)/1000)*0.902</f>
        <v>65487.505957268062</v>
      </c>
      <c r="E5" s="17">
        <f>B46*B57</f>
        <v>2548.8542112066516</v>
      </c>
      <c r="F5" s="17">
        <f>B51*B62</f>
        <v>24616.485950203976</v>
      </c>
      <c r="G5" s="18"/>
      <c r="H5" s="17"/>
      <c r="I5" s="17"/>
      <c r="J5" s="17">
        <f>B50*B61+C50*C61</f>
        <v>1582.8400688545785</v>
      </c>
      <c r="K5" s="17"/>
      <c r="L5" s="17"/>
      <c r="M5" s="17"/>
      <c r="N5" s="17">
        <f>B48*B59+C48*C59</f>
        <v>12047.378153868191</v>
      </c>
      <c r="O5" s="17">
        <f>B69*B70*B71</f>
        <v>189.16333333333336</v>
      </c>
      <c r="P5" s="17">
        <f>B77*B78*B79/1000-B77*B78*B79/1000/B80</f>
        <v>610.13333333333333</v>
      </c>
    </row>
    <row r="6" spans="1:16">
      <c r="A6" s="16" t="s">
        <v>631</v>
      </c>
      <c r="B6" s="844">
        <f>kWh_PV_kleiner_dan_10kW</f>
        <v>3539.4614145310416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34231.99341453104</v>
      </c>
      <c r="C8" s="21">
        <f>C5</f>
        <v>0</v>
      </c>
      <c r="D8" s="21">
        <f>D5</f>
        <v>65487.505957268062</v>
      </c>
      <c r="E8" s="21">
        <f>E5</f>
        <v>2548.8542112066516</v>
      </c>
      <c r="F8" s="21">
        <f>F5</f>
        <v>24616.485950203976</v>
      </c>
      <c r="G8" s="21"/>
      <c r="H8" s="21"/>
      <c r="I8" s="21"/>
      <c r="J8" s="21">
        <f>J5</f>
        <v>1582.8400688545785</v>
      </c>
      <c r="K8" s="21"/>
      <c r="L8" s="21">
        <f>L5</f>
        <v>0</v>
      </c>
      <c r="M8" s="21">
        <f>M5</f>
        <v>0</v>
      </c>
      <c r="N8" s="21">
        <f>N5</f>
        <v>12047.378153868191</v>
      </c>
      <c r="O8" s="21">
        <f>O5</f>
        <v>189.16333333333336</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0.20950918117956194</v>
      </c>
      <c r="C10" s="25">
        <f ca="1">'EF ele_warmte'!B22</f>
        <v>7.9881686385602405E-2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7171.9169104225548</v>
      </c>
      <c r="C12" s="23">
        <f ca="1">C10*C8</f>
        <v>0</v>
      </c>
      <c r="D12" s="23">
        <f>D8*D10</f>
        <v>13228.476203368149</v>
      </c>
      <c r="E12" s="23">
        <f>E10*E8</f>
        <v>578.58990594390991</v>
      </c>
      <c r="F12" s="23">
        <f>F10*F8</f>
        <v>6572.6017487044619</v>
      </c>
      <c r="G12" s="23"/>
      <c r="H12" s="23"/>
      <c r="I12" s="23"/>
      <c r="J12" s="23">
        <f>J10*J8</f>
        <v>560.3253843745207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7784</v>
      </c>
      <c r="C28" s="36"/>
      <c r="D28" s="228"/>
    </row>
    <row r="29" spans="1:7" s="15" customFormat="1">
      <c r="A29" s="230" t="s">
        <v>741</v>
      </c>
      <c r="B29" s="37">
        <f>SUM(HH_hh_gas_aantal,HH_rest_gas_aantal)</f>
        <v>4969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4969</v>
      </c>
      <c r="C32" s="167">
        <f>IF(ISERROR(B32/SUM($B$32,$B$34,$B$35,$B$36,$B$38,$B$39)*100),0,B32/SUM($B$32,$B$34,$B$35,$B$36,$B$38,$B$39)*100)</f>
        <v>64.099587203302377</v>
      </c>
      <c r="D32" s="233"/>
      <c r="G32" s="15"/>
    </row>
    <row r="33" spans="1:7">
      <c r="A33" s="171" t="s">
        <v>72</v>
      </c>
      <c r="B33" s="34" t="s">
        <v>111</v>
      </c>
      <c r="C33" s="167"/>
      <c r="D33" s="233"/>
      <c r="G33" s="15"/>
    </row>
    <row r="34" spans="1:7">
      <c r="A34" s="171" t="s">
        <v>73</v>
      </c>
      <c r="B34" s="33">
        <f>IF((($B$28-$B$32-$B$39-$B$77-$B$38)*C20/100)&lt;0,0,($B$28-$B$32-$B$39-$B$77-$B$38)*C20/100)</f>
        <v>170.82905982905984</v>
      </c>
      <c r="C34" s="167">
        <f>IF(ISERROR(B34/SUM($B$32,$B$34,$B$35,$B$36,$B$38,$B$39)*100),0,B34/SUM($B$32,$B$34,$B$35,$B$36,$B$38,$B$39)*100)</f>
        <v>2.2036772423769326</v>
      </c>
      <c r="D34" s="233"/>
      <c r="G34" s="15"/>
    </row>
    <row r="35" spans="1:7">
      <c r="A35" s="171" t="s">
        <v>74</v>
      </c>
      <c r="B35" s="33">
        <f>IF((($B$28-$B$32-$B$39-$B$77-$B$38)*C21/100)&lt;0,0,($B$28-$B$32-$B$39-$B$77-$B$38)*C21/100)</f>
        <v>1354.2535612535614</v>
      </c>
      <c r="C35" s="167">
        <f>IF(ISERROR(B35/SUM($B$32,$B$34,$B$35,$B$36,$B$38,$B$39)*100),0,B35/SUM($B$32,$B$34,$B$35,$B$36,$B$38,$B$39)*100)</f>
        <v>17.469731182321485</v>
      </c>
      <c r="D35" s="233"/>
      <c r="G35" s="15"/>
    </row>
    <row r="36" spans="1:7">
      <c r="A36" s="171" t="s">
        <v>75</v>
      </c>
      <c r="B36" s="33">
        <f>IF((($B$28-$B$32-$B$39-$B$77-$B$38)*C22/100)&lt;0,0,($B$28-$B$32-$B$39-$B$77-$B$38)*C22/100)</f>
        <v>212.91737891737893</v>
      </c>
      <c r="C36" s="167">
        <f>IF(ISERROR(B36/SUM($B$32,$B$34,$B$35,$B$36,$B$38,$B$39)*100),0,B36/SUM($B$32,$B$34,$B$35,$B$36,$B$38,$B$39)*100)</f>
        <v>2.7466122151364671</v>
      </c>
      <c r="D36" s="233"/>
      <c r="G36" s="15"/>
    </row>
    <row r="37" spans="1:7">
      <c r="A37" s="171" t="s">
        <v>76</v>
      </c>
      <c r="B37" s="34" t="s">
        <v>111</v>
      </c>
      <c r="C37" s="167"/>
      <c r="D37" s="173"/>
      <c r="G37" s="15"/>
    </row>
    <row r="38" spans="1:7">
      <c r="A38" s="171" t="s">
        <v>77</v>
      </c>
      <c r="B38" s="33">
        <f>IF((B24-(B29-B18)*0.1)&lt;0,0,B24-(B29-B18)*0.1)</f>
        <v>45</v>
      </c>
      <c r="C38" s="167">
        <f>IF(ISERROR(B38/SUM($B$32,$B$34,$B$35,$B$36,$B$38,$B$39)*100),0,B38/SUM($B$32,$B$34,$B$35,$B$36,$B$38,$B$39)*100)</f>
        <v>0.58049535603715174</v>
      </c>
      <c r="D38" s="234"/>
      <c r="G38" s="15"/>
    </row>
    <row r="39" spans="1:7">
      <c r="A39" s="171" t="s">
        <v>78</v>
      </c>
      <c r="B39" s="33">
        <f>IF((B25-(B29-B18))&lt;0,0,B25-(B29-B18)*0.9)</f>
        <v>1000</v>
      </c>
      <c r="C39" s="167">
        <f>IF(ISERROR(B39/SUM($B$32,$B$34,$B$35,$B$36,$B$38,$B$39)*100),0,B39/SUM($B$32,$B$34,$B$35,$B$36,$B$38,$B$39)*100)</f>
        <v>12.899896800825594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4969</v>
      </c>
      <c r="C44" s="34" t="s">
        <v>111</v>
      </c>
      <c r="D44" s="174"/>
    </row>
    <row r="45" spans="1:7">
      <c r="A45" s="171" t="s">
        <v>72</v>
      </c>
      <c r="B45" s="33" t="str">
        <f t="shared" si="0"/>
        <v>-</v>
      </c>
      <c r="C45" s="34" t="s">
        <v>111</v>
      </c>
      <c r="D45" s="174"/>
    </row>
    <row r="46" spans="1:7">
      <c r="A46" s="171" t="s">
        <v>73</v>
      </c>
      <c r="B46" s="33">
        <f t="shared" si="0"/>
        <v>170.82905982905984</v>
      </c>
      <c r="C46" s="34" t="s">
        <v>111</v>
      </c>
      <c r="D46" s="174"/>
    </row>
    <row r="47" spans="1:7">
      <c r="A47" s="171" t="s">
        <v>74</v>
      </c>
      <c r="B47" s="33">
        <f t="shared" si="0"/>
        <v>1354.2535612535614</v>
      </c>
      <c r="C47" s="34" t="s">
        <v>111</v>
      </c>
      <c r="D47" s="174"/>
    </row>
    <row r="48" spans="1:7">
      <c r="A48" s="171" t="s">
        <v>75</v>
      </c>
      <c r="B48" s="33">
        <f t="shared" si="0"/>
        <v>212.91737891737893</v>
      </c>
      <c r="C48" s="33">
        <f>B48*10</f>
        <v>2129.1737891737894</v>
      </c>
      <c r="D48" s="234"/>
    </row>
    <row r="49" spans="1:6">
      <c r="A49" s="171" t="s">
        <v>76</v>
      </c>
      <c r="B49" s="33" t="str">
        <f t="shared" si="0"/>
        <v>-</v>
      </c>
      <c r="C49" s="34" t="s">
        <v>111</v>
      </c>
      <c r="D49" s="234"/>
    </row>
    <row r="50" spans="1:6">
      <c r="A50" s="171" t="s">
        <v>77</v>
      </c>
      <c r="B50" s="33">
        <f t="shared" si="0"/>
        <v>45</v>
      </c>
      <c r="C50" s="33">
        <f>B50*2</f>
        <v>90</v>
      </c>
      <c r="D50" s="234"/>
    </row>
    <row r="51" spans="1:6">
      <c r="A51" s="171" t="s">
        <v>78</v>
      </c>
      <c r="B51" s="33">
        <f t="shared" si="0"/>
        <v>1000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12290.998299999999</v>
      </c>
      <c r="C5" s="17">
        <f>IF(ISERROR('Eigen informatie GS &amp; warmtenet'!B58),0,'Eigen informatie GS &amp; warmtenet'!B58)</f>
        <v>0</v>
      </c>
      <c r="D5" s="30">
        <f>SUM(D6:D12)</f>
        <v>14587.814718773623</v>
      </c>
      <c r="E5" s="17">
        <f>SUM(E6:E12)</f>
        <v>142.780809137229</v>
      </c>
      <c r="F5" s="17">
        <f>SUM(F6:F12)</f>
        <v>1826.0668408698232</v>
      </c>
      <c r="G5" s="18"/>
      <c r="H5" s="17"/>
      <c r="I5" s="17"/>
      <c r="J5" s="17">
        <f>SUM(J6:J12)</f>
        <v>0</v>
      </c>
      <c r="K5" s="17"/>
      <c r="L5" s="17"/>
      <c r="M5" s="17"/>
      <c r="N5" s="17">
        <f>SUM(N6:N12)</f>
        <v>1005.0875086817975</v>
      </c>
      <c r="O5" s="17">
        <f>B38*B39*B40</f>
        <v>1.5633333333333335</v>
      </c>
      <c r="P5" s="17">
        <f>B46*B47*B48/1000-B46*B47*B48/1000/B49</f>
        <v>0</v>
      </c>
      <c r="R5" s="32"/>
    </row>
    <row r="6" spans="1:18">
      <c r="A6" s="32" t="s">
        <v>54</v>
      </c>
      <c r="B6" s="37">
        <f>B26</f>
        <v>2496.5300000000002</v>
      </c>
      <c r="C6" s="33"/>
      <c r="D6" s="37">
        <f>IF(ISERROR(TER_kantoor_gas_kWh/1000),0,TER_kantoor_gas_kWh/1000)*0.902</f>
        <v>3405.1684306661573</v>
      </c>
      <c r="E6" s="33">
        <f>$C$26*'E Balans VL '!I12/100/3.6*1000000</f>
        <v>7.2328137028886212</v>
      </c>
      <c r="F6" s="33">
        <f>$C$26*('E Balans VL '!L12+'E Balans VL '!N12)/100/3.6*1000000</f>
        <v>282.5521931796024</v>
      </c>
      <c r="G6" s="34"/>
      <c r="H6" s="33"/>
      <c r="I6" s="33"/>
      <c r="J6" s="33">
        <f>$C$26*('E Balans VL '!D12+'E Balans VL '!E12)/100/3.6*1000000</f>
        <v>0</v>
      </c>
      <c r="K6" s="33"/>
      <c r="L6" s="33"/>
      <c r="M6" s="33"/>
      <c r="N6" s="33">
        <f>$C$26*'E Balans VL '!Y12/100/3.6*1000000</f>
        <v>24.988425774563456</v>
      </c>
      <c r="O6" s="33"/>
      <c r="P6" s="33"/>
      <c r="R6" s="32"/>
    </row>
    <row r="7" spans="1:18">
      <c r="A7" s="32" t="s">
        <v>53</v>
      </c>
      <c r="B7" s="37">
        <f t="shared" ref="B7:B12" si="0">B27</f>
        <v>1495.645</v>
      </c>
      <c r="C7" s="33"/>
      <c r="D7" s="37">
        <f>IF(ISERROR(TER_horeca_gas_kWh/1000),0,TER_horeca_gas_kWh/1000)*0.902</f>
        <v>1562.4666103948443</v>
      </c>
      <c r="E7" s="33">
        <f>$C$27*'E Balans VL '!I9/100/3.6*1000000</f>
        <v>62.782998350458115</v>
      </c>
      <c r="F7" s="33">
        <f>$C$27*('E Balans VL '!L9+'E Balans VL '!N9)/100/3.6*1000000</f>
        <v>321.3699993394186</v>
      </c>
      <c r="G7" s="34"/>
      <c r="H7" s="33"/>
      <c r="I7" s="33"/>
      <c r="J7" s="33">
        <f>$C$27*('E Balans VL '!D9+'E Balans VL '!E9)/100/3.6*1000000</f>
        <v>0</v>
      </c>
      <c r="K7" s="33"/>
      <c r="L7" s="33"/>
      <c r="M7" s="33"/>
      <c r="N7" s="33">
        <f>$C$27*'E Balans VL '!Y9/100/3.6*1000000</f>
        <v>0.38541463660997183</v>
      </c>
      <c r="O7" s="33"/>
      <c r="P7" s="33"/>
      <c r="R7" s="32"/>
    </row>
    <row r="8" spans="1:18">
      <c r="A8" s="6" t="s">
        <v>52</v>
      </c>
      <c r="B8" s="37">
        <f t="shared" si="0"/>
        <v>4982.1189999999997</v>
      </c>
      <c r="C8" s="33"/>
      <c r="D8" s="37">
        <f>IF(ISERROR(TER_handel_gas_kWh/1000),0,TER_handel_gas_kWh/1000)*0.902</f>
        <v>1932.8125055597516</v>
      </c>
      <c r="E8" s="33">
        <f>$C$28*'E Balans VL '!I13/100/3.6*1000000</f>
        <v>53.512104559772837</v>
      </c>
      <c r="F8" s="33">
        <f>$C$28*('E Balans VL '!L13+'E Balans VL '!N13)/100/3.6*1000000</f>
        <v>644.97644604057848</v>
      </c>
      <c r="G8" s="34"/>
      <c r="H8" s="33"/>
      <c r="I8" s="33"/>
      <c r="J8" s="33">
        <f>$C$28*('E Balans VL '!D13+'E Balans VL '!E13)/100/3.6*1000000</f>
        <v>0</v>
      </c>
      <c r="K8" s="33"/>
      <c r="L8" s="33"/>
      <c r="M8" s="33"/>
      <c r="N8" s="33">
        <f>$C$28*'E Balans VL '!Y13/100/3.6*1000000</f>
        <v>40.415221363525369</v>
      </c>
      <c r="O8" s="33"/>
      <c r="P8" s="33"/>
      <c r="R8" s="32"/>
    </row>
    <row r="9" spans="1:18">
      <c r="A9" s="32" t="s">
        <v>51</v>
      </c>
      <c r="B9" s="37">
        <f t="shared" si="0"/>
        <v>415.75319999999999</v>
      </c>
      <c r="C9" s="33"/>
      <c r="D9" s="37">
        <f>IF(ISERROR(TER_gezond_gas_kWh/1000),0,TER_gezond_gas_kWh/1000)*0.902</f>
        <v>352.10132014391536</v>
      </c>
      <c r="E9" s="33">
        <f>$C$29*'E Balans VL '!I10/100/3.6*1000000</f>
        <v>0.33096643739656639</v>
      </c>
      <c r="F9" s="33">
        <f>$C$29*('E Balans VL '!L10+'E Balans VL '!N10)/100/3.6*1000000</f>
        <v>50.540809634898743</v>
      </c>
      <c r="G9" s="34"/>
      <c r="H9" s="33"/>
      <c r="I9" s="33"/>
      <c r="J9" s="33">
        <f>$C$29*('E Balans VL '!D10+'E Balans VL '!E10)/100/3.6*1000000</f>
        <v>0</v>
      </c>
      <c r="K9" s="33"/>
      <c r="L9" s="33"/>
      <c r="M9" s="33"/>
      <c r="N9" s="33">
        <f>$C$29*'E Balans VL '!Y10/100/3.6*1000000</f>
        <v>3.3583442030266979</v>
      </c>
      <c r="O9" s="33"/>
      <c r="P9" s="33"/>
      <c r="R9" s="32"/>
    </row>
    <row r="10" spans="1:18">
      <c r="A10" s="32" t="s">
        <v>50</v>
      </c>
      <c r="B10" s="37">
        <f t="shared" si="0"/>
        <v>1127.981</v>
      </c>
      <c r="C10" s="33"/>
      <c r="D10" s="37">
        <f>IF(ISERROR(TER_ander_gas_kWh/1000),0,TER_ander_gas_kWh/1000)*0.902</f>
        <v>2593.846497643407</v>
      </c>
      <c r="E10" s="33">
        <f>$C$30*'E Balans VL '!I14/100/3.6*1000000</f>
        <v>3.8656501435258859</v>
      </c>
      <c r="F10" s="33">
        <f>$C$30*('E Balans VL '!L14+'E Balans VL '!N14)/100/3.6*1000000</f>
        <v>251.94511965145085</v>
      </c>
      <c r="G10" s="34"/>
      <c r="H10" s="33"/>
      <c r="I10" s="33"/>
      <c r="J10" s="33">
        <f>$C$30*('E Balans VL '!D14+'E Balans VL '!E14)/100/3.6*1000000</f>
        <v>0</v>
      </c>
      <c r="K10" s="33"/>
      <c r="L10" s="33"/>
      <c r="M10" s="33"/>
      <c r="N10" s="33">
        <f>$C$30*'E Balans VL '!Y14/100/3.6*1000000</f>
        <v>794.5559784397517</v>
      </c>
      <c r="O10" s="33"/>
      <c r="P10" s="33"/>
      <c r="R10" s="32"/>
    </row>
    <row r="11" spans="1:18">
      <c r="A11" s="32" t="s">
        <v>55</v>
      </c>
      <c r="B11" s="37">
        <f t="shared" si="0"/>
        <v>116.57810000000001</v>
      </c>
      <c r="C11" s="33"/>
      <c r="D11" s="37">
        <f>IF(ISERROR(TER_onderwijs_gas_kWh/1000),0,TER_onderwijs_gas_kWh/1000)*0.902</f>
        <v>655.64075832655328</v>
      </c>
      <c r="E11" s="33">
        <f>$C$31*'E Balans VL '!I11/100/3.6*1000000</f>
        <v>8.058685020708288E-2</v>
      </c>
      <c r="F11" s="33">
        <f>$C$31*('E Balans VL '!L11+'E Balans VL '!N11)/100/3.6*1000000</f>
        <v>30.51676021596532</v>
      </c>
      <c r="G11" s="34"/>
      <c r="H11" s="33"/>
      <c r="I11" s="33"/>
      <c r="J11" s="33">
        <f>$C$31*('E Balans VL '!D11+'E Balans VL '!E11)/100/3.6*1000000</f>
        <v>0</v>
      </c>
      <c r="K11" s="33"/>
      <c r="L11" s="33"/>
      <c r="M11" s="33"/>
      <c r="N11" s="33">
        <f>$C$31*'E Balans VL '!Y11/100/3.6*1000000</f>
        <v>0.1160435692020132</v>
      </c>
      <c r="O11" s="33"/>
      <c r="P11" s="33"/>
      <c r="R11" s="32"/>
    </row>
    <row r="12" spans="1:18">
      <c r="A12" s="32" t="s">
        <v>260</v>
      </c>
      <c r="B12" s="37">
        <f t="shared" si="0"/>
        <v>1656.3920000000001</v>
      </c>
      <c r="C12" s="33"/>
      <c r="D12" s="37">
        <f>IF(ISERROR(TER_rest_gas_kWh/1000),0,TER_rest_gas_kWh/1000)*0.902</f>
        <v>4085.7785960389942</v>
      </c>
      <c r="E12" s="33">
        <f>$C$32*'E Balans VL '!I8/100/3.6*1000000</f>
        <v>14.975689092979891</v>
      </c>
      <c r="F12" s="33">
        <f>$C$32*('E Balans VL '!L8+'E Balans VL '!N8)/100/3.6*1000000</f>
        <v>244.16551280790873</v>
      </c>
      <c r="G12" s="34"/>
      <c r="H12" s="33"/>
      <c r="I12" s="33"/>
      <c r="J12" s="33">
        <f>$C$32*('E Balans VL '!D8+'E Balans VL '!E8)/100/3.6*1000000</f>
        <v>0</v>
      </c>
      <c r="K12" s="33"/>
      <c r="L12" s="33"/>
      <c r="M12" s="33"/>
      <c r="N12" s="33">
        <f>$C$32*'E Balans VL '!Y8/100/3.6*1000000</f>
        <v>141.2680806951183</v>
      </c>
      <c r="O12" s="33"/>
      <c r="P12" s="33"/>
      <c r="R12" s="32"/>
    </row>
    <row r="13" spans="1:18">
      <c r="A13" s="16" t="s">
        <v>494</v>
      </c>
      <c r="B13" s="247">
        <f ca="1">'lokale energieproductie'!N90+'lokale energieproductie'!N59</f>
        <v>27</v>
      </c>
      <c r="C13" s="247">
        <f ca="1">'lokale energieproductie'!O90+'lokale energieproductie'!O59</f>
        <v>38.571428571428569</v>
      </c>
      <c r="D13" s="310">
        <f ca="1">('lokale energieproductie'!P59+'lokale energieproductie'!P90)*(-1)</f>
        <v>-77.142857142857153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12317.998299999999</v>
      </c>
      <c r="C16" s="21">
        <f t="shared" ca="1" si="1"/>
        <v>38.571428571428569</v>
      </c>
      <c r="D16" s="21">
        <f t="shared" ca="1" si="1"/>
        <v>14510.671861630766</v>
      </c>
      <c r="E16" s="21">
        <f t="shared" si="1"/>
        <v>142.780809137229</v>
      </c>
      <c r="F16" s="21">
        <f t="shared" ca="1" si="1"/>
        <v>1826.0668408698232</v>
      </c>
      <c r="G16" s="21">
        <f t="shared" si="1"/>
        <v>0</v>
      </c>
      <c r="H16" s="21">
        <f t="shared" si="1"/>
        <v>0</v>
      </c>
      <c r="I16" s="21">
        <f t="shared" si="1"/>
        <v>0</v>
      </c>
      <c r="J16" s="21">
        <f t="shared" si="1"/>
        <v>0</v>
      </c>
      <c r="K16" s="21">
        <f t="shared" si="1"/>
        <v>0</v>
      </c>
      <c r="L16" s="21">
        <f t="shared" ca="1" si="1"/>
        <v>0</v>
      </c>
      <c r="M16" s="21">
        <f t="shared" si="1"/>
        <v>0</v>
      </c>
      <c r="N16" s="21">
        <f t="shared" ca="1" si="1"/>
        <v>1005.0875086817975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0.20950918117956194</v>
      </c>
      <c r="C18" s="25">
        <f ca="1">'EF ele_warmte'!B22</f>
        <v>7.9881686385602405E-2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2580.733737604236</v>
      </c>
      <c r="C20" s="23">
        <f t="shared" ref="C20:P20" ca="1" si="2">C16*C18</f>
        <v>3.081150760587521</v>
      </c>
      <c r="D20" s="23">
        <f t="shared" ca="1" si="2"/>
        <v>2931.1557160494149</v>
      </c>
      <c r="E20" s="23">
        <f t="shared" si="2"/>
        <v>32.411243674150981</v>
      </c>
      <c r="F20" s="23">
        <f t="shared" ca="1" si="2"/>
        <v>487.55984651224281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2496.5300000000002</v>
      </c>
      <c r="C26" s="39">
        <f>IF(ISERROR(B26*3.6/1000000/'E Balans VL '!Z12*100),0,B26*3.6/1000000/'E Balans VL '!Z12*100)</f>
        <v>5.4839167727703898E-2</v>
      </c>
      <c r="D26" s="237" t="s">
        <v>692</v>
      </c>
      <c r="F26" s="6"/>
    </row>
    <row r="27" spans="1:18">
      <c r="A27" s="231" t="s">
        <v>53</v>
      </c>
      <c r="B27" s="33">
        <f>IF(ISERROR(TER_horeca_ele_kWh/1000),0,TER_horeca_ele_kWh/1000)</f>
        <v>1495.645</v>
      </c>
      <c r="C27" s="39">
        <f>IF(ISERROR(B27*3.6/1000000/'E Balans VL '!Z9*100),0,B27*3.6/1000000/'E Balans VL '!Z9*100)</f>
        <v>0.12018998451544863</v>
      </c>
      <c r="D27" s="237" t="s">
        <v>692</v>
      </c>
      <c r="F27" s="6"/>
    </row>
    <row r="28" spans="1:18">
      <c r="A28" s="171" t="s">
        <v>52</v>
      </c>
      <c r="B28" s="33">
        <f>IF(ISERROR(TER_handel_ele_kWh/1000),0,TER_handel_ele_kWh/1000)</f>
        <v>4982.1189999999997</v>
      </c>
      <c r="C28" s="39">
        <f>IF(ISERROR(B28*3.6/1000000/'E Balans VL '!Z13*100),0,B28*3.6/1000000/'E Balans VL '!Z13*100)</f>
        <v>0.1473177782485863</v>
      </c>
      <c r="D28" s="237" t="s">
        <v>692</v>
      </c>
      <c r="F28" s="6"/>
    </row>
    <row r="29" spans="1:18">
      <c r="A29" s="231" t="s">
        <v>51</v>
      </c>
      <c r="B29" s="33">
        <f>IF(ISERROR(TER_gezond_ele_kWh/1000),0,TER_gezond_ele_kWh/1000)</f>
        <v>415.75319999999999</v>
      </c>
      <c r="C29" s="39">
        <f>IF(ISERROR(B29*3.6/1000000/'E Balans VL '!Z10*100),0,B29*3.6/1000000/'E Balans VL '!Z10*100)</f>
        <v>4.6844651838562991E-2</v>
      </c>
      <c r="D29" s="237" t="s">
        <v>692</v>
      </c>
      <c r="F29" s="6"/>
    </row>
    <row r="30" spans="1:18">
      <c r="A30" s="231" t="s">
        <v>50</v>
      </c>
      <c r="B30" s="33">
        <f>IF(ISERROR(TER_ander_ele_kWh/1000),0,TER_ander_ele_kWh/1000)</f>
        <v>1127.981</v>
      </c>
      <c r="C30" s="39">
        <f>IF(ISERROR(B30*3.6/1000000/'E Balans VL '!Z14*100),0,B30*3.6/1000000/'E Balans VL '!Z14*100)</f>
        <v>8.5307274833577251E-2</v>
      </c>
      <c r="D30" s="237" t="s">
        <v>692</v>
      </c>
      <c r="F30" s="6"/>
    </row>
    <row r="31" spans="1:18">
      <c r="A31" s="231" t="s">
        <v>55</v>
      </c>
      <c r="B31" s="33">
        <f>IF(ISERROR(TER_onderwijs_ele_kWh/1000),0,TER_onderwijs_ele_kWh/1000)</f>
        <v>116.57810000000001</v>
      </c>
      <c r="C31" s="39">
        <f>IF(ISERROR(B31*3.6/1000000/'E Balans VL '!Z11*100),0,B31*3.6/1000000/'E Balans VL '!Z11*100)</f>
        <v>2.4198907315588724E-2</v>
      </c>
      <c r="D31" s="237" t="s">
        <v>692</v>
      </c>
    </row>
    <row r="32" spans="1:18">
      <c r="A32" s="231" t="s">
        <v>260</v>
      </c>
      <c r="B32" s="33">
        <f>IF(ISERROR(TER_rest_ele_kWh/1000),0,TER_rest_ele_kWh/1000)</f>
        <v>1656.3920000000001</v>
      </c>
      <c r="C32" s="39">
        <f>IF(ISERROR(B32*3.6/1000000/'E Balans VL '!Z8*100),0,B32*3.6/1000000/'E Balans VL '!Z8*100)</f>
        <v>1.3954128177584867E-2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78300.570319999984</v>
      </c>
      <c r="C5" s="17">
        <f>IF(ISERROR('Eigen informatie GS &amp; warmtenet'!B59),0,'Eigen informatie GS &amp; warmtenet'!B59)</f>
        <v>0</v>
      </c>
      <c r="D5" s="30">
        <f>SUM(D6:D15)</f>
        <v>30994.652550475395</v>
      </c>
      <c r="E5" s="17">
        <f>SUM(E6:E15)</f>
        <v>1205.730919672628</v>
      </c>
      <c r="F5" s="17">
        <f>SUM(F6:F15)</f>
        <v>141842.8650775018</v>
      </c>
      <c r="G5" s="18"/>
      <c r="H5" s="17"/>
      <c r="I5" s="17"/>
      <c r="J5" s="17">
        <f>SUM(J6:J15)</f>
        <v>1789.0490278035149</v>
      </c>
      <c r="K5" s="17"/>
      <c r="L5" s="17"/>
      <c r="M5" s="17"/>
      <c r="N5" s="17">
        <f>SUM(N6:N15)</f>
        <v>40087.819263789504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66.227419999999995</v>
      </c>
      <c r="C8" s="33"/>
      <c r="D8" s="37">
        <f>IF( ISERROR(IND_metaal_Gas_kWH/1000),0,IND_metaal_Gas_kWH/1000)*0.902</f>
        <v>0</v>
      </c>
      <c r="E8" s="33">
        <f>C30*'E Balans VL '!I18/100/3.6*1000000</f>
        <v>1.6574405315957985</v>
      </c>
      <c r="F8" s="33">
        <f>C30*'E Balans VL '!L18/100/3.6*1000000+C30*'E Balans VL '!N18/100/3.6*1000000</f>
        <v>20.756002860129104</v>
      </c>
      <c r="G8" s="34"/>
      <c r="H8" s="33"/>
      <c r="I8" s="33"/>
      <c r="J8" s="40">
        <f>C30*'E Balans VL '!D18/100/3.6*1000000+C30*'E Balans VL '!E18/100/3.6*1000000</f>
        <v>0</v>
      </c>
      <c r="K8" s="33"/>
      <c r="L8" s="33"/>
      <c r="M8" s="33"/>
      <c r="N8" s="33">
        <f>C30*'E Balans VL '!Y18/100/3.6*1000000</f>
        <v>1.663804665542528</v>
      </c>
      <c r="O8" s="33"/>
      <c r="P8" s="33"/>
      <c r="R8" s="32"/>
    </row>
    <row r="9" spans="1:18">
      <c r="A9" s="6" t="s">
        <v>33</v>
      </c>
      <c r="B9" s="37">
        <f t="shared" si="0"/>
        <v>1129.0830000000001</v>
      </c>
      <c r="C9" s="33"/>
      <c r="D9" s="37">
        <f>IF( ISERROR(IND_andere_gas_kWh/1000),0,IND_andere_gas_kWh/1000)*0.902</f>
        <v>820.84273832308145</v>
      </c>
      <c r="E9" s="33">
        <f>C31*'E Balans VL '!I19/100/3.6*1000000</f>
        <v>310.45151559798455</v>
      </c>
      <c r="F9" s="33">
        <f>C31*'E Balans VL '!L19/100/3.6*1000000+C31*'E Balans VL '!N19/100/3.6*1000000</f>
        <v>889.91387854847187</v>
      </c>
      <c r="G9" s="34"/>
      <c r="H9" s="33"/>
      <c r="I9" s="33"/>
      <c r="J9" s="40">
        <f>C31*'E Balans VL '!D19/100/3.6*1000000+C31*'E Balans VL '!E19/100/3.6*1000000</f>
        <v>0</v>
      </c>
      <c r="K9" s="33"/>
      <c r="L9" s="33"/>
      <c r="M9" s="33"/>
      <c r="N9" s="33">
        <f>C31*'E Balans VL '!Y19/100/3.6*1000000</f>
        <v>365.51396990402424</v>
      </c>
      <c r="O9" s="33"/>
      <c r="P9" s="33"/>
      <c r="R9" s="32"/>
    </row>
    <row r="10" spans="1:18">
      <c r="A10" s="6" t="s">
        <v>41</v>
      </c>
      <c r="B10" s="37">
        <f t="shared" si="0"/>
        <v>74282.782999999996</v>
      </c>
      <c r="C10" s="33"/>
      <c r="D10" s="37">
        <f>IF( ISERROR(IND_voed_gas_kWh/1000),0,IND_voed_gas_kWh/1000)*0.902</f>
        <v>27006.324517866662</v>
      </c>
      <c r="E10" s="33">
        <f>C32*'E Balans VL '!I20/100/3.6*1000000</f>
        <v>757.27205006633983</v>
      </c>
      <c r="F10" s="33">
        <f>C32*'E Balans VL '!L20/100/3.6*1000000+C32*'E Balans VL '!N20/100/3.6*1000000</f>
        <v>140319.71249304002</v>
      </c>
      <c r="G10" s="34"/>
      <c r="H10" s="33"/>
      <c r="I10" s="33"/>
      <c r="J10" s="40">
        <f>C32*'E Balans VL '!D20/100/3.6*1000000+C32*'E Balans VL '!E20/100/3.6*1000000</f>
        <v>1777.8300515563799</v>
      </c>
      <c r="K10" s="33"/>
      <c r="L10" s="33"/>
      <c r="M10" s="33"/>
      <c r="N10" s="33">
        <f>C32*'E Balans VL '!Y20/100/3.6*1000000</f>
        <v>39155.582968394228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148.31889999999999</v>
      </c>
      <c r="C13" s="33"/>
      <c r="D13" s="37">
        <f>IF( ISERROR(IND_papier_gas_kWh/1000),0,IND_papier_gas_kWh/1000)*0.902</f>
        <v>49.955872559993047</v>
      </c>
      <c r="E13" s="33">
        <f>C35*'E Balans VL '!I23/100/3.6*1000000</f>
        <v>0.30717845318468251</v>
      </c>
      <c r="F13" s="33">
        <f>C35*'E Balans VL '!L23/100/3.6*1000000+C35*'E Balans VL '!N23/100/3.6*1000000</f>
        <v>2.9414817574490599</v>
      </c>
      <c r="G13" s="34"/>
      <c r="H13" s="33"/>
      <c r="I13" s="33"/>
      <c r="J13" s="40">
        <f>C35*'E Balans VL '!D23/100/3.6*1000000+C35*'E Balans VL '!E23/100/3.6*1000000</f>
        <v>0</v>
      </c>
      <c r="K13" s="33"/>
      <c r="L13" s="33"/>
      <c r="M13" s="33"/>
      <c r="N13" s="33">
        <f>C35*'E Balans VL '!Y23/100/3.6*1000000</f>
        <v>62.627339424831661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2674.1579999999999</v>
      </c>
      <c r="C15" s="33"/>
      <c r="D15" s="37">
        <f>IF( ISERROR(IND_rest_gas_kWh/1000),0,IND_rest_gas_kWh/1000)*0.902</f>
        <v>3117.5294217256587</v>
      </c>
      <c r="E15" s="33">
        <f>C37*'E Balans VL '!I15/100/3.6*1000000</f>
        <v>136.04273502352325</v>
      </c>
      <c r="F15" s="33">
        <f>C37*'E Balans VL '!L15/100/3.6*1000000+C37*'E Balans VL '!N15/100/3.6*1000000</f>
        <v>609.5412212957591</v>
      </c>
      <c r="G15" s="34"/>
      <c r="H15" s="33"/>
      <c r="I15" s="33"/>
      <c r="J15" s="40">
        <f>C37*'E Balans VL '!D15/100/3.6*1000000+C37*'E Balans VL '!E15/100/3.6*1000000</f>
        <v>11.218976247135135</v>
      </c>
      <c r="K15" s="33"/>
      <c r="L15" s="33"/>
      <c r="M15" s="33"/>
      <c r="N15" s="33">
        <f>C37*'E Balans VL '!Y15/100/3.6*1000000</f>
        <v>502.43118140087307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78300.570319999984</v>
      </c>
      <c r="C18" s="21">
        <f>C5+C16</f>
        <v>0</v>
      </c>
      <c r="D18" s="21">
        <f>MAX((D5+D16),0)</f>
        <v>30994.652550475395</v>
      </c>
      <c r="E18" s="21">
        <f>MAX((E5+E16),0)</f>
        <v>1205.730919672628</v>
      </c>
      <c r="F18" s="21">
        <f>MAX((F5+F16),0)</f>
        <v>141842.8650775018</v>
      </c>
      <c r="G18" s="21"/>
      <c r="H18" s="21"/>
      <c r="I18" s="21"/>
      <c r="J18" s="21">
        <f>MAX((J5+J16),0)</f>
        <v>1789.0490278035149</v>
      </c>
      <c r="K18" s="21"/>
      <c r="L18" s="21">
        <f>MAX((L5+L16),0)</f>
        <v>0</v>
      </c>
      <c r="M18" s="21"/>
      <c r="N18" s="21">
        <f>MAX((N5+N16),0)</f>
        <v>40087.819263789504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0.20950918117956194</v>
      </c>
      <c r="C20" s="25">
        <f ca="1">'EF ele_warmte'!B22</f>
        <v>7.9881686385602405E-2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16404.688373635905</v>
      </c>
      <c r="C22" s="23">
        <f ca="1">C18*C20</f>
        <v>0</v>
      </c>
      <c r="D22" s="23">
        <f>D18*D20</f>
        <v>6260.91981519603</v>
      </c>
      <c r="E22" s="23">
        <f>E18*E20</f>
        <v>273.70091876568659</v>
      </c>
      <c r="F22" s="23">
        <f>F18*F20</f>
        <v>37872.044975692981</v>
      </c>
      <c r="G22" s="23"/>
      <c r="H22" s="23"/>
      <c r="I22" s="23"/>
      <c r="J22" s="23">
        <f>J18*J20</f>
        <v>633.32335584244424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66.227419999999995</v>
      </c>
      <c r="C30" s="39">
        <f>IF(ISERROR(B30*3.6/1000000/'E Balans VL '!Z18*100),0,B30*3.6/1000000/'E Balans VL '!Z18*100)</f>
        <v>9.2696317468465104E-3</v>
      </c>
      <c r="D30" s="237" t="s">
        <v>692</v>
      </c>
    </row>
    <row r="31" spans="1:18">
      <c r="A31" s="6" t="s">
        <v>33</v>
      </c>
      <c r="B31" s="37">
        <f>IF( ISERROR(IND_ander_ele_kWh/1000),0,IND_ander_ele_kWh/1000)</f>
        <v>1129.0830000000001</v>
      </c>
      <c r="C31" s="39">
        <f>IF(ISERROR(B31*3.6/1000000/'E Balans VL '!Z19*100),0,B31*3.6/1000000/'E Balans VL '!Z19*100)</f>
        <v>4.9419779746714604E-2</v>
      </c>
      <c r="D31" s="237" t="s">
        <v>692</v>
      </c>
    </row>
    <row r="32" spans="1:18">
      <c r="A32" s="171" t="s">
        <v>41</v>
      </c>
      <c r="B32" s="37">
        <f>IF( ISERROR(IND_voed_ele_kWh/1000),0,IND_voed_ele_kWh/1000)</f>
        <v>74282.782999999996</v>
      </c>
      <c r="C32" s="39">
        <f>IF(ISERROR(B32*3.6/1000000/'E Balans VL '!Z20*100),0,B32*3.6/1000000/'E Balans VL '!Z20*100)</f>
        <v>18.389950261253137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148.31889999999999</v>
      </c>
      <c r="C35" s="39">
        <f>IF(ISERROR(B35*3.6/1000000/'E Balans VL '!Z22*100),0,B35*3.6/1000000/'E Balans VL '!Z22*100)</f>
        <v>4.2086852734092312E-3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2674.1579999999999</v>
      </c>
      <c r="C37" s="39">
        <f>IF(ISERROR(B37*3.6/1000000/'E Balans VL '!Z15*100),0,B37*3.6/1000000/'E Balans VL '!Z15*100)</f>
        <v>1.9828423734776439E-2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1312.3878</v>
      </c>
      <c r="C5" s="17">
        <f>'Eigen informatie GS &amp; warmtenet'!B60</f>
        <v>0</v>
      </c>
      <c r="D5" s="30">
        <f>IF(ISERROR(SUM(LB_lb_gas_kWh,LB_rest_gas_kWh,onbekend_gas_kWh)/1000),0,SUM(LB_lb_gas_kWh,LB_rest_gas_kWh,onbekend_gas_kWh)/1000)*0.902</f>
        <v>2033.3662858875025</v>
      </c>
      <c r="E5" s="17">
        <f>B17*'E Balans VL '!I25/3.6*1000000/100</f>
        <v>12.155885482138149</v>
      </c>
      <c r="F5" s="17">
        <f>B17*('E Balans VL '!L25/3.6*1000000+'E Balans VL '!N25/3.6*1000000)/100</f>
        <v>3329.7778582193355</v>
      </c>
      <c r="G5" s="18"/>
      <c r="H5" s="17"/>
      <c r="I5" s="17"/>
      <c r="J5" s="17">
        <f>('E Balans VL '!D25+'E Balans VL '!E25)/3.6*1000000*landbouw!B17/100</f>
        <v>201.20369603059459</v>
      </c>
      <c r="K5" s="17"/>
      <c r="L5" s="17">
        <f>L6*(-1)</f>
        <v>6750</v>
      </c>
      <c r="M5" s="17"/>
      <c r="N5" s="17">
        <f>N6*(-1)</f>
        <v>0</v>
      </c>
      <c r="O5" s="17"/>
      <c r="P5" s="17"/>
      <c r="R5" s="32"/>
    </row>
    <row r="6" spans="1:18">
      <c r="A6" s="16" t="s">
        <v>494</v>
      </c>
      <c r="B6" s="17" t="s">
        <v>211</v>
      </c>
      <c r="C6" s="17">
        <f>'lokale energieproductie'!O91+'lokale energieproductie'!O60</f>
        <v>4050</v>
      </c>
      <c r="D6" s="310">
        <f>('lokale energieproductie'!P60+'lokale energieproductie'!P91)*(-1)</f>
        <v>0</v>
      </c>
      <c r="E6" s="248"/>
      <c r="F6" s="310">
        <f>('lokale energieproductie'!S60+'lokale energieproductie'!S91)*(-1)</f>
        <v>-2250</v>
      </c>
      <c r="G6" s="249"/>
      <c r="H6" s="248"/>
      <c r="I6" s="248"/>
      <c r="J6" s="248"/>
      <c r="K6" s="248"/>
      <c r="L6" s="310">
        <f>('lokale energieproductie'!T60+'lokale energieproductie'!U60+'lokale energieproductie'!T91+'lokale energieproductie'!U91)*(-1)</f>
        <v>-6750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1312.3878</v>
      </c>
      <c r="C8" s="21">
        <f>C5+C6</f>
        <v>4050</v>
      </c>
      <c r="D8" s="21">
        <f>MAX((D5+D6),0)</f>
        <v>2033.3662858875025</v>
      </c>
      <c r="E8" s="21">
        <f>MAX((E5+E6),0)</f>
        <v>12.155885482138149</v>
      </c>
      <c r="F8" s="21">
        <f>MAX((F5+F6),0)</f>
        <v>1079.7778582193355</v>
      </c>
      <c r="G8" s="21"/>
      <c r="H8" s="21"/>
      <c r="I8" s="21"/>
      <c r="J8" s="21">
        <f>MAX((J5+J6),0)</f>
        <v>201.20369603059459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0.20950918117956194</v>
      </c>
      <c r="C10" s="31">
        <f ca="1">'EF ele_warmte'!B22</f>
        <v>7.9881686385602405E-2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274.95729336804669</v>
      </c>
      <c r="C12" s="23">
        <f ca="1">C8*C10</f>
        <v>323.52082986168972</v>
      </c>
      <c r="D12" s="23">
        <f>D8*D10</f>
        <v>410.73998974927554</v>
      </c>
      <c r="E12" s="23">
        <f>E8*E10</f>
        <v>2.7593860044453602</v>
      </c>
      <c r="F12" s="23">
        <f>F8*F10</f>
        <v>288.30068814456257</v>
      </c>
      <c r="G12" s="23"/>
      <c r="H12" s="23"/>
      <c r="I12" s="23"/>
      <c r="J12" s="23">
        <f>J8*J10</f>
        <v>71.226108394830476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0.18659371772869437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155.92253455374961</v>
      </c>
      <c r="C26" s="247">
        <f>B26*'GWP N2O_CH4'!B5</f>
        <v>3274.3732256287417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34.898463545010557</v>
      </c>
      <c r="C27" s="247">
        <f>B27*'GWP N2O_CH4'!B5</f>
        <v>732.86773444522169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2.0324818771411071</v>
      </c>
      <c r="C28" s="247">
        <f>B28*'GWP N2O_CH4'!B4</f>
        <v>630.0693819137432</v>
      </c>
      <c r="D28" s="50"/>
    </row>
    <row r="29" spans="1:4">
      <c r="A29" s="41" t="s">
        <v>277</v>
      </c>
      <c r="B29" s="247">
        <f>B34*'ha_N2O bodem landbouw'!B4</f>
        <v>8.7248794605227999</v>
      </c>
      <c r="C29" s="247">
        <f>B29*'GWP N2O_CH4'!B4</f>
        <v>2704.7126327620681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1.9568367540858988E-3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4.7119252676255164E-5</v>
      </c>
      <c r="C5" s="464" t="s">
        <v>211</v>
      </c>
      <c r="D5" s="449">
        <f>SUM(D6:D11)</f>
        <v>1.6188508047235164E-4</v>
      </c>
      <c r="E5" s="449">
        <f>SUM(E6:E11)</f>
        <v>9.9299738488724059E-4</v>
      </c>
      <c r="F5" s="462" t="s">
        <v>211</v>
      </c>
      <c r="G5" s="449">
        <f>SUM(G6:G11)</f>
        <v>0.26613392581997852</v>
      </c>
      <c r="H5" s="449">
        <f>SUM(H6:H11)</f>
        <v>6.0214685711502076E-2</v>
      </c>
      <c r="I5" s="464" t="s">
        <v>211</v>
      </c>
      <c r="J5" s="464" t="s">
        <v>211</v>
      </c>
      <c r="K5" s="464" t="s">
        <v>211</v>
      </c>
      <c r="L5" s="464" t="s">
        <v>211</v>
      </c>
      <c r="M5" s="449">
        <f>SUM(M6:M11)</f>
        <v>1.724828402415312E-2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1.7372392137633585E-5</v>
      </c>
      <c r="C6" s="450"/>
      <c r="D6" s="963">
        <f>vkm_2011_GW_PW*SUMIFS(TableVerdeelsleutelVkm[CNG],TableVerdeelsleutelVkm[Voertuigtype],"Lichte voertuigen")*SUMIFS(TableECFTransport[EnergieConsumptieFactor (PJ per km)],TableECFTransport[Index],CONCATENATE($A6,"_CNG_CNG"))</f>
        <v>4.0184255635491095E-5</v>
      </c>
      <c r="E6" s="963">
        <f>vkm_2011_GW_PW*SUMIFS(TableVerdeelsleutelVkm[LPG],TableVerdeelsleutelVkm[Voertuigtype],"Lichte voertuigen")*SUMIFS(TableECFTransport[EnergieConsumptieFactor (PJ per km)],TableECFTransport[Index],CONCATENATE($A6,"_LPG_LPG"))</f>
        <v>2.6165560610606368E-4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5.4357016369736853E-2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1.532211959332372E-2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3.6159859445938935E-3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2.6997031073381007E-2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9.2324943381732323E-6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1.5619312737117452E-3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2.9746860538621579E-5</v>
      </c>
      <c r="C8" s="450"/>
      <c r="D8" s="452">
        <f>vkm_2011_NGW_PW*SUMIFS(TableVerdeelsleutelVkm[CNG],TableVerdeelsleutelVkm[Voertuigtype],"Lichte voertuigen")*SUMIFS(TableECFTransport[EnergieConsumptieFactor (PJ per km)],TableECFTransport[Index],CONCATENATE($A8,"_CNG_CNG"))</f>
        <v>1.2170082483686055E-4</v>
      </c>
      <c r="E8" s="452">
        <f>vkm_2011_NGW_PW*SUMIFS(TableVerdeelsleutelVkm[LPG],TableVerdeelsleutelVkm[Voertuigtype],"Lichte voertuigen")*SUMIFS(TableECFTransport[EnergieConsumptieFactor (PJ per km)],TableECFTransport[Index],CONCATENATE($A8,"_LPG_LPG"))</f>
        <v>7.3134177878117685E-4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0.14202549905104239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4.4869498804722636E-2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9.596807828689307E-3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4.2754379325818243E-2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1.3834819117549422E-5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2.4735589771581728E-3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13.088681298959768</v>
      </c>
      <c r="C14" s="21"/>
      <c r="D14" s="21">
        <f t="shared" ref="D14:M14" si="0">((D5)*10^9/3600)+D12</f>
        <v>44.968077908986565</v>
      </c>
      <c r="E14" s="21">
        <f t="shared" si="0"/>
        <v>275.83260691312239</v>
      </c>
      <c r="F14" s="21"/>
      <c r="G14" s="21">
        <f t="shared" si="0"/>
        <v>73926.090505549597</v>
      </c>
      <c r="H14" s="21">
        <f t="shared" si="0"/>
        <v>16726.301586528356</v>
      </c>
      <c r="I14" s="21"/>
      <c r="J14" s="21"/>
      <c r="K14" s="21"/>
      <c r="L14" s="21"/>
      <c r="M14" s="21">
        <f t="shared" si="0"/>
        <v>4791.1900067092001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0.20950918117956194</v>
      </c>
      <c r="C16" s="56">
        <f ca="1">'EF ele_warmte'!B22</f>
        <v>7.9881686385602405E-2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2.7421989016653061</v>
      </c>
      <c r="C18" s="23"/>
      <c r="D18" s="23">
        <f t="shared" ref="D18:M18" si="1">D14*D16</f>
        <v>9.0835517376152861</v>
      </c>
      <c r="E18" s="23">
        <f t="shared" si="1"/>
        <v>62.614001769278786</v>
      </c>
      <c r="F18" s="23"/>
      <c r="G18" s="23">
        <f t="shared" si="1"/>
        <v>19738.266164981742</v>
      </c>
      <c r="H18" s="23">
        <f t="shared" si="1"/>
        <v>4164.8490950455607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2.6786022009086226E-3</v>
      </c>
      <c r="H50" s="321">
        <f t="shared" si="2"/>
        <v>0</v>
      </c>
      <c r="I50" s="321">
        <f t="shared" si="2"/>
        <v>0</v>
      </c>
      <c r="J50" s="321">
        <f t="shared" si="2"/>
        <v>0</v>
      </c>
      <c r="K50" s="321">
        <f t="shared" si="2"/>
        <v>0</v>
      </c>
      <c r="L50" s="321">
        <f t="shared" si="2"/>
        <v>0</v>
      </c>
      <c r="M50" s="321">
        <f t="shared" si="2"/>
        <v>1.5275287497058736E-4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2.6786022009086226E-3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1.5275287497058736E-4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744.05616691906187</v>
      </c>
      <c r="H54" s="21">
        <f t="shared" si="3"/>
        <v>0</v>
      </c>
      <c r="I54" s="21">
        <f t="shared" si="3"/>
        <v>0</v>
      </c>
      <c r="J54" s="21">
        <f t="shared" si="3"/>
        <v>0</v>
      </c>
      <c r="K54" s="21">
        <f t="shared" si="3"/>
        <v>0</v>
      </c>
      <c r="L54" s="21">
        <f t="shared" si="3"/>
        <v>0</v>
      </c>
      <c r="M54" s="21">
        <f t="shared" si="3"/>
        <v>42.431354158496482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0.20950918117956194</v>
      </c>
      <c r="C56" s="56">
        <f ca="1">'EF ele_warmte'!B22</f>
        <v>7.9881686385602405E-2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198.66299656738954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4299.7911928102112</v>
      </c>
      <c r="C6" s="1223"/>
      <c r="D6" s="1226"/>
      <c r="E6" s="1226"/>
      <c r="F6" s="1229"/>
      <c r="G6" s="1232"/>
      <c r="H6" s="1220"/>
      <c r="I6" s="1226"/>
      <c r="J6" s="1226"/>
      <c r="K6" s="1226"/>
      <c r="L6" s="1256"/>
      <c r="M6" s="576"/>
      <c r="N6" s="1268"/>
      <c r="O6" s="1269"/>
      <c r="Q6" s="574"/>
      <c r="R6" s="1253"/>
      <c r="S6" s="1253"/>
    </row>
    <row r="7" spans="1:19" s="564" customFormat="1">
      <c r="A7" s="577" t="s">
        <v>252</v>
      </c>
      <c r="B7" s="578">
        <f>N57</f>
        <v>3627</v>
      </c>
      <c r="C7" s="579">
        <f>B100</f>
        <v>36.263956007332119</v>
      </c>
      <c r="D7" s="580"/>
      <c r="E7" s="580">
        <f>E100</f>
        <v>1057.6987168805199</v>
      </c>
      <c r="F7" s="581"/>
      <c r="G7" s="582"/>
      <c r="H7" s="580">
        <f>I100</f>
        <v>0</v>
      </c>
      <c r="I7" s="580">
        <f>G100+F100</f>
        <v>3173.0961506415597</v>
      </c>
      <c r="J7" s="580">
        <f>H100+D100+C100</f>
        <v>0</v>
      </c>
      <c r="K7" s="580"/>
      <c r="L7" s="583"/>
      <c r="M7" s="584">
        <f>C7*$C$11+D7*$D$11+E7*$E$11+F7*$F$11+G7*$G$11+H7*$H$11+I7*$I$11+J7*$J$11</f>
        <v>289.73087652057995</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7926.7911928102112</v>
      </c>
      <c r="C9" s="595">
        <f t="shared" ref="C9:L9" si="0">SUM(C7:C8)</f>
        <v>36.263956007332119</v>
      </c>
      <c r="D9" s="595">
        <f t="shared" si="0"/>
        <v>0</v>
      </c>
      <c r="E9" s="595">
        <f t="shared" si="0"/>
        <v>1057.6987168805199</v>
      </c>
      <c r="F9" s="595">
        <f t="shared" si="0"/>
        <v>0</v>
      </c>
      <c r="G9" s="595">
        <f t="shared" si="0"/>
        <v>0</v>
      </c>
      <c r="H9" s="595">
        <f t="shared" si="0"/>
        <v>0</v>
      </c>
      <c r="I9" s="595">
        <f t="shared" si="0"/>
        <v>3173.0961506415597</v>
      </c>
      <c r="J9" s="595">
        <f t="shared" si="0"/>
        <v>0</v>
      </c>
      <c r="K9" s="595">
        <f t="shared" si="0"/>
        <v>0</v>
      </c>
      <c r="L9" s="595">
        <f t="shared" si="0"/>
        <v>0</v>
      </c>
      <c r="M9" s="596">
        <f>SUM(M4:M8)</f>
        <v>289.73087652057995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4088.5714285714284</v>
      </c>
      <c r="C16" s="611">
        <f>B101</f>
        <v>40.878901135525041</v>
      </c>
      <c r="D16" s="612"/>
      <c r="E16" s="612">
        <f>E101</f>
        <v>1192.3012831194801</v>
      </c>
      <c r="F16" s="613"/>
      <c r="G16" s="614"/>
      <c r="H16" s="611">
        <f>I101</f>
        <v>0</v>
      </c>
      <c r="I16" s="612">
        <f>G101+F101</f>
        <v>3576.9038493584403</v>
      </c>
      <c r="J16" s="612">
        <f>H101+D101+C101</f>
        <v>0</v>
      </c>
      <c r="K16" s="612"/>
      <c r="L16" s="615"/>
      <c r="M16" s="616">
        <f>C16*$C$21+E16*$E$21+H16*$H$21+I16*$I$21+J16*$J$21+D16*$D$21+F16*$F$21+G16*$G$21+K16*$K$21+L16*$L$21</f>
        <v>326.60198062227727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4088.5714285714284</v>
      </c>
      <c r="C19" s="594">
        <f>SUM(C16:C18)</f>
        <v>40.878901135525041</v>
      </c>
      <c r="D19" s="594">
        <f t="shared" ref="D19:M19" si="1">SUM(D16:D18)</f>
        <v>0</v>
      </c>
      <c r="E19" s="594">
        <f t="shared" si="1"/>
        <v>1192.3012831194801</v>
      </c>
      <c r="F19" s="594">
        <f t="shared" si="1"/>
        <v>0</v>
      </c>
      <c r="G19" s="594">
        <f t="shared" si="1"/>
        <v>0</v>
      </c>
      <c r="H19" s="594">
        <f t="shared" si="1"/>
        <v>0</v>
      </c>
      <c r="I19" s="594">
        <f t="shared" si="1"/>
        <v>3576.9038493584403</v>
      </c>
      <c r="J19" s="594">
        <f t="shared" si="1"/>
        <v>0</v>
      </c>
      <c r="K19" s="594">
        <f t="shared" si="1"/>
        <v>0</v>
      </c>
      <c r="L19" s="594">
        <f t="shared" si="1"/>
        <v>0</v>
      </c>
      <c r="M19" s="621">
        <f t="shared" si="1"/>
        <v>326.60198062227727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42011</v>
      </c>
      <c r="C27" s="852">
        <v>9280</v>
      </c>
      <c r="D27" s="673" t="s">
        <v>871</v>
      </c>
      <c r="E27" s="672" t="s">
        <v>872</v>
      </c>
      <c r="F27" s="672" t="s">
        <v>873</v>
      </c>
      <c r="G27" s="672" t="s">
        <v>874</v>
      </c>
      <c r="H27" s="672" t="s">
        <v>875</v>
      </c>
      <c r="I27" s="672" t="s">
        <v>872</v>
      </c>
      <c r="J27" s="851">
        <v>37876</v>
      </c>
      <c r="K27" s="851">
        <v>39063</v>
      </c>
      <c r="L27" s="672" t="s">
        <v>876</v>
      </c>
      <c r="M27" s="672">
        <v>800</v>
      </c>
      <c r="N27" s="672">
        <v>3600</v>
      </c>
      <c r="O27" s="672">
        <v>4050</v>
      </c>
      <c r="P27" s="672">
        <v>0</v>
      </c>
      <c r="Q27" s="672">
        <v>0</v>
      </c>
      <c r="R27" s="672">
        <v>0</v>
      </c>
      <c r="S27" s="672">
        <v>2250</v>
      </c>
      <c r="T27" s="672">
        <v>6750</v>
      </c>
      <c r="U27" s="672">
        <v>0</v>
      </c>
      <c r="V27" s="672">
        <v>0</v>
      </c>
      <c r="W27" s="672">
        <v>0</v>
      </c>
      <c r="X27" s="672">
        <v>10</v>
      </c>
      <c r="Y27" s="672" t="s">
        <v>112</v>
      </c>
      <c r="Z27" s="674" t="s">
        <v>112</v>
      </c>
    </row>
    <row r="28" spans="1:26" s="626" customFormat="1" ht="38.25">
      <c r="A28" s="625"/>
      <c r="B28" s="852">
        <v>42011</v>
      </c>
      <c r="C28" s="852">
        <v>9280</v>
      </c>
      <c r="D28" s="673" t="s">
        <v>877</v>
      </c>
      <c r="E28" s="672" t="s">
        <v>878</v>
      </c>
      <c r="F28" s="672" t="s">
        <v>879</v>
      </c>
      <c r="G28" s="672" t="s">
        <v>874</v>
      </c>
      <c r="H28" s="672" t="s">
        <v>880</v>
      </c>
      <c r="I28" s="672" t="s">
        <v>881</v>
      </c>
      <c r="J28" s="851">
        <v>41149</v>
      </c>
      <c r="K28" s="851">
        <v>41809</v>
      </c>
      <c r="L28" s="672" t="s">
        <v>876</v>
      </c>
      <c r="M28" s="672">
        <v>12</v>
      </c>
      <c r="N28" s="672">
        <v>27</v>
      </c>
      <c r="O28" s="672">
        <v>38.571428571428569</v>
      </c>
      <c r="P28" s="672">
        <v>77.142857142857153</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812</v>
      </c>
      <c r="N57" s="630">
        <f>SUM(N27:N56)</f>
        <v>3627</v>
      </c>
      <c r="O57" s="630">
        <f t="shared" ref="O57:W57" si="2">SUM(O27:O56)</f>
        <v>4088.5714285714284</v>
      </c>
      <c r="P57" s="630">
        <f t="shared" si="2"/>
        <v>77.142857142857153</v>
      </c>
      <c r="Q57" s="630">
        <f t="shared" si="2"/>
        <v>0</v>
      </c>
      <c r="R57" s="630">
        <f t="shared" si="2"/>
        <v>0</v>
      </c>
      <c r="S57" s="630">
        <f t="shared" si="2"/>
        <v>2250</v>
      </c>
      <c r="T57" s="630">
        <f t="shared" si="2"/>
        <v>6750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12</v>
      </c>
      <c r="N59" s="630">
        <f ca="1">SUMIF($Z$27:AB56,"tertiair",N27:N56)</f>
        <v>27</v>
      </c>
      <c r="O59" s="630">
        <f ca="1">SUMIF($Z$27:AC56,"tertiair",O27:O56)</f>
        <v>38.571428571428569</v>
      </c>
      <c r="P59" s="630">
        <f ca="1">SUMIF($Z$27:AD56,"tertiair",P27:P56)</f>
        <v>77.142857142857153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800</v>
      </c>
      <c r="N60" s="635">
        <f t="shared" ref="N60:W60" si="4">SUMIF($Z$27:$Z$56,"landbouw",N27:N56)</f>
        <v>3600</v>
      </c>
      <c r="O60" s="635">
        <f t="shared" si="4"/>
        <v>4050</v>
      </c>
      <c r="P60" s="635">
        <f t="shared" si="4"/>
        <v>0</v>
      </c>
      <c r="Q60" s="635">
        <f t="shared" si="4"/>
        <v>0</v>
      </c>
      <c r="R60" s="635">
        <f t="shared" si="4"/>
        <v>0</v>
      </c>
      <c r="S60" s="635">
        <f t="shared" si="4"/>
        <v>2250</v>
      </c>
      <c r="T60" s="635">
        <f t="shared" si="4"/>
        <v>6750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0.52991168138643563</v>
      </c>
      <c r="C97" s="655">
        <f>IF(ISERROR(N57/(O57+N57)),0,N57/(N57+O57))</f>
        <v>0.47008831861356443</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36.263956007332119</v>
      </c>
      <c r="C100" s="664">
        <f t="shared" si="9"/>
        <v>0</v>
      </c>
      <c r="D100" s="664">
        <f t="shared" si="9"/>
        <v>0</v>
      </c>
      <c r="E100" s="664">
        <f t="shared" si="9"/>
        <v>1057.6987168805199</v>
      </c>
      <c r="F100" s="664">
        <f t="shared" si="9"/>
        <v>3173.0961506415597</v>
      </c>
      <c r="G100" s="664">
        <f t="shared" si="9"/>
        <v>0</v>
      </c>
      <c r="H100" s="664">
        <f t="shared" si="9"/>
        <v>0</v>
      </c>
      <c r="I100" s="665">
        <f t="shared" si="9"/>
        <v>0</v>
      </c>
      <c r="J100" s="622"/>
      <c r="K100" s="622"/>
      <c r="L100" s="660"/>
      <c r="M100" s="647"/>
      <c r="N100" s="647"/>
    </row>
    <row r="101" spans="1:14" ht="15.75" thickBot="1">
      <c r="A101" s="666" t="s">
        <v>286</v>
      </c>
      <c r="B101" s="667">
        <f>$B$97*P57</f>
        <v>40.878901135525041</v>
      </c>
      <c r="C101" s="667">
        <f t="shared" ref="C101:H101" si="10">$B$97*Q57</f>
        <v>0</v>
      </c>
      <c r="D101" s="667">
        <f t="shared" si="10"/>
        <v>0</v>
      </c>
      <c r="E101" s="667">
        <f t="shared" si="10"/>
        <v>1192.3012831194801</v>
      </c>
      <c r="F101" s="667">
        <f t="shared" si="10"/>
        <v>3576.9038493584403</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13381.802299999999</v>
      </c>
      <c r="D10" s="719">
        <f ca="1">tertiair!C16</f>
        <v>38.571428571428569</v>
      </c>
      <c r="E10" s="719">
        <f ca="1">tertiair!D16</f>
        <v>14510.671861630766</v>
      </c>
      <c r="F10" s="719">
        <f>tertiair!E16</f>
        <v>142.780809137229</v>
      </c>
      <c r="G10" s="719">
        <f ca="1">tertiair!F16</f>
        <v>1826.0668408698232</v>
      </c>
      <c r="H10" s="719">
        <f>tertiair!G16</f>
        <v>0</v>
      </c>
      <c r="I10" s="719">
        <f>tertiair!H16</f>
        <v>0</v>
      </c>
      <c r="J10" s="719">
        <f>tertiair!I16</f>
        <v>0</v>
      </c>
      <c r="K10" s="719">
        <f>tertiair!J16</f>
        <v>0</v>
      </c>
      <c r="L10" s="719">
        <f>tertiair!K16</f>
        <v>0</v>
      </c>
      <c r="M10" s="719">
        <f ca="1">tertiair!L16</f>
        <v>0</v>
      </c>
      <c r="N10" s="719">
        <f>tertiair!M16</f>
        <v>0</v>
      </c>
      <c r="O10" s="719">
        <f ca="1">tertiair!N16</f>
        <v>1005.0875086817975</v>
      </c>
      <c r="P10" s="719">
        <f>tertiair!O16</f>
        <v>1.5633333333333335</v>
      </c>
      <c r="Q10" s="720">
        <f>tertiair!P16</f>
        <v>0</v>
      </c>
      <c r="R10" s="722">
        <f ca="1">SUM(C10:Q10)</f>
        <v>30906.544082224373</v>
      </c>
      <c r="S10" s="67"/>
    </row>
    <row r="11" spans="1:19" s="475" customFormat="1">
      <c r="A11" s="871" t="s">
        <v>225</v>
      </c>
      <c r="B11" s="876"/>
      <c r="C11" s="719">
        <f>huishoudens!B8</f>
        <v>34231.99341453104</v>
      </c>
      <c r="D11" s="719">
        <f>huishoudens!C8</f>
        <v>0</v>
      </c>
      <c r="E11" s="719">
        <f>huishoudens!D8</f>
        <v>65487.505957268062</v>
      </c>
      <c r="F11" s="719">
        <f>huishoudens!E8</f>
        <v>2548.8542112066516</v>
      </c>
      <c r="G11" s="719">
        <f>huishoudens!F8</f>
        <v>24616.485950203976</v>
      </c>
      <c r="H11" s="719">
        <f>huishoudens!G8</f>
        <v>0</v>
      </c>
      <c r="I11" s="719">
        <f>huishoudens!H8</f>
        <v>0</v>
      </c>
      <c r="J11" s="719">
        <f>huishoudens!I8</f>
        <v>0</v>
      </c>
      <c r="K11" s="719">
        <f>huishoudens!J8</f>
        <v>1582.8400688545785</v>
      </c>
      <c r="L11" s="719">
        <f>huishoudens!K8</f>
        <v>0</v>
      </c>
      <c r="M11" s="719">
        <f>huishoudens!L8</f>
        <v>0</v>
      </c>
      <c r="N11" s="719">
        <f>huishoudens!M8</f>
        <v>0</v>
      </c>
      <c r="O11" s="719">
        <f>huishoudens!N8</f>
        <v>12047.378153868191</v>
      </c>
      <c r="P11" s="719">
        <f>huishoudens!O8</f>
        <v>189.16333333333336</v>
      </c>
      <c r="Q11" s="720">
        <f>huishoudens!P8</f>
        <v>610.13333333333333</v>
      </c>
      <c r="R11" s="722">
        <f>SUM(C11:Q11)</f>
        <v>141314.35442259916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78300.570319999984</v>
      </c>
      <c r="D13" s="719">
        <f>industrie!C18</f>
        <v>0</v>
      </c>
      <c r="E13" s="719">
        <f>industrie!D18</f>
        <v>30994.652550475395</v>
      </c>
      <c r="F13" s="719">
        <f>industrie!E18</f>
        <v>1205.730919672628</v>
      </c>
      <c r="G13" s="719">
        <f>industrie!F18</f>
        <v>141842.8650775018</v>
      </c>
      <c r="H13" s="719">
        <f>industrie!G18</f>
        <v>0</v>
      </c>
      <c r="I13" s="719">
        <f>industrie!H18</f>
        <v>0</v>
      </c>
      <c r="J13" s="719">
        <f>industrie!I18</f>
        <v>0</v>
      </c>
      <c r="K13" s="719">
        <f>industrie!J18</f>
        <v>1789.0490278035149</v>
      </c>
      <c r="L13" s="719">
        <f>industrie!K18</f>
        <v>0</v>
      </c>
      <c r="M13" s="719">
        <f>industrie!L18</f>
        <v>0</v>
      </c>
      <c r="N13" s="719">
        <f>industrie!M18</f>
        <v>0</v>
      </c>
      <c r="O13" s="719">
        <f>industrie!N18</f>
        <v>40087.819263789504</v>
      </c>
      <c r="P13" s="719">
        <f>industrie!O18</f>
        <v>0</v>
      </c>
      <c r="Q13" s="720">
        <f>industrie!P18</f>
        <v>0</v>
      </c>
      <c r="R13" s="722">
        <f>SUM(C13:Q13)</f>
        <v>294220.68715924287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125914.36603453102</v>
      </c>
      <c r="D15" s="724">
        <f t="shared" ref="D15:Q15" ca="1" si="0">SUM(D9:D14)</f>
        <v>38.571428571428569</v>
      </c>
      <c r="E15" s="724">
        <f t="shared" ca="1" si="0"/>
        <v>110992.83036937422</v>
      </c>
      <c r="F15" s="724">
        <f t="shared" si="0"/>
        <v>3897.3659400165088</v>
      </c>
      <c r="G15" s="724">
        <f t="shared" ca="1" si="0"/>
        <v>168285.41786857561</v>
      </c>
      <c r="H15" s="724">
        <f t="shared" si="0"/>
        <v>0</v>
      </c>
      <c r="I15" s="724">
        <f t="shared" si="0"/>
        <v>0</v>
      </c>
      <c r="J15" s="724">
        <f t="shared" si="0"/>
        <v>0</v>
      </c>
      <c r="K15" s="724">
        <f t="shared" si="0"/>
        <v>3371.8890966580934</v>
      </c>
      <c r="L15" s="724">
        <f t="shared" si="0"/>
        <v>0</v>
      </c>
      <c r="M15" s="724">
        <f t="shared" ca="1" si="0"/>
        <v>0</v>
      </c>
      <c r="N15" s="724">
        <f t="shared" si="0"/>
        <v>0</v>
      </c>
      <c r="O15" s="724">
        <f t="shared" ca="1" si="0"/>
        <v>53140.284926339489</v>
      </c>
      <c r="P15" s="724">
        <f t="shared" si="0"/>
        <v>190.72666666666669</v>
      </c>
      <c r="Q15" s="725">
        <f t="shared" si="0"/>
        <v>610.13333333333333</v>
      </c>
      <c r="R15" s="726">
        <f ca="1">SUM(R9:R14)</f>
        <v>466441.58566406637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744.05616691906187</v>
      </c>
      <c r="I18" s="719">
        <f>transport!H54</f>
        <v>0</v>
      </c>
      <c r="J18" s="719">
        <f>transport!I54</f>
        <v>0</v>
      </c>
      <c r="K18" s="719">
        <f>transport!J54</f>
        <v>0</v>
      </c>
      <c r="L18" s="719">
        <f>transport!K54</f>
        <v>0</v>
      </c>
      <c r="M18" s="719">
        <f>transport!L54</f>
        <v>0</v>
      </c>
      <c r="N18" s="719">
        <f>transport!M54</f>
        <v>42.431354158496482</v>
      </c>
      <c r="O18" s="719">
        <f>transport!N54</f>
        <v>0</v>
      </c>
      <c r="P18" s="719">
        <f>transport!O54</f>
        <v>0</v>
      </c>
      <c r="Q18" s="720">
        <f>transport!P54</f>
        <v>0</v>
      </c>
      <c r="R18" s="722">
        <f>SUM(C18:Q18)</f>
        <v>786.48752107755831</v>
      </c>
      <c r="S18" s="67"/>
    </row>
    <row r="19" spans="1:19" s="475" customFormat="1" ht="15" thickBot="1">
      <c r="A19" s="871" t="s">
        <v>307</v>
      </c>
      <c r="B19" s="876"/>
      <c r="C19" s="728">
        <f>transport!B14</f>
        <v>13.088681298959768</v>
      </c>
      <c r="D19" s="728">
        <f>transport!C14</f>
        <v>0</v>
      </c>
      <c r="E19" s="728">
        <f>transport!D14</f>
        <v>44.968077908986565</v>
      </c>
      <c r="F19" s="728">
        <f>transport!E14</f>
        <v>275.83260691312239</v>
      </c>
      <c r="G19" s="728">
        <f>transport!F14</f>
        <v>0</v>
      </c>
      <c r="H19" s="728">
        <f>transport!G14</f>
        <v>73926.090505549597</v>
      </c>
      <c r="I19" s="728">
        <f>transport!H14</f>
        <v>16726.301586528356</v>
      </c>
      <c r="J19" s="728">
        <f>transport!I14</f>
        <v>0</v>
      </c>
      <c r="K19" s="728">
        <f>transport!J14</f>
        <v>0</v>
      </c>
      <c r="L19" s="728">
        <f>transport!K14</f>
        <v>0</v>
      </c>
      <c r="M19" s="728">
        <f>transport!L14</f>
        <v>0</v>
      </c>
      <c r="N19" s="728">
        <f>transport!M14</f>
        <v>4791.1900067092001</v>
      </c>
      <c r="O19" s="728">
        <f>transport!N14</f>
        <v>0</v>
      </c>
      <c r="P19" s="728">
        <f>transport!O14</f>
        <v>0</v>
      </c>
      <c r="Q19" s="729">
        <f>transport!P14</f>
        <v>0</v>
      </c>
      <c r="R19" s="730">
        <f>SUM(C19:Q19)</f>
        <v>95777.471464908231</v>
      </c>
      <c r="S19" s="67"/>
    </row>
    <row r="20" spans="1:19" s="475" customFormat="1" ht="15.75" thickBot="1">
      <c r="A20" s="731" t="s">
        <v>230</v>
      </c>
      <c r="B20" s="879"/>
      <c r="C20" s="874">
        <f>SUM(C17:C19)</f>
        <v>13.088681298959768</v>
      </c>
      <c r="D20" s="732">
        <f t="shared" ref="D20:R20" si="1">SUM(D17:D19)</f>
        <v>0</v>
      </c>
      <c r="E20" s="732">
        <f t="shared" si="1"/>
        <v>44.968077908986565</v>
      </c>
      <c r="F20" s="732">
        <f t="shared" si="1"/>
        <v>275.83260691312239</v>
      </c>
      <c r="G20" s="732">
        <f t="shared" si="1"/>
        <v>0</v>
      </c>
      <c r="H20" s="732">
        <f t="shared" si="1"/>
        <v>74670.146672468662</v>
      </c>
      <c r="I20" s="732">
        <f t="shared" si="1"/>
        <v>16726.301586528356</v>
      </c>
      <c r="J20" s="732">
        <f t="shared" si="1"/>
        <v>0</v>
      </c>
      <c r="K20" s="732">
        <f t="shared" si="1"/>
        <v>0</v>
      </c>
      <c r="L20" s="732">
        <f t="shared" si="1"/>
        <v>0</v>
      </c>
      <c r="M20" s="732">
        <f t="shared" si="1"/>
        <v>0</v>
      </c>
      <c r="N20" s="732">
        <f t="shared" si="1"/>
        <v>4833.6213608676962</v>
      </c>
      <c r="O20" s="732">
        <f t="shared" si="1"/>
        <v>0</v>
      </c>
      <c r="P20" s="732">
        <f t="shared" si="1"/>
        <v>0</v>
      </c>
      <c r="Q20" s="733">
        <f t="shared" si="1"/>
        <v>0</v>
      </c>
      <c r="R20" s="734">
        <f t="shared" si="1"/>
        <v>96563.958985985795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1312.3878</v>
      </c>
      <c r="D22" s="728">
        <f>+landbouw!C8</f>
        <v>4050</v>
      </c>
      <c r="E22" s="728">
        <f>+landbouw!D8</f>
        <v>2033.3662858875025</v>
      </c>
      <c r="F22" s="728">
        <f>+landbouw!E8</f>
        <v>12.155885482138149</v>
      </c>
      <c r="G22" s="728">
        <f>+landbouw!F8</f>
        <v>1079.7778582193355</v>
      </c>
      <c r="H22" s="728">
        <f>+landbouw!G8</f>
        <v>0</v>
      </c>
      <c r="I22" s="728">
        <f>+landbouw!H8</f>
        <v>0</v>
      </c>
      <c r="J22" s="728">
        <f>+landbouw!I8</f>
        <v>0</v>
      </c>
      <c r="K22" s="728">
        <f>+landbouw!J8</f>
        <v>201.20369603059459</v>
      </c>
      <c r="L22" s="728">
        <f>+landbouw!K8</f>
        <v>0</v>
      </c>
      <c r="M22" s="728">
        <f>+landbouw!L8</f>
        <v>0</v>
      </c>
      <c r="N22" s="728">
        <f>+landbouw!M8</f>
        <v>0</v>
      </c>
      <c r="O22" s="728">
        <f>+landbouw!N8</f>
        <v>0</v>
      </c>
      <c r="P22" s="728">
        <f>+landbouw!O8</f>
        <v>0</v>
      </c>
      <c r="Q22" s="729">
        <f>+landbouw!P8</f>
        <v>0</v>
      </c>
      <c r="R22" s="730">
        <f>SUM(C22:Q22)</f>
        <v>8688.8915256195705</v>
      </c>
      <c r="S22" s="67"/>
    </row>
    <row r="23" spans="1:19" s="475" customFormat="1" ht="17.25" thickTop="1" thickBot="1">
      <c r="A23" s="735" t="s">
        <v>116</v>
      </c>
      <c r="B23" s="865"/>
      <c r="C23" s="736">
        <f ca="1">C20+C15+C22</f>
        <v>127239.84251582998</v>
      </c>
      <c r="D23" s="736">
        <f t="shared" ref="D23:Q23" ca="1" si="2">D20+D15+D22</f>
        <v>4088.5714285714284</v>
      </c>
      <c r="E23" s="736">
        <f t="shared" ca="1" si="2"/>
        <v>113071.16473317071</v>
      </c>
      <c r="F23" s="736">
        <f t="shared" si="2"/>
        <v>4185.3544324117693</v>
      </c>
      <c r="G23" s="736">
        <f t="shared" ca="1" si="2"/>
        <v>169365.19572679495</v>
      </c>
      <c r="H23" s="736">
        <f t="shared" si="2"/>
        <v>74670.146672468662</v>
      </c>
      <c r="I23" s="736">
        <f t="shared" si="2"/>
        <v>16726.301586528356</v>
      </c>
      <c r="J23" s="736">
        <f t="shared" si="2"/>
        <v>0</v>
      </c>
      <c r="K23" s="736">
        <f t="shared" si="2"/>
        <v>3573.092792688688</v>
      </c>
      <c r="L23" s="736">
        <f t="shared" si="2"/>
        <v>0</v>
      </c>
      <c r="M23" s="736">
        <f t="shared" ca="1" si="2"/>
        <v>0</v>
      </c>
      <c r="N23" s="736">
        <f t="shared" si="2"/>
        <v>4833.6213608676962</v>
      </c>
      <c r="O23" s="736">
        <f t="shared" ca="1" si="2"/>
        <v>53140.284926339489</v>
      </c>
      <c r="P23" s="736">
        <f t="shared" si="2"/>
        <v>190.72666666666669</v>
      </c>
      <c r="Q23" s="737">
        <f t="shared" si="2"/>
        <v>610.13333333333333</v>
      </c>
      <c r="R23" s="738">
        <f ca="1">R20+R15+R22</f>
        <v>571694.43617567176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2803.6104425797789</v>
      </c>
      <c r="D36" s="719">
        <f ca="1">tertiair!C20</f>
        <v>3.081150760587521</v>
      </c>
      <c r="E36" s="719">
        <f ca="1">tertiair!D20</f>
        <v>2931.1557160494149</v>
      </c>
      <c r="F36" s="719">
        <f>tertiair!E20</f>
        <v>32.411243674150981</v>
      </c>
      <c r="G36" s="719">
        <f ca="1">tertiair!F20</f>
        <v>487.55984651224281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6257.8183995761747</v>
      </c>
    </row>
    <row r="37" spans="1:18">
      <c r="A37" s="886" t="s">
        <v>225</v>
      </c>
      <c r="B37" s="893"/>
      <c r="C37" s="719">
        <f ca="1">huishoudens!B12</f>
        <v>7171.9169104225548</v>
      </c>
      <c r="D37" s="719">
        <f ca="1">huishoudens!C12</f>
        <v>0</v>
      </c>
      <c r="E37" s="719">
        <f>huishoudens!D12</f>
        <v>13228.476203368149</v>
      </c>
      <c r="F37" s="719">
        <f>huishoudens!E12</f>
        <v>578.58990594390991</v>
      </c>
      <c r="G37" s="719">
        <f>huishoudens!F12</f>
        <v>6572.6017487044619</v>
      </c>
      <c r="H37" s="719">
        <f>huishoudens!G12</f>
        <v>0</v>
      </c>
      <c r="I37" s="719">
        <f>huishoudens!H12</f>
        <v>0</v>
      </c>
      <c r="J37" s="719">
        <f>huishoudens!I12</f>
        <v>0</v>
      </c>
      <c r="K37" s="719">
        <f>huishoudens!J12</f>
        <v>560.3253843745207</v>
      </c>
      <c r="L37" s="719">
        <f>huishoudens!K12</f>
        <v>0</v>
      </c>
      <c r="M37" s="719">
        <f>huishoudens!L12</f>
        <v>0</v>
      </c>
      <c r="N37" s="719">
        <f>huishoudens!M12</f>
        <v>0</v>
      </c>
      <c r="O37" s="719">
        <f>huishoudens!N12</f>
        <v>0</v>
      </c>
      <c r="P37" s="719">
        <f>huishoudens!O12</f>
        <v>0</v>
      </c>
      <c r="Q37" s="829">
        <f>huishoudens!P12</f>
        <v>0</v>
      </c>
      <c r="R37" s="918">
        <f ca="1">SUM(C37:Q37)</f>
        <v>28111.910152813602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16404.688373635905</v>
      </c>
      <c r="D39" s="719">
        <f ca="1">industrie!C22</f>
        <v>0</v>
      </c>
      <c r="E39" s="719">
        <f>industrie!D22</f>
        <v>6260.91981519603</v>
      </c>
      <c r="F39" s="719">
        <f>industrie!E22</f>
        <v>273.70091876568659</v>
      </c>
      <c r="G39" s="719">
        <f>industrie!F22</f>
        <v>37872.044975692981</v>
      </c>
      <c r="H39" s="719">
        <f>industrie!G22</f>
        <v>0</v>
      </c>
      <c r="I39" s="719">
        <f>industrie!H22</f>
        <v>0</v>
      </c>
      <c r="J39" s="719">
        <f>industrie!I22</f>
        <v>0</v>
      </c>
      <c r="K39" s="719">
        <f>industrie!J22</f>
        <v>633.32335584244424</v>
      </c>
      <c r="L39" s="719">
        <f>industrie!K22</f>
        <v>0</v>
      </c>
      <c r="M39" s="719">
        <f>industrie!L22</f>
        <v>0</v>
      </c>
      <c r="N39" s="719">
        <f>industrie!M22</f>
        <v>0</v>
      </c>
      <c r="O39" s="719">
        <f>industrie!N22</f>
        <v>0</v>
      </c>
      <c r="P39" s="719">
        <f>industrie!O22</f>
        <v>0</v>
      </c>
      <c r="Q39" s="829">
        <f>industrie!P22</f>
        <v>0</v>
      </c>
      <c r="R39" s="919">
        <f ca="1">SUM(C39:Q39)</f>
        <v>61444.677439133047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26380.215726638238</v>
      </c>
      <c r="D41" s="764">
        <f t="shared" ref="D41:R41" ca="1" si="4">SUM(D35:D40)</f>
        <v>3.081150760587521</v>
      </c>
      <c r="E41" s="764">
        <f t="shared" ca="1" si="4"/>
        <v>22420.551734613593</v>
      </c>
      <c r="F41" s="764">
        <f t="shared" si="4"/>
        <v>884.70206838374747</v>
      </c>
      <c r="G41" s="764">
        <f t="shared" ca="1" si="4"/>
        <v>44932.206570909686</v>
      </c>
      <c r="H41" s="764">
        <f t="shared" si="4"/>
        <v>0</v>
      </c>
      <c r="I41" s="764">
        <f t="shared" si="4"/>
        <v>0</v>
      </c>
      <c r="J41" s="764">
        <f t="shared" si="4"/>
        <v>0</v>
      </c>
      <c r="K41" s="764">
        <f t="shared" si="4"/>
        <v>1193.6487402169651</v>
      </c>
      <c r="L41" s="764">
        <f t="shared" si="4"/>
        <v>0</v>
      </c>
      <c r="M41" s="764">
        <f t="shared" ca="1" si="4"/>
        <v>0</v>
      </c>
      <c r="N41" s="764">
        <f t="shared" si="4"/>
        <v>0</v>
      </c>
      <c r="O41" s="764">
        <f t="shared" ca="1" si="4"/>
        <v>0</v>
      </c>
      <c r="P41" s="764">
        <f t="shared" si="4"/>
        <v>0</v>
      </c>
      <c r="Q41" s="765">
        <f t="shared" si="4"/>
        <v>0</v>
      </c>
      <c r="R41" s="766">
        <f t="shared" ca="1" si="4"/>
        <v>95814.405991522828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198.66299656738954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198.66299656738954</v>
      </c>
    </row>
    <row r="45" spans="1:18" ht="15" thickBot="1">
      <c r="A45" s="889" t="s">
        <v>307</v>
      </c>
      <c r="B45" s="899"/>
      <c r="C45" s="728">
        <f ca="1">transport!B18</f>
        <v>2.7421989016653061</v>
      </c>
      <c r="D45" s="728">
        <f>transport!C18</f>
        <v>0</v>
      </c>
      <c r="E45" s="728">
        <f>transport!D18</f>
        <v>9.0835517376152861</v>
      </c>
      <c r="F45" s="728">
        <f>transport!E18</f>
        <v>62.614001769278786</v>
      </c>
      <c r="G45" s="728">
        <f>transport!F18</f>
        <v>0</v>
      </c>
      <c r="H45" s="728">
        <f>transport!G18</f>
        <v>19738.266164981742</v>
      </c>
      <c r="I45" s="728">
        <f>transport!H18</f>
        <v>4164.8490950455607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23977.55501243586</v>
      </c>
    </row>
    <row r="46" spans="1:18" ht="15.75" thickBot="1">
      <c r="A46" s="887" t="s">
        <v>230</v>
      </c>
      <c r="B46" s="900"/>
      <c r="C46" s="764">
        <f t="shared" ref="C46:R46" ca="1" si="5">SUM(C43:C45)</f>
        <v>2.7421989016653061</v>
      </c>
      <c r="D46" s="764">
        <f t="shared" ca="1" si="5"/>
        <v>0</v>
      </c>
      <c r="E46" s="764">
        <f t="shared" si="5"/>
        <v>9.0835517376152861</v>
      </c>
      <c r="F46" s="764">
        <f t="shared" si="5"/>
        <v>62.614001769278786</v>
      </c>
      <c r="G46" s="764">
        <f t="shared" si="5"/>
        <v>0</v>
      </c>
      <c r="H46" s="764">
        <f t="shared" si="5"/>
        <v>19936.929161549131</v>
      </c>
      <c r="I46" s="764">
        <f t="shared" si="5"/>
        <v>4164.8490950455607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24176.218009003249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274.95729336804669</v>
      </c>
      <c r="D48" s="719">
        <f ca="1">+landbouw!C12</f>
        <v>323.52082986168972</v>
      </c>
      <c r="E48" s="719">
        <f>+landbouw!D12</f>
        <v>410.73998974927554</v>
      </c>
      <c r="F48" s="719">
        <f>+landbouw!E12</f>
        <v>2.7593860044453602</v>
      </c>
      <c r="G48" s="719">
        <f>+landbouw!F12</f>
        <v>288.30068814456257</v>
      </c>
      <c r="H48" s="719">
        <f>+landbouw!G12</f>
        <v>0</v>
      </c>
      <c r="I48" s="719">
        <f>+landbouw!H12</f>
        <v>0</v>
      </c>
      <c r="J48" s="719">
        <f>+landbouw!I12</f>
        <v>0</v>
      </c>
      <c r="K48" s="719">
        <f>+landbouw!J12</f>
        <v>71.226108394830476</v>
      </c>
      <c r="L48" s="719">
        <f>+landbouw!K12</f>
        <v>0</v>
      </c>
      <c r="M48" s="719">
        <f>+landbouw!L12</f>
        <v>0</v>
      </c>
      <c r="N48" s="719">
        <f>+landbouw!M12</f>
        <v>0</v>
      </c>
      <c r="O48" s="719">
        <f>+landbouw!N12</f>
        <v>0</v>
      </c>
      <c r="P48" s="719">
        <f>+landbouw!O12</f>
        <v>0</v>
      </c>
      <c r="Q48" s="720">
        <f>+landbouw!P12</f>
        <v>0</v>
      </c>
      <c r="R48" s="762">
        <f ca="1">SUM(C48:Q48)</f>
        <v>1371.5042955228505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26657.91521890795</v>
      </c>
      <c r="D53" s="774">
        <f t="shared" ref="D53:Q53" ca="1" si="6">D41+D46+D48</f>
        <v>326.60198062227727</v>
      </c>
      <c r="E53" s="774">
        <f t="shared" ca="1" si="6"/>
        <v>22840.375276100483</v>
      </c>
      <c r="F53" s="774">
        <f t="shared" si="6"/>
        <v>950.07545615747154</v>
      </c>
      <c r="G53" s="774">
        <f t="shared" ca="1" si="6"/>
        <v>45220.507259054248</v>
      </c>
      <c r="H53" s="774">
        <f t="shared" si="6"/>
        <v>19936.929161549131</v>
      </c>
      <c r="I53" s="774">
        <f t="shared" si="6"/>
        <v>4164.8490950455607</v>
      </c>
      <c r="J53" s="774">
        <f t="shared" si="6"/>
        <v>0</v>
      </c>
      <c r="K53" s="774">
        <f t="shared" si="6"/>
        <v>1264.8748486117956</v>
      </c>
      <c r="L53" s="774">
        <f t="shared" si="6"/>
        <v>0</v>
      </c>
      <c r="M53" s="774">
        <f t="shared" ca="1" si="6"/>
        <v>0</v>
      </c>
      <c r="N53" s="774">
        <f t="shared" si="6"/>
        <v>0</v>
      </c>
      <c r="O53" s="774">
        <f t="shared" ca="1" si="6"/>
        <v>0</v>
      </c>
      <c r="P53" s="774">
        <f>P41+P46+P48</f>
        <v>0</v>
      </c>
      <c r="Q53" s="775">
        <f t="shared" si="6"/>
        <v>0</v>
      </c>
      <c r="R53" s="776">
        <f ca="1">R41+R46+R48</f>
        <v>121362.12829604893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0.20950918117956194</v>
      </c>
      <c r="D55" s="837">
        <f t="shared" ca="1" si="7"/>
        <v>7.9881686385602405E-2</v>
      </c>
      <c r="E55" s="837">
        <f t="shared" ca="1" si="7"/>
        <v>0.20200000000000001</v>
      </c>
      <c r="F55" s="837">
        <f t="shared" si="7"/>
        <v>0.22699999999999998</v>
      </c>
      <c r="G55" s="837">
        <f t="shared" ca="1" si="7"/>
        <v>0.26699999999999996</v>
      </c>
      <c r="H55" s="837">
        <f t="shared" si="7"/>
        <v>0.26699999999999996</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4299.7911928102112</v>
      </c>
      <c r="C66" s="796">
        <f>'lokale energieproductie'!B6</f>
        <v>4299.7911928102112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3627</v>
      </c>
      <c r="C67" s="795">
        <f>B67*IFERROR(SUM(J67:L67)/SUM(D67:M67),0)</f>
        <v>2697.1317280453259</v>
      </c>
      <c r="D67" s="827">
        <f>'lokale energieproductie'!C7</f>
        <v>36.263956007332119</v>
      </c>
      <c r="E67" s="828">
        <f>'lokale energieproductie'!D7</f>
        <v>0</v>
      </c>
      <c r="F67" s="828">
        <f>'lokale energieproductie'!E7</f>
        <v>1057.6987168805199</v>
      </c>
      <c r="G67" s="828">
        <f>'lokale energieproductie'!F7</f>
        <v>0</v>
      </c>
      <c r="H67" s="828">
        <f>'lokale energieproductie'!G7</f>
        <v>0</v>
      </c>
      <c r="I67" s="828">
        <f>'lokale energieproductie'!H7</f>
        <v>0</v>
      </c>
      <c r="J67" s="828">
        <f>'lokale energieproductie'!I7</f>
        <v>3173.0961506415597</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289.73087652057995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7926.7911928102112</v>
      </c>
      <c r="C69" s="804">
        <f>SUM(C64:C68)</f>
        <v>6996.9229208555371</v>
      </c>
      <c r="D69" s="805">
        <f t="shared" ref="D69:M69" si="8">SUM(D67:D68)</f>
        <v>36.263956007332119</v>
      </c>
      <c r="E69" s="805">
        <f t="shared" si="8"/>
        <v>0</v>
      </c>
      <c r="F69" s="805">
        <f t="shared" si="8"/>
        <v>1057.6987168805199</v>
      </c>
      <c r="G69" s="805">
        <f t="shared" si="8"/>
        <v>0</v>
      </c>
      <c r="H69" s="805">
        <f t="shared" si="8"/>
        <v>0</v>
      </c>
      <c r="I69" s="805">
        <f t="shared" si="8"/>
        <v>0</v>
      </c>
      <c r="J69" s="805">
        <f t="shared" si="8"/>
        <v>3173.0961506415597</v>
      </c>
      <c r="K69" s="805">
        <f t="shared" si="8"/>
        <v>0</v>
      </c>
      <c r="L69" s="805">
        <f t="shared" si="8"/>
        <v>0</v>
      </c>
      <c r="M69" s="931">
        <f t="shared" si="8"/>
        <v>0</v>
      </c>
      <c r="N69" s="806">
        <v>0</v>
      </c>
      <c r="O69" s="806">
        <f>SUM(O67:O68)</f>
        <v>289.73087652057995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4088.5714285714284</v>
      </c>
      <c r="C78" s="818">
        <f>B78*IFERROR(SUM(I78:L78)/SUM(D78:M78),0)</f>
        <v>3040.3682719546746</v>
      </c>
      <c r="D78" s="833">
        <f>'lokale energieproductie'!C16</f>
        <v>40.878901135525041</v>
      </c>
      <c r="E78" s="833">
        <f>'lokale energieproductie'!D16</f>
        <v>0</v>
      </c>
      <c r="F78" s="833">
        <f>'lokale energieproductie'!E16</f>
        <v>1192.3012831194801</v>
      </c>
      <c r="G78" s="833">
        <f>'lokale energieproductie'!F16</f>
        <v>0</v>
      </c>
      <c r="H78" s="833">
        <f>'lokale energieproductie'!G16</f>
        <v>0</v>
      </c>
      <c r="I78" s="833">
        <f>'lokale energieproductie'!H16</f>
        <v>0</v>
      </c>
      <c r="J78" s="833">
        <f>'lokale energieproductie'!I16</f>
        <v>3576.9038493584403</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326.60198062227727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4088.5714285714284</v>
      </c>
      <c r="C81" s="804">
        <f>SUM(C78:C80)</f>
        <v>3040.3682719546746</v>
      </c>
      <c r="D81" s="804">
        <f t="shared" ref="D81:P81" si="9">SUM(D78:D80)</f>
        <v>40.878901135525041</v>
      </c>
      <c r="E81" s="804">
        <f t="shared" si="9"/>
        <v>0</v>
      </c>
      <c r="F81" s="804">
        <f t="shared" si="9"/>
        <v>1192.3012831194801</v>
      </c>
      <c r="G81" s="804">
        <f t="shared" si="9"/>
        <v>0</v>
      </c>
      <c r="H81" s="804">
        <f t="shared" si="9"/>
        <v>0</v>
      </c>
      <c r="I81" s="804">
        <f t="shared" si="9"/>
        <v>0</v>
      </c>
      <c r="J81" s="804">
        <f t="shared" si="9"/>
        <v>3576.9038493584403</v>
      </c>
      <c r="K81" s="804">
        <f t="shared" si="9"/>
        <v>0</v>
      </c>
      <c r="L81" s="804">
        <f t="shared" si="9"/>
        <v>0</v>
      </c>
      <c r="M81" s="804">
        <f t="shared" si="9"/>
        <v>0</v>
      </c>
      <c r="N81" s="804">
        <v>0</v>
      </c>
      <c r="O81" s="804">
        <f>SUM(O78:O80)</f>
        <v>326.60198062227727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34231.99341453104</v>
      </c>
      <c r="C4" s="479">
        <f>huishoudens!C8</f>
        <v>0</v>
      </c>
      <c r="D4" s="479">
        <f>huishoudens!D8</f>
        <v>65487.505957268062</v>
      </c>
      <c r="E4" s="479">
        <f>huishoudens!E8</f>
        <v>2548.8542112066516</v>
      </c>
      <c r="F4" s="479">
        <f>huishoudens!F8</f>
        <v>24616.485950203976</v>
      </c>
      <c r="G4" s="479">
        <f>huishoudens!G8</f>
        <v>0</v>
      </c>
      <c r="H4" s="479">
        <f>huishoudens!H8</f>
        <v>0</v>
      </c>
      <c r="I4" s="479">
        <f>huishoudens!I8</f>
        <v>0</v>
      </c>
      <c r="J4" s="479">
        <f>huishoudens!J8</f>
        <v>1582.8400688545785</v>
      </c>
      <c r="K4" s="479">
        <f>huishoudens!K8</f>
        <v>0</v>
      </c>
      <c r="L4" s="479">
        <f>huishoudens!L8</f>
        <v>0</v>
      </c>
      <c r="M4" s="479">
        <f>huishoudens!M8</f>
        <v>0</v>
      </c>
      <c r="N4" s="479">
        <f>huishoudens!N8</f>
        <v>12047.378153868191</v>
      </c>
      <c r="O4" s="479">
        <f>huishoudens!O8</f>
        <v>189.16333333333336</v>
      </c>
      <c r="P4" s="480">
        <f>huishoudens!P8</f>
        <v>610.13333333333333</v>
      </c>
      <c r="Q4" s="481">
        <f>SUM(B4:P4)</f>
        <v>141314.35442259916</v>
      </c>
    </row>
    <row r="5" spans="1:17">
      <c r="A5" s="478" t="s">
        <v>156</v>
      </c>
      <c r="B5" s="479">
        <f ca="1">tertiair!B16</f>
        <v>12317.998299999999</v>
      </c>
      <c r="C5" s="479">
        <f ca="1">tertiair!C16</f>
        <v>38.571428571428569</v>
      </c>
      <c r="D5" s="479">
        <f ca="1">tertiair!D16</f>
        <v>14510.671861630766</v>
      </c>
      <c r="E5" s="479">
        <f>tertiair!E16</f>
        <v>142.780809137229</v>
      </c>
      <c r="F5" s="479">
        <f ca="1">tertiair!F16</f>
        <v>1826.0668408698232</v>
      </c>
      <c r="G5" s="479">
        <f>tertiair!G16</f>
        <v>0</v>
      </c>
      <c r="H5" s="479">
        <f>tertiair!H16</f>
        <v>0</v>
      </c>
      <c r="I5" s="479">
        <f>tertiair!I16</f>
        <v>0</v>
      </c>
      <c r="J5" s="479">
        <f>tertiair!J16</f>
        <v>0</v>
      </c>
      <c r="K5" s="479">
        <f>tertiair!K16</f>
        <v>0</v>
      </c>
      <c r="L5" s="479">
        <f ca="1">tertiair!L16</f>
        <v>0</v>
      </c>
      <c r="M5" s="479">
        <f>tertiair!M16</f>
        <v>0</v>
      </c>
      <c r="N5" s="479">
        <f ca="1">tertiair!N16</f>
        <v>1005.0875086817975</v>
      </c>
      <c r="O5" s="479">
        <f>tertiair!O16</f>
        <v>1.5633333333333335</v>
      </c>
      <c r="P5" s="480">
        <f>tertiair!P16</f>
        <v>0</v>
      </c>
      <c r="Q5" s="478">
        <f t="shared" ref="Q5:Q13" ca="1" si="0">SUM(B5:P5)</f>
        <v>29842.740082224376</v>
      </c>
    </row>
    <row r="6" spans="1:17">
      <c r="A6" s="478" t="s">
        <v>194</v>
      </c>
      <c r="B6" s="479">
        <f>'openbare verlichting'!B8</f>
        <v>1063.8040000000001</v>
      </c>
      <c r="C6" s="479"/>
      <c r="D6" s="479"/>
      <c r="E6" s="479"/>
      <c r="F6" s="479"/>
      <c r="G6" s="479"/>
      <c r="H6" s="479"/>
      <c r="I6" s="479"/>
      <c r="J6" s="479"/>
      <c r="K6" s="479"/>
      <c r="L6" s="479"/>
      <c r="M6" s="479"/>
      <c r="N6" s="479"/>
      <c r="O6" s="479"/>
      <c r="P6" s="480"/>
      <c r="Q6" s="478">
        <f t="shared" si="0"/>
        <v>1063.8040000000001</v>
      </c>
    </row>
    <row r="7" spans="1:17">
      <c r="A7" s="478" t="s">
        <v>112</v>
      </c>
      <c r="B7" s="479">
        <f>landbouw!B8</f>
        <v>1312.3878</v>
      </c>
      <c r="C7" s="479">
        <f>landbouw!C8</f>
        <v>4050</v>
      </c>
      <c r="D7" s="479">
        <f>landbouw!D8</f>
        <v>2033.3662858875025</v>
      </c>
      <c r="E7" s="479">
        <f>landbouw!E8</f>
        <v>12.155885482138149</v>
      </c>
      <c r="F7" s="479">
        <f>landbouw!F8</f>
        <v>1079.7778582193355</v>
      </c>
      <c r="G7" s="479">
        <f>landbouw!G8</f>
        <v>0</v>
      </c>
      <c r="H7" s="479">
        <f>landbouw!H8</f>
        <v>0</v>
      </c>
      <c r="I7" s="479">
        <f>landbouw!I8</f>
        <v>0</v>
      </c>
      <c r="J7" s="479">
        <f>landbouw!J8</f>
        <v>201.20369603059459</v>
      </c>
      <c r="K7" s="479">
        <f>landbouw!K8</f>
        <v>0</v>
      </c>
      <c r="L7" s="479">
        <f>landbouw!L8</f>
        <v>0</v>
      </c>
      <c r="M7" s="479">
        <f>landbouw!M8</f>
        <v>0</v>
      </c>
      <c r="N7" s="479">
        <f>landbouw!N8</f>
        <v>0</v>
      </c>
      <c r="O7" s="479">
        <f>landbouw!O8</f>
        <v>0</v>
      </c>
      <c r="P7" s="480">
        <f>landbouw!P8</f>
        <v>0</v>
      </c>
      <c r="Q7" s="478">
        <f t="shared" si="0"/>
        <v>8688.8915256195705</v>
      </c>
    </row>
    <row r="8" spans="1:17">
      <c r="A8" s="478" t="s">
        <v>650</v>
      </c>
      <c r="B8" s="479">
        <f>industrie!B18</f>
        <v>78300.570319999984</v>
      </c>
      <c r="C8" s="479">
        <f>industrie!C18</f>
        <v>0</v>
      </c>
      <c r="D8" s="479">
        <f>industrie!D18</f>
        <v>30994.652550475395</v>
      </c>
      <c r="E8" s="479">
        <f>industrie!E18</f>
        <v>1205.730919672628</v>
      </c>
      <c r="F8" s="479">
        <f>industrie!F18</f>
        <v>141842.8650775018</v>
      </c>
      <c r="G8" s="479">
        <f>industrie!G18</f>
        <v>0</v>
      </c>
      <c r="H8" s="479">
        <f>industrie!H18</f>
        <v>0</v>
      </c>
      <c r="I8" s="479">
        <f>industrie!I18</f>
        <v>0</v>
      </c>
      <c r="J8" s="479">
        <f>industrie!J18</f>
        <v>1789.0490278035149</v>
      </c>
      <c r="K8" s="479">
        <f>industrie!K18</f>
        <v>0</v>
      </c>
      <c r="L8" s="479">
        <f>industrie!L18</f>
        <v>0</v>
      </c>
      <c r="M8" s="479">
        <f>industrie!M18</f>
        <v>0</v>
      </c>
      <c r="N8" s="479">
        <f>industrie!N18</f>
        <v>40087.819263789504</v>
      </c>
      <c r="O8" s="479">
        <f>industrie!O18</f>
        <v>0</v>
      </c>
      <c r="P8" s="480">
        <f>industrie!P18</f>
        <v>0</v>
      </c>
      <c r="Q8" s="478">
        <f t="shared" si="0"/>
        <v>294220.68715924287</v>
      </c>
    </row>
    <row r="9" spans="1:17" s="484" customFormat="1">
      <c r="A9" s="482" t="s">
        <v>571</v>
      </c>
      <c r="B9" s="483">
        <f>transport!B14</f>
        <v>13.088681298959768</v>
      </c>
      <c r="C9" s="483"/>
      <c r="D9" s="483">
        <f>transport!D14</f>
        <v>44.968077908986565</v>
      </c>
      <c r="E9" s="483">
        <f>transport!E14</f>
        <v>275.83260691312239</v>
      </c>
      <c r="F9" s="483"/>
      <c r="G9" s="483">
        <f>transport!G14</f>
        <v>73926.090505549597</v>
      </c>
      <c r="H9" s="483">
        <f>transport!H14</f>
        <v>16726.301586528356</v>
      </c>
      <c r="I9" s="483"/>
      <c r="J9" s="483"/>
      <c r="K9" s="483"/>
      <c r="L9" s="483"/>
      <c r="M9" s="483">
        <f>transport!M14</f>
        <v>4791.1900067092001</v>
      </c>
      <c r="N9" s="483"/>
      <c r="O9" s="483"/>
      <c r="P9" s="483"/>
      <c r="Q9" s="482">
        <f>SUM(B9:P9)</f>
        <v>95777.471464908231</v>
      </c>
    </row>
    <row r="10" spans="1:17">
      <c r="A10" s="478" t="s">
        <v>561</v>
      </c>
      <c r="B10" s="479">
        <f>transport!B54</f>
        <v>0</v>
      </c>
      <c r="C10" s="479"/>
      <c r="D10" s="479">
        <f>transport!D54</f>
        <v>0</v>
      </c>
      <c r="E10" s="479"/>
      <c r="F10" s="479"/>
      <c r="G10" s="479">
        <f>transport!G54</f>
        <v>744.05616691906187</v>
      </c>
      <c r="H10" s="479"/>
      <c r="I10" s="479"/>
      <c r="J10" s="479"/>
      <c r="K10" s="479"/>
      <c r="L10" s="479"/>
      <c r="M10" s="479">
        <f>transport!M54</f>
        <v>42.431354158496482</v>
      </c>
      <c r="N10" s="479"/>
      <c r="O10" s="479"/>
      <c r="P10" s="480"/>
      <c r="Q10" s="478">
        <f t="shared" si="0"/>
        <v>786.48752107755831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127239.84251582998</v>
      </c>
      <c r="C14" s="489">
        <f t="shared" ref="C14:Q14" ca="1" si="1">SUM(C4:C13)</f>
        <v>4088.5714285714284</v>
      </c>
      <c r="D14" s="489">
        <f t="shared" ca="1" si="1"/>
        <v>113071.16473317071</v>
      </c>
      <c r="E14" s="489">
        <f t="shared" si="1"/>
        <v>4185.3544324117693</v>
      </c>
      <c r="F14" s="489">
        <f t="shared" ca="1" si="1"/>
        <v>169365.19572679495</v>
      </c>
      <c r="G14" s="489">
        <f t="shared" si="1"/>
        <v>74670.146672468662</v>
      </c>
      <c r="H14" s="489">
        <f t="shared" si="1"/>
        <v>16726.301586528356</v>
      </c>
      <c r="I14" s="489">
        <f t="shared" si="1"/>
        <v>0</v>
      </c>
      <c r="J14" s="489">
        <f t="shared" si="1"/>
        <v>3573.092792688688</v>
      </c>
      <c r="K14" s="489">
        <f t="shared" si="1"/>
        <v>0</v>
      </c>
      <c r="L14" s="489">
        <f t="shared" ca="1" si="1"/>
        <v>0</v>
      </c>
      <c r="M14" s="489">
        <f t="shared" si="1"/>
        <v>4833.6213608676962</v>
      </c>
      <c r="N14" s="489">
        <f t="shared" ca="1" si="1"/>
        <v>53140.284926339489</v>
      </c>
      <c r="O14" s="489">
        <f t="shared" si="1"/>
        <v>190.72666666666669</v>
      </c>
      <c r="P14" s="490">
        <f t="shared" si="1"/>
        <v>610.13333333333333</v>
      </c>
      <c r="Q14" s="490">
        <f t="shared" ca="1" si="1"/>
        <v>571694.43617567176</v>
      </c>
    </row>
    <row r="16" spans="1:17">
      <c r="A16" s="492" t="s">
        <v>566</v>
      </c>
      <c r="B16" s="842">
        <f ca="1">huishoudens!B10</f>
        <v>0.20950918117956194</v>
      </c>
      <c r="C16" s="842">
        <f ca="1">huishoudens!C10</f>
        <v>7.9881686385602405E-2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7171.9169104225548</v>
      </c>
      <c r="C21" s="479">
        <f t="shared" ref="C21:C28" ca="1" si="3">C4*$C$16</f>
        <v>0</v>
      </c>
      <c r="D21" s="479">
        <f t="shared" ref="D21:D30" si="4">D4*$D$16</f>
        <v>13228.476203368149</v>
      </c>
      <c r="E21" s="479">
        <f t="shared" ref="E21:E30" si="5">E4*$E$16</f>
        <v>578.58990594390991</v>
      </c>
      <c r="F21" s="479">
        <f t="shared" ref="F21:F28" si="6">F4*$F$16</f>
        <v>6572.6017487044619</v>
      </c>
      <c r="G21" s="479">
        <f t="shared" ref="G21:G30" si="7">G4*$G$16</f>
        <v>0</v>
      </c>
      <c r="H21" s="479">
        <f t="shared" ref="H21:H30" si="8">H4*$H$16</f>
        <v>0</v>
      </c>
      <c r="I21" s="479">
        <f t="shared" ref="I21:I28" si="9">I4*$I$16</f>
        <v>0</v>
      </c>
      <c r="J21" s="479">
        <f t="shared" ref="J21:J28" si="10">J4*$J$16</f>
        <v>560.3253843745207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28111.910152813602</v>
      </c>
    </row>
    <row r="22" spans="1:17">
      <c r="A22" s="478" t="s">
        <v>156</v>
      </c>
      <c r="B22" s="479">
        <f t="shared" ca="1" si="2"/>
        <v>2580.733737604236</v>
      </c>
      <c r="C22" s="479">
        <f t="shared" ca="1" si="3"/>
        <v>3.081150760587521</v>
      </c>
      <c r="D22" s="479">
        <f t="shared" ca="1" si="4"/>
        <v>2931.1557160494149</v>
      </c>
      <c r="E22" s="479">
        <f t="shared" si="5"/>
        <v>32.411243674150981</v>
      </c>
      <c r="F22" s="479">
        <f t="shared" ca="1" si="6"/>
        <v>487.55984651224281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6034.9416946006322</v>
      </c>
    </row>
    <row r="23" spans="1:17">
      <c r="A23" s="478" t="s">
        <v>194</v>
      </c>
      <c r="B23" s="479">
        <f t="shared" ca="1" si="2"/>
        <v>222.87670497554274</v>
      </c>
      <c r="C23" s="479"/>
      <c r="D23" s="479"/>
      <c r="E23" s="479"/>
      <c r="F23" s="479"/>
      <c r="G23" s="479"/>
      <c r="H23" s="479"/>
      <c r="I23" s="479"/>
      <c r="J23" s="479"/>
      <c r="K23" s="479"/>
      <c r="L23" s="479"/>
      <c r="M23" s="479"/>
      <c r="N23" s="479"/>
      <c r="O23" s="479"/>
      <c r="P23" s="480"/>
      <c r="Q23" s="478">
        <f t="shared" ca="1" si="17"/>
        <v>222.87670497554274</v>
      </c>
    </row>
    <row r="24" spans="1:17">
      <c r="A24" s="478" t="s">
        <v>112</v>
      </c>
      <c r="B24" s="479">
        <f t="shared" ca="1" si="2"/>
        <v>274.95729336804669</v>
      </c>
      <c r="C24" s="479">
        <f t="shared" ca="1" si="3"/>
        <v>323.52082986168972</v>
      </c>
      <c r="D24" s="479">
        <f t="shared" si="4"/>
        <v>410.73998974927554</v>
      </c>
      <c r="E24" s="479">
        <f t="shared" si="5"/>
        <v>2.7593860044453602</v>
      </c>
      <c r="F24" s="479">
        <f t="shared" si="6"/>
        <v>288.30068814456257</v>
      </c>
      <c r="G24" s="479">
        <f t="shared" si="7"/>
        <v>0</v>
      </c>
      <c r="H24" s="479">
        <f t="shared" si="8"/>
        <v>0</v>
      </c>
      <c r="I24" s="479">
        <f t="shared" si="9"/>
        <v>0</v>
      </c>
      <c r="J24" s="479">
        <f t="shared" si="10"/>
        <v>71.226108394830476</v>
      </c>
      <c r="K24" s="479">
        <f t="shared" si="11"/>
        <v>0</v>
      </c>
      <c r="L24" s="479">
        <f t="shared" si="12"/>
        <v>0</v>
      </c>
      <c r="M24" s="479">
        <f t="shared" si="13"/>
        <v>0</v>
      </c>
      <c r="N24" s="479">
        <f t="shared" si="14"/>
        <v>0</v>
      </c>
      <c r="O24" s="479">
        <f t="shared" si="15"/>
        <v>0</v>
      </c>
      <c r="P24" s="480">
        <f t="shared" si="16"/>
        <v>0</v>
      </c>
      <c r="Q24" s="478">
        <f t="shared" ca="1" si="17"/>
        <v>1371.5042955228505</v>
      </c>
    </row>
    <row r="25" spans="1:17">
      <c r="A25" s="478" t="s">
        <v>650</v>
      </c>
      <c r="B25" s="479">
        <f t="shared" ca="1" si="2"/>
        <v>16404.688373635905</v>
      </c>
      <c r="C25" s="479">
        <f t="shared" ca="1" si="3"/>
        <v>0</v>
      </c>
      <c r="D25" s="479">
        <f t="shared" si="4"/>
        <v>6260.91981519603</v>
      </c>
      <c r="E25" s="479">
        <f t="shared" si="5"/>
        <v>273.70091876568659</v>
      </c>
      <c r="F25" s="479">
        <f t="shared" si="6"/>
        <v>37872.044975692981</v>
      </c>
      <c r="G25" s="479">
        <f t="shared" si="7"/>
        <v>0</v>
      </c>
      <c r="H25" s="479">
        <f t="shared" si="8"/>
        <v>0</v>
      </c>
      <c r="I25" s="479">
        <f t="shared" si="9"/>
        <v>0</v>
      </c>
      <c r="J25" s="479">
        <f t="shared" si="10"/>
        <v>633.32335584244424</v>
      </c>
      <c r="K25" s="479">
        <f t="shared" si="11"/>
        <v>0</v>
      </c>
      <c r="L25" s="479">
        <f t="shared" si="12"/>
        <v>0</v>
      </c>
      <c r="M25" s="479">
        <f t="shared" si="13"/>
        <v>0</v>
      </c>
      <c r="N25" s="479">
        <f t="shared" si="14"/>
        <v>0</v>
      </c>
      <c r="O25" s="479">
        <f t="shared" si="15"/>
        <v>0</v>
      </c>
      <c r="P25" s="480">
        <f t="shared" si="16"/>
        <v>0</v>
      </c>
      <c r="Q25" s="478">
        <f t="shared" ca="1" si="17"/>
        <v>61444.677439133047</v>
      </c>
    </row>
    <row r="26" spans="1:17" s="484" customFormat="1">
      <c r="A26" s="482" t="s">
        <v>571</v>
      </c>
      <c r="B26" s="836">
        <f t="shared" ca="1" si="2"/>
        <v>2.7421989016653061</v>
      </c>
      <c r="C26" s="483"/>
      <c r="D26" s="483">
        <f t="shared" si="4"/>
        <v>9.0835517376152861</v>
      </c>
      <c r="E26" s="483">
        <f t="shared" si="5"/>
        <v>62.614001769278786</v>
      </c>
      <c r="F26" s="483"/>
      <c r="G26" s="483">
        <f t="shared" si="7"/>
        <v>19738.266164981742</v>
      </c>
      <c r="H26" s="483">
        <f t="shared" si="8"/>
        <v>4164.8490950455607</v>
      </c>
      <c r="I26" s="483"/>
      <c r="J26" s="483"/>
      <c r="K26" s="483"/>
      <c r="L26" s="483"/>
      <c r="M26" s="483">
        <f t="shared" si="13"/>
        <v>0</v>
      </c>
      <c r="N26" s="483"/>
      <c r="O26" s="483"/>
      <c r="P26" s="494"/>
      <c r="Q26" s="482">
        <f t="shared" ca="1" si="17"/>
        <v>23977.55501243586</v>
      </c>
    </row>
    <row r="27" spans="1:17">
      <c r="A27" s="478" t="s">
        <v>561</v>
      </c>
      <c r="B27" s="479">
        <f t="shared" ca="1" si="2"/>
        <v>0</v>
      </c>
      <c r="C27" s="479"/>
      <c r="D27" s="483">
        <f t="shared" si="4"/>
        <v>0</v>
      </c>
      <c r="E27" s="479"/>
      <c r="F27" s="479"/>
      <c r="G27" s="479">
        <f t="shared" si="7"/>
        <v>198.66299656738954</v>
      </c>
      <c r="H27" s="479"/>
      <c r="I27" s="479"/>
      <c r="J27" s="479"/>
      <c r="K27" s="479"/>
      <c r="L27" s="479"/>
      <c r="M27" s="479">
        <f t="shared" si="13"/>
        <v>0</v>
      </c>
      <c r="N27" s="479"/>
      <c r="O27" s="479"/>
      <c r="P27" s="480"/>
      <c r="Q27" s="478">
        <f t="shared" ca="1" si="17"/>
        <v>198.66299656738954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26657.91521890795</v>
      </c>
      <c r="C31" s="489">
        <f t="shared" ca="1" si="18"/>
        <v>326.60198062227727</v>
      </c>
      <c r="D31" s="489">
        <f t="shared" ca="1" si="18"/>
        <v>22840.375276100483</v>
      </c>
      <c r="E31" s="489">
        <f t="shared" si="18"/>
        <v>950.07545615747154</v>
      </c>
      <c r="F31" s="489">
        <f t="shared" ca="1" si="18"/>
        <v>45220.507259054248</v>
      </c>
      <c r="G31" s="489">
        <f t="shared" si="18"/>
        <v>19936.929161549131</v>
      </c>
      <c r="H31" s="489">
        <f t="shared" si="18"/>
        <v>4164.8490950455607</v>
      </c>
      <c r="I31" s="489">
        <f t="shared" si="18"/>
        <v>0</v>
      </c>
      <c r="J31" s="489">
        <f t="shared" si="18"/>
        <v>1264.8748486117954</v>
      </c>
      <c r="K31" s="489">
        <f t="shared" si="18"/>
        <v>0</v>
      </c>
      <c r="L31" s="489">
        <f t="shared" ca="1" si="18"/>
        <v>0</v>
      </c>
      <c r="M31" s="489">
        <f t="shared" si="18"/>
        <v>0</v>
      </c>
      <c r="N31" s="489">
        <f t="shared" ca="1" si="18"/>
        <v>0</v>
      </c>
      <c r="O31" s="489">
        <f t="shared" si="18"/>
        <v>0</v>
      </c>
      <c r="P31" s="490">
        <f t="shared" si="18"/>
        <v>0</v>
      </c>
      <c r="Q31" s="490">
        <f t="shared" ca="1" si="18"/>
        <v>121362.12829604892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0.20950918117956194</v>
      </c>
      <c r="C17" s="529">
        <f ca="1">'EF ele_warmte'!B22</f>
        <v>7.9881686385602405E-2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0.20950918117956194</v>
      </c>
      <c r="C17" s="529">
        <f ca="1">'EF ele_warmte'!B22</f>
        <v>7.9881686385602405E-2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0.20950918117956194</v>
      </c>
      <c r="C29" s="530">
        <f ca="1">'EF ele_warmte'!B22</f>
        <v>7.9881686385602405E-2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2019-01-01T21:33:17Z</dcterms:modified>
</cp:coreProperties>
</file>