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A31" i="23" l="1"/>
  <c r="A32"/>
  <c r="A33"/>
  <c r="B11" i="44" l="1"/>
  <c r="B25"/>
  <c r="B2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AC25" i="5"/>
  <c r="AB25"/>
  <c r="AA25"/>
  <c r="Z25"/>
  <c r="Y25"/>
  <c r="X25"/>
  <c r="W25"/>
  <c r="V25"/>
  <c r="U25"/>
  <c r="T25"/>
  <c r="S25"/>
  <c r="R25"/>
  <c r="Q25"/>
  <c r="P25"/>
  <c r="O25"/>
  <c r="N25"/>
  <c r="M25"/>
  <c r="L25"/>
  <c r="K25"/>
  <c r="J25"/>
  <c r="I25"/>
  <c r="H25"/>
  <c r="G25"/>
  <c r="F25"/>
  <c r="E25"/>
  <c r="D25"/>
  <c r="C25"/>
  <c r="B4" i="21" l="1"/>
  <c r="C42" i="22" l="1"/>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D8" s="1"/>
  <c r="O60" i="18"/>
  <c r="N60"/>
  <c r="M60"/>
  <c r="W59"/>
  <c r="V59"/>
  <c r="U59"/>
  <c r="T59"/>
  <c r="S59"/>
  <c r="R59"/>
  <c r="Q59"/>
  <c r="P59"/>
  <c r="D13" i="15" s="1"/>
  <c r="O59" i="18"/>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F8" i="17" l="1"/>
  <c r="J15" i="16"/>
  <c r="L16"/>
  <c r="L18" s="1"/>
  <c r="C13" i="15"/>
  <c r="C16" s="1"/>
  <c r="D10" i="14" s="1"/>
  <c r="L6" i="17"/>
  <c r="L5" s="1"/>
  <c r="B13" i="16"/>
  <c r="C35"/>
  <c r="E9" i="14"/>
  <c r="D14" i="15"/>
  <c r="P18" i="16"/>
  <c r="P22" s="1"/>
  <c r="Q39" i="14" s="1"/>
  <c r="N6" i="17"/>
  <c r="N5" s="1"/>
  <c r="I14" i="15"/>
  <c r="I16" s="1"/>
  <c r="J10" i="14" s="1"/>
  <c r="J8" i="17"/>
  <c r="K22" i="14" s="1"/>
  <c r="N16" i="16"/>
  <c r="N13" i="15"/>
  <c r="L13"/>
  <c r="L16" s="1"/>
  <c r="F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D16" s="1"/>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I5" i="48" l="1"/>
  <c r="I22" s="1"/>
  <c r="I31" s="1"/>
  <c r="Q13" i="14"/>
  <c r="J15"/>
  <c r="B34" i="13"/>
  <c r="B46" s="1"/>
  <c r="E5" s="1"/>
  <c r="E8" s="1"/>
  <c r="E12" s="1"/>
  <c r="F37" i="14" s="1"/>
  <c r="N8" i="17"/>
  <c r="O22" i="14" s="1"/>
  <c r="B35" i="13"/>
  <c r="B47" s="1"/>
  <c r="O18" i="16"/>
  <c r="O22" s="1"/>
  <c r="P39" i="14" s="1"/>
  <c r="B36" i="13"/>
  <c r="G31" i="20"/>
  <c r="H43" i="14" s="1"/>
  <c r="G12" i="22"/>
  <c r="D18" i="16"/>
  <c r="D22" s="1"/>
  <c r="E39" i="14" s="1"/>
  <c r="E8" i="17"/>
  <c r="E7" i="48" s="1"/>
  <c r="E24" s="1"/>
  <c r="H13"/>
  <c r="H30" s="1"/>
  <c r="H12" i="22"/>
  <c r="L8" i="17"/>
  <c r="L12" s="1"/>
  <c r="M48" i="14" s="1"/>
  <c r="M50" i="22"/>
  <c r="M54" s="1"/>
  <c r="M10" i="48" s="1"/>
  <c r="M27" s="1"/>
  <c r="G51" i="22"/>
  <c r="G50" s="1"/>
  <c r="G54" s="1"/>
  <c r="H18" i="14" s="1"/>
  <c r="P13"/>
  <c r="E22"/>
  <c r="B9" i="48"/>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D20" i="15"/>
  <c r="B81" i="14"/>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J23" i="14"/>
  <c r="L53"/>
  <c r="F5" i="15"/>
  <c r="F16" s="1"/>
  <c r="B5"/>
  <c r="B16" s="1"/>
  <c r="E13" i="14"/>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15" i="14" l="1"/>
  <c r="Q23" s="1"/>
  <c r="I7" i="18"/>
  <c r="I9" s="1"/>
  <c r="F22" i="14"/>
  <c r="E12" i="17"/>
  <c r="F48" i="14" s="1"/>
  <c r="P41"/>
  <c r="P53" s="1"/>
  <c r="O8" i="48"/>
  <c r="O25" s="1"/>
  <c r="D8"/>
  <c r="D25" s="1"/>
  <c r="J16" i="15"/>
  <c r="J5" i="48" s="1"/>
  <c r="J22" s="1"/>
  <c r="E16" i="15"/>
  <c r="F10" i="14" s="1"/>
  <c r="H14" i="22"/>
  <c r="I19" i="14" s="1"/>
  <c r="I20" s="1"/>
  <c r="I23" s="1"/>
  <c r="N12" i="17"/>
  <c r="O48" i="14" s="1"/>
  <c r="L7" i="48"/>
  <c r="L24" s="1"/>
  <c r="M22" i="14"/>
  <c r="P15"/>
  <c r="P23" s="1"/>
  <c r="P55" s="1"/>
  <c r="M58" i="22"/>
  <c r="N44" i="14" s="1"/>
  <c r="N18"/>
  <c r="R18" s="1"/>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D31" s="1"/>
  <c r="G58" i="22"/>
  <c r="H44" i="14" s="1"/>
  <c r="G10" i="48"/>
  <c r="G9"/>
  <c r="R17" i="14"/>
  <c r="Q13" i="48"/>
  <c r="M18" i="22"/>
  <c r="N45" i="14" s="1"/>
  <c r="M9" i="48"/>
  <c r="N19" i="14"/>
  <c r="N20" s="1"/>
  <c r="N23" s="1"/>
  <c r="P14" i="48"/>
  <c r="B8"/>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O14" i="48" l="1"/>
  <c r="J67" i="14"/>
  <c r="C67" s="1"/>
  <c r="C69" s="1"/>
  <c r="E5" i="48"/>
  <c r="E22" s="1"/>
  <c r="R22" i="14"/>
  <c r="E20" i="15"/>
  <c r="F36" i="14" s="1"/>
  <c r="O31" i="48"/>
  <c r="F18" i="16"/>
  <c r="G13" i="14" s="1"/>
  <c r="G15" s="1"/>
  <c r="G23" s="1"/>
  <c r="M16" i="18"/>
  <c r="M19" s="1"/>
  <c r="K10" i="14"/>
  <c r="R10" s="1"/>
  <c r="J18" i="16"/>
  <c r="J22" s="1"/>
  <c r="K39" i="14" s="1"/>
  <c r="Q7" i="48"/>
  <c r="E8"/>
  <c r="E25" s="1"/>
  <c r="E31" s="1"/>
  <c r="E18" i="16"/>
  <c r="J20" i="15"/>
  <c r="K36" i="14" s="1"/>
  <c r="J9" i="18"/>
  <c r="M7"/>
  <c r="M9" s="1"/>
  <c r="N18" i="16"/>
  <c r="N8" i="48" s="1"/>
  <c r="L31"/>
  <c r="N46" i="14"/>
  <c r="N53" s="1"/>
  <c r="N55" s="1"/>
  <c r="G18" i="22"/>
  <c r="H45" i="14" s="1"/>
  <c r="H46" s="1"/>
  <c r="H53" s="1"/>
  <c r="I19" i="18"/>
  <c r="J19"/>
  <c r="K78" i="14"/>
  <c r="K81" s="1"/>
  <c r="I81"/>
  <c r="O78"/>
  <c r="O81" s="1"/>
  <c r="B17" i="6" s="1"/>
  <c r="E23" i="14"/>
  <c r="D14" i="48"/>
  <c r="B14"/>
  <c r="E22" i="16"/>
  <c r="F39" i="14" s="1"/>
  <c r="F41" s="1"/>
  <c r="F53"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F22" i="16"/>
  <c r="G39" i="14" s="1"/>
  <c r="G41" s="1"/>
  <c r="F8" i="48"/>
  <c r="Q4"/>
  <c r="N22"/>
  <c r="R11" i="14"/>
  <c r="J21" i="48"/>
  <c r="O13" i="14" l="1"/>
  <c r="O15" s="1"/>
  <c r="K13"/>
  <c r="R13" s="1"/>
  <c r="R15" s="1"/>
  <c r="N22" i="16"/>
  <c r="O39" i="14" s="1"/>
  <c r="O41" s="1"/>
  <c r="O53" s="1"/>
  <c r="J69"/>
  <c r="N25" i="48"/>
  <c r="N31" s="1"/>
  <c r="N14"/>
  <c r="K41" i="14"/>
  <c r="K53" s="1"/>
  <c r="E14" i="48"/>
  <c r="K15" i="14"/>
  <c r="K23" s="1"/>
  <c r="H55"/>
  <c r="E55"/>
  <c r="C78"/>
  <c r="C81" s="1"/>
  <c r="J14" i="48"/>
  <c r="J31"/>
  <c r="Q8"/>
  <c r="Q14" s="1"/>
  <c r="R19" i="14"/>
  <c r="R20" s="1"/>
  <c r="H14" i="48"/>
  <c r="G31"/>
  <c r="H26"/>
  <c r="H31" s="1"/>
  <c r="F55" i="14"/>
  <c r="G53"/>
  <c r="G55" s="1"/>
  <c r="O69" s="1"/>
  <c r="B9" i="6" s="1"/>
  <c r="B12" s="1"/>
  <c r="M53" i="14"/>
  <c r="M55" s="1"/>
  <c r="C12" i="13"/>
  <c r="D37" i="14" s="1"/>
  <c r="D41" s="1"/>
  <c r="C24" i="48"/>
  <c r="C28"/>
  <c r="C22"/>
  <c r="C25"/>
  <c r="C21"/>
  <c r="F25"/>
  <c r="F31" s="1"/>
  <c r="F14"/>
  <c r="K55" i="14" l="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<sst xmlns="http://schemas.openxmlformats.org/spreadsheetml/2006/main" count="2146" uniqueCount="878">
  <si>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</si>
  <si>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</si>
  <si>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</si>
  <si>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</si>
  <si>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</si>
  <si>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</si>
  <si>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</si>
  <si>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</si>
  <si>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</si>
  <si>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</si>
  <si>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</si>
  <si>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</si>
  <si>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</si>
  <si>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</si>
  <si>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</si>
  <si>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</si>
  <si>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</si>
  <si>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</si>
  <si>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</si>
  <si>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</si>
  <si>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</si>
  <si>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</si>
  <si>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</si>
  <si>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</si>
  <si>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</si>
  <si>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</si>
  <si>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</si>
  <si>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</si>
  <si>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</si>
  <si>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</si>
  <si>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</si>
  <si>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</si>
  <si>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</si>
  <si>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</si>
  <si>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</si>
  <si>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</si>
  <si>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</si>
  <si>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</si>
  <si>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</si>
  <si>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</si>
  <si>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</si>
  <si>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</si>
  <si>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</si>
  <si>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</si>
  <si>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</si>
  <si>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</si>
  <si>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</si>
  <si>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</si>
  <si>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</si>
  <si>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</si>
  <si>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</si>
  <si>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</si>
  <si>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</si>
  <si>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</si>
  <si>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</si>
  <si>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</si>
  <si>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</si>
  <si>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</si>
  <si>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</si>
  <si>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</si>
  <si>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</si>
  <si>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</si>
  <si>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</si>
  <si>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</si>
  <si>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</si>
  <si>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</si>
  <si>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</si>
  <si>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</si>
  <si>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</si>
  <si>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</si>
  <si>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</si>
  <si>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</si>
  <si>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</si>
  <si>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</si>
  <si>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</si>
  <si>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</si>
  <si>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</si>
  <si>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</si>
  <si>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</si>
  <si>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</si>
  <si>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</si>
  <si>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</si>
  <si>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</si>
  <si>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</si>
  <si>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</si>
  <si>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</si>
  <si>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</si>
  <si>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</si>
  <si>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</si>
  <si>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</si>
  <si>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</si>
  <si>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</si>
  <si>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</si>
  <si>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</si>
  <si>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</si>
  <si>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</si>
  <si>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</si>
  <si>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</si>
  <si>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</si>
  <si>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</si>
  <si>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</si>
  <si>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</si>
  <si>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</si>
  <si>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</si>
  <si>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</si>
  <si>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</si>
  <si>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</si>
  <si>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</si>
  <si>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</si>
  <si>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</si>
  <si>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</si>
  <si>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</si>
  <si>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</si>
  <si>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</si>
  <si>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</si>
  <si>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</si>
  <si>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</si>
  <si>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</si>
  <si>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</si>
  <si>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</si>
  <si>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</si>
  <si>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</si>
  <si>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</si>
  <si>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</si>
  <si>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</si>
  <si>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</si>
  <si>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</si>
  <si>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</si>
  <si>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</si>
  <si>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</si>
  <si>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</si>
  <si>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</si>
  <si>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</si>
  <si>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</si>
  <si>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</si>
  <si>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</si>
  <si>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</si>
  <si>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</si>
  <si>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</si>
  <si>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</si>
  <si>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</si>
  <si>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</si>
  <si>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</si>
  <si>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</si>
  <si>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</si>
  <si>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</si>
  <si>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</si>
  <si>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</si>
  <si>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</si>
  <si>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</si>
  <si>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</si>
  <si>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</si>
  <si>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</si>
  <si>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</si>
  <si>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</si>
  <si>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</si>
  <si>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</si>
  <si>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</si>
  <si>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</si>
  <si>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</si>
  <si>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</si>
  <si>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</si>
  <si>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</si>
  <si>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</si>
  <si>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</si>
  <si>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</si>
  <si>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</si>
  <si>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</si>
  <si>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</si>
  <si>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</si>
  <si>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</si>
  <si>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</si>
  <si>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</si>
  <si>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</si>
  <si>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</si>
  <si>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</si>
  <si>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</si>
  <si>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</si>
  <si>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</si>
  <si>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</si>
  <si>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</si>
  <si>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</si>
  <si>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</si>
  <si>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</si>
  <si>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</si>
  <si>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</si>
  <si>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</si>
  <si>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</si>
  <si>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</si>
  <si>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</si>
  <si>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</si>
  <si>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</si>
  <si>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</si>
  <si>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</si>
  <si>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</si>
  <si>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</si>
  <si>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</si>
  <si>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</si>
  <si>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</si>
  <si>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</si>
  <si>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</si>
  <si>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</si>
  <si>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</si>
  <si>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</si>
  <si>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</si>
  <si>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</si>
  <si>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</si>
  <si>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</si>
  <si>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</si>
  <si>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</si>
  <si>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</si>
  <si>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</si>
  <si>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</si>
  <si>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</si>
  <si>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</si>
  <si>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</si>
  <si>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</si>
  <si>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</si>
  <si>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</si>
  <si>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</si>
  <si>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</si>
  <si>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</si>
  <si>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</si>
  <si>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</si>
  <si>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</si>
  <si>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</si>
  <si>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</si>
  <si>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</si>
  <si>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</si>
  <si>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</si>
  <si>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</si>
  <si>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</si>
  <si>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</si>
  <si>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</si>
  <si>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</si>
  <si>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</si>
  <si>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</si>
  <si>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</si>
  <si>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</si>
  <si>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</si>
  <si>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</si>
  <si>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</si>
  <si>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</si>
  <si>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</si>
  <si>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</si>
  <si>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</si>
  <si>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</si>
  <si>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</si>
  <si>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</si>
  <si>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</si>
  <si>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</si>
  <si>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</si>
  <si>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</si>
  <si>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</si>
  <si>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</si>
  <si>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</si>
  <si>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</si>
  <si>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</si>
  <si>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</si>
  <si>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</si>
  <si>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</si>
  <si>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</si>
  <si>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</si>
  <si>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</si>
  <si>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</si>
  <si>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</si>
  <si>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</si>
  <si>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</si>
  <si>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</si>
  <si>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</si>
  <si>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</si>
  <si>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</si>
  <si>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</si>
  <si>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</si>
  <si>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</si>
  <si>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</si>
  <si>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</si>
  <si>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</si>
  <si>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</si>
  <si>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</si>
  <si>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</si>
  <si>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</si>
  <si>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</si>
  <si>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</si>
  <si>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</si>
  <si>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</si>
  <si>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</si>
  <si>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</si>
  <si>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</si>
  <si>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</si>
  <si>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</si>
  <si>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</si>
  <si>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</si>
  <si>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</si>
  <si>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</si>
  <si>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</si>
  <si>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</si>
  <si>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</si>
  <si>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</si>
  <si>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</si>
  <si>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</si>
  <si>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</si>
  <si>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</si>
  <si>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</si>
  <si>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</si>
  <si>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</si>
  <si>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</si>
  <si>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</si>
  <si>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</si>
  <si>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</si>
  <si>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</si>
  <si>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</si>
  <si>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</si>
  <si>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</si>
  <si>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</si>
  <si>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</si>
  <si>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</si>
  <si>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</si>
  <si>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</si>
  <si>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</si>
  <si>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</si>
  <si>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</si>
  <si>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</si>
  <si>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</si>
  <si>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</si>
  <si>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</si>
  <si>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</si>
  <si>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</si>
  <si>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</si>
  <si>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</si>
  <si>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</si>
  <si>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</si>
  <si>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</si>
  <si>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</si>
  <si>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</si>
  <si>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</si>
  <si>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</si>
  <si>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</si>
  <si>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</si>
  <si>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</si>
  <si>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</si>
  <si>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</si>
  <si>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</si>
  <si>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</si>
  <si>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</si>
  <si>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</si>
  <si>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</si>
  <si>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</si>
  <si>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</si>
  <si>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</si>
  <si>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</si>
  <si>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</si>
  <si>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</si>
  <si>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</si>
  <si>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</si>
  <si>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</si>
  <si>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</si>
  <si>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</si>
  <si>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</si>
  <si>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</si>
  <si>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</si>
  <si>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</si>
  <si>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</si>
  <si>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</si>
  <si>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</si>
  <si>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</si>
  <si>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</si>
  <si>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</si>
  <si>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</si>
  <si>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</si>
  <si>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</si>
  <si>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</si>
  <si>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</si>
  <si>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</si>
  <si>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</si>
  <si>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</si>
  <si>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</si>
  <si>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</si>
  <si>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</si>
  <si>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</si>
  <si>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</si>
  <si>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</si>
  <si>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</si>
  <si>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</si>
  <si>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</si>
  <si>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</si>
  <si>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</si>
  <si>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</si>
  <si>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</si>
  <si>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</si>
  <si>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</si>
  <si>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</si>
  <si>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</si>
  <si>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</si>
  <si>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</si>
  <si>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</si>
  <si>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</si>
  <si>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</si>
  <si>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</si>
  <si>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</si>
  <si>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</si>
  <si>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</si>
  <si>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</si>
  <si>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</si>
  <si>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</si>
  <si>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</si>
  <si>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</si>
  <si>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</si>
  <si>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</si>
  <si>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</si>
  <si>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</si>
  <si>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</si>
  <si>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</si>
  <si>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</si>
  <si>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</si>
  <si>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</si>
  <si>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</si>
  <si>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</si>
  <si>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</si>
  <si>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</si>
  <si>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</si>
  <si>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</si>
  <si>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</si>
  <si>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</si>
  <si>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</si>
  <si>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</si>
  <si>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</si>
  <si>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</si>
  <si>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</si>
  <si>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</si>
  <si>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</si>
  <si>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</si>
  <si>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</si>
  <si>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</si>
  <si>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</si>
  <si>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</si>
  <si>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</si>
  <si>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</si>
  <si>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</si>
  <si>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</si>
  <si>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</si>
  <si>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</si>
  <si>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</si>
  <si>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</si>
  <si>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</si>
  <si>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</si>
  <si>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</si>
  <si>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</si>
  <si>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</si>
  <si>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</si>
  <si>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</si>
  <si>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</si>
  <si>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</si>
  <si>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</si>
  <si>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</si>
  <si>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</si>
  <si>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</si>
  <si>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</si>
  <si>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</si>
  <si>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</si>
  <si>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</si>
  <si>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</si>
  <si>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</si>
  <si>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</si>
  <si>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</si>
  <si>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</si>
  <si>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</si>
  <si>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</si>
  <si>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</si>
  <si>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</si>
  <si>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</si>
  <si>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</si>
  <si>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</si>
  <si>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</si>
  <si>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</si>
  <si>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</si>
  <si>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</si>
  <si>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</si>
  <si>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</si>
  <si>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</si>
  <si>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</si>
  <si>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</si>
  <si>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</si>
  <si>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</si>
  <si>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</si>
  <si>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</si>
  <si>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</si>
  <si>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</si>
  <si>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</si>
  <si>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</si>
  <si>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</si>
  <si>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</si>
  <si>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</si>
  <si>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</si>
  <si>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</si>
  <si>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</si>
  <si>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</si>
  <si>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</si>
  <si>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</si>
  <si>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</si>
  <si>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</si>
  <si>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</si>
  <si>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</si>
  <si>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</si>
  <si>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</si>
  <si>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</si>
  <si>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</si>
  <si>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</si>
  <si>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</si>
  <si>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</si>
  <si>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</si>
  <si>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</si>
  <si>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</si>
  <si>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</si>
  <si>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</si>
  <si>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</si>
  <si>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</si>
  <si>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</si>
  <si>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</si>
  <si>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</si>
  <si>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</si>
  <si>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</si>
  <si>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</si>
  <si>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</si>
  <si>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</si>
  <si>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</si>
  <si>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</si>
  <si>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</si>
  <si>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</si>
  <si>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</si>
  <si>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</si>
  <si>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</si>
  <si>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</si>
  <si>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</si>
  <si>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</si>
  <si>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</si>
  <si>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</si>
  <si>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</si>
  <si>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</si>
  <si>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</si>
  <si>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</si>
  <si>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</si>
  <si>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</si>
  <si>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</si>
  <si>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</si>
  <si>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</si>
  <si>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</si>
  <si>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</si>
  <si>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</si>
  <si>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</si>
  <si>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</si>
  <si>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</si>
  <si>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</si>
  <si>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</si>
  <si>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</si>
  <si>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</si>
  <si>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</si>
  <si>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</si>
  <si>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</si>
  <si>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</si>
  <si>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</si>
  <si>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</si>
  <si>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</si>
  <si>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</si>
  <si>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</si>
  <si>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</si>
  <si>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</si>
  <si>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</si>
  <si>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</si>
  <si>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</si>
  <si>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</si>
  <si>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</si>
  <si>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</si>
  <si>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</si>
  <si>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</si>
  <si>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</si>
  <si>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</si>
  <si>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</si>
  <si>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</si>
  <si>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</si>
  <si>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</si>
  <si>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</si>
  <si>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</si>
  <si>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</si>
  <si>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</si>
  <si>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</si>
  <si>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</si>
  <si>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</si>
  <si>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</si>
  <si>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</si>
  <si>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</si>
  <si>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</si>
  <si>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</si>
  <si>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</si>
  <si>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</si>
  <si>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</si>
  <si>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</si>
  <si>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</si>
  <si>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</si>
  <si>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</si>
  <si>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</si>
  <si>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</si>
  <si>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</si>
  <si>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</si>
  <si>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</si>
  <si>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</si>
  <si>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</si>
  <si>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</si>
  <si>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</si>
  <si>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</si>
  <si>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</si>
  <si>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</si>
  <si>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</si>
  <si>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</si>
  <si>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</si>
  <si>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</si>
  <si>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</si>
  <si>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</si>
  <si>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</si>
  <si>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</si>
  <si>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</si>
  <si>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</si>
  <si>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</si>
  <si>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</si>
  <si>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</si>
  <si>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</si>
  <si>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</si>
  <si>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</si>
  <si>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</si>
  <si>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</si>
  <si>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</si>
  <si>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</si>
  <si>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</si>
  <si>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</si>
  <si>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</si>
  <si>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</si>
  <si>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</si>
  <si>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</si>
  <si>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</si>
  <si>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</si>
  <si>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</si>
  <si>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</si>
  <si>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</si>
  <si>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</si>
  <si>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</si>
  <si>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</si>
  <si>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</si>
  <si>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</si>
  <si>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</si>
  <si>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</si>
  <si>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</si>
  <si>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</si>
  <si>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</si>
  <si>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</si>
  <si>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</si>
  <si>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</si>
  <si>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</si>
  <si>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</si>
  <si>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</si>
  <si>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</si>
  <si>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</si>
  <si>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</si>
  <si>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</si>
  <si>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</si>
  <si>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</si>
  <si>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</si>
  <si>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</si>
  <si>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</si>
  <si>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</si>
  <si>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</si>
  <si>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</si>
  <si>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</si>
  <si>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</si>
  <si>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</si>
  <si>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</si>
  <si>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</si>
  <si>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</si>
  <si>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</si>
  <si>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</si>
  <si>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</si>
  <si>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</si>
  <si>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</si>
  <si>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</si>
  <si>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</si>
  <si>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</si>
  <si>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</si>
  <si>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</si>
  <si>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</si>
  <si>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</si>
  <si>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</si>
  <si>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</si>
  <si>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</si>
  <si>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</si>
  <si>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</si>
  <si>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</si>
  <si>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</si>
  <si>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</si>
  <si>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</si>
  <si>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</si>
  <si>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</si>
  <si>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</si>
  <si>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</si>
  <si>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Eandis (februari 2016); Infrax (februari 2016)</t>
  </si>
  <si>
    <t>Verbruik aardgas en elektriciteit per gemeente en NACE-code voor 2014</t>
  </si>
  <si>
    <t>februari 2016</t>
  </si>
  <si>
    <t>Verbruik aardgas en elektriciteit per gemeente en NACE-code  voor 2014</t>
  </si>
  <si>
    <t>COPERT 4.11.3</t>
  </si>
  <si>
    <t>SVR-projecties van de bevolking en de huishoudens voor Vlaamse steden en gemeenten, 2010-2015</t>
  </si>
  <si>
    <t>maart 2016</t>
  </si>
  <si>
    <t>Studiedienst van de Vlaamse Regering (februari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</si>
  <si>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</si>
  <si>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</si>
  <si>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</si>
  <si>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</si>
  <si>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</si>
  <si>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</si>
  <si>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</si>
  <si>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</si>
  <si>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</si>
  <si>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</si>
  <si>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</si>
  <si>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</si>
  <si>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</si>
  <si>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</si>
  <si>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</si>
  <si>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</si>
  <si>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</si>
  <si>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</si>
  <si>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</si>
  <si>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</si>
  <si>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</si>
  <si>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</si>
  <si>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</si>
  <si>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</si>
  <si>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</si>
  <si>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</si>
  <si>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</si>
  <si>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</si>
  <si>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</si>
  <si>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</si>
  <si>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</si>
  <si>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</si>
  <si>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</si>
  <si>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</si>
  <si>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</si>
  <si>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</si>
  <si>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</si>
  <si>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Bron: COPERT4.11.3 doorrekening VMM februari 2017</t>
  </si>
  <si>
    <t>Petrol Hybrid</t>
  </si>
  <si>
    <t>COPERT4.11.3 doorrekening VMM februari 2017</t>
  </si>
  <si>
    <t/>
  </si>
  <si>
    <t>Data VMM februari 2017</t>
  </si>
  <si>
    <t>transport!A21</t>
  </si>
  <si>
    <t>transport!A28</t>
  </si>
  <si>
    <t>2014_03</t>
  </si>
  <si>
    <t>februari 2017</t>
  </si>
  <si>
    <t>MOW (november 2016)</t>
  </si>
  <si>
    <t>Caroline De Bosscher</t>
  </si>
  <si>
    <t xml:space="preserve">053 / 72 66 55 </t>
  </si>
  <si>
    <t xml:space="preserve">c.debosscher@vmm.be </t>
  </si>
  <si>
    <t>Wilfrid Degroot</t>
  </si>
  <si>
    <t>015 / 408 791</t>
  </si>
  <si>
    <t>Wilfrid.degroot@delijn.be</t>
  </si>
  <si>
    <t xml:space="preserve">COPERT doorrekening </t>
  </si>
  <si>
    <t>COPERT 4.11</t>
  </si>
  <si>
    <t>EMISIA</t>
  </si>
  <si>
    <t>mei 2017</t>
  </si>
  <si>
    <t>Marlies Vanhulsel</t>
  </si>
  <si>
    <t>014 / 33 59 52</t>
  </si>
  <si>
    <t>marlies.vanhulsel@vito.be</t>
  </si>
  <si>
    <t>verdeling hybride/diesel aangeleverd door De Lijn</t>
  </si>
  <si>
    <t>november 2016</t>
  </si>
  <si>
    <t>standaardwaardes in COPERT-tool</t>
  </si>
  <si>
    <t>"fuel sold" - gerapporteerde brandstofverkopen</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</si>
  <si>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</si>
  <si>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</si>
  <si>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</si>
  <si>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</si>
  <si>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</si>
  <si>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</si>
  <si>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</si>
  <si>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</si>
  <si>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</si>
  <si>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</si>
  <si>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</si>
  <si>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</si>
  <si>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</si>
  <si>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</si>
  <si>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</si>
  <si>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</si>
  <si>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</si>
  <si>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</si>
  <si>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</si>
  <si>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</si>
  <si>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</si>
  <si>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</si>
  <si>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</si>
  <si>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</si>
  <si>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</si>
  <si>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</si>
  <si>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</si>
  <si>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</si>
  <si>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</si>
  <si>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</si>
  <si>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</si>
  <si>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</si>
  <si>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</si>
  <si>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</si>
  <si>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</si>
  <si>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</si>
  <si>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</si>
  <si>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</si>
  <si>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</si>
  <si>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</si>
  <si>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</si>
  <si>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</si>
  <si>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</si>
  <si>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</si>
  <si>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</si>
  <si>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</si>
  <si>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</si>
  <si>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</si>
  <si>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</si>
  <si>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</si>
  <si>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</si>
  <si>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versie: 2014_05</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</si>
  <si>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</si>
  <si>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</si>
  <si>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</si>
  <si>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</si>
  <si>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</si>
  <si>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</si>
  <si>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</si>
  <si>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</si>
  <si>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</si>
  <si>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</si>
  <si>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</si>
  <si>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</si>
  <si>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</si>
  <si>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</si>
  <si>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</si>
  <si>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</si>
  <si>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</si>
  <si>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</si>
  <si>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</si>
  <si>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</si>
  <si>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</si>
  <si>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</si>
  <si>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</si>
  <si>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</si>
  <si>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</si>
  <si>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</si>
  <si>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</si>
  <si>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</si>
  <si>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</si>
  <si>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</si>
  <si>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</si>
  <si>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</si>
  <si>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</si>
  <si>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</si>
  <si>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</si>
  <si>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</si>
  <si>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</si>
  <si>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41048</t>
  </si>
  <si>
    <t>NINOVE</t>
  </si>
  <si>
    <t>Paarden&amp;pony's 200 - 600 kg</t>
  </si>
  <si>
    <t>Paarden&amp;pony's &lt; 200 kg</t>
  </si>
  <si>
    <t>referentietaak LNE (2017); Jaarverslag De Lijn (2014)</t>
  </si>
  <si>
    <t>op basis van VEA (maart 2018) en Inventaris Hernieuwbare Energiebronnen (juni 2018)</t>
  </si>
  <si>
    <t>VEA (maart 2016)</t>
  </si>
  <si>
    <t>VEA (juni 2018)</t>
  </si>
  <si>
    <t>DvD E-Consult bvba</t>
  </si>
  <si>
    <t>Zolderstraat 25 , 8553 Otegem</t>
  </si>
  <si>
    <t>BGS-0048 Voorde Stort</t>
  </si>
  <si>
    <t>biogas - stortgas</t>
  </si>
  <si>
    <t>niet WKK interne verbrandingsmotor (gas)</t>
  </si>
  <si>
    <t>Geraardsbergsesteenweg 660 , 9400 Voorde</t>
  </si>
  <si>
    <t>Intergem</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</si>
</sst>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5">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89">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4" fillId="0" borderId="0"/>
    <xf numFmtId="172" fontId="54"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4" fillId="0" borderId="0"/>
    <xf numFmtId="172" fontId="11" fillId="0" borderId="0"/>
    <xf numFmtId="172" fontId="11" fillId="0" borderId="0"/>
    <xf numFmtId="172" fontId="54" fillId="0" borderId="0"/>
    <xf numFmtId="172" fontId="54" fillId="0" borderId="0"/>
    <xf numFmtId="172" fontId="11" fillId="0" borderId="0"/>
    <xf numFmtId="172" fontId="11" fillId="0" borderId="0"/>
    <xf numFmtId="172" fontId="11" fillId="0" borderId="0"/>
    <xf numFmtId="172" fontId="11" fillId="0" borderId="0"/>
    <xf numFmtId="172" fontId="54" fillId="0" borderId="0"/>
    <xf numFmtId="172" fontId="74"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4" fillId="0" borderId="0"/>
    <xf numFmtId="0" fontId="108" fillId="0" borderId="0"/>
    <xf numFmtId="0" fontId="3" fillId="0" borderId="0" applyNumberFormat="0" applyFill="0" applyBorder="0" applyAlignment="0" applyProtection="0"/>
    <xf numFmtId="0" fontId="109" fillId="0" borderId="187"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3" fontId="1" fillId="9" borderId="15">
      <alignment horizontal="right" vertical="center"/>
    </xf>
    <xf numFmtId="173" fontId="1" fillId="9" borderId="15">
      <alignment horizontal="right" vertical="center"/>
    </xf>
    <xf numFmtId="173" fontId="1" fillId="9" borderId="15">
      <alignment horizontal="right" vertical="center"/>
    </xf>
    <xf numFmtId="0" fontId="6"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172" fontId="5" fillId="0" borderId="2" applyNumberFormat="0" applyFill="0" applyAlignment="0" applyProtection="0"/>
  </cellStyleXfs>
  <cellXfs count="1289">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4"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1"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9"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4"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3"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1"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80" fillId="0" borderId="81" xfId="0" applyFont="1" applyFill="1" applyBorder="1" applyAlignment="1">
      <alignment horizontal="left" vertical="center" wrapText="1"/>
    </xf>
    <xf numFmtId="172" fontId="0" fillId="0" borderId="117" xfId="0" applyBorder="1"/>
    <xf numFmtId="172" fontId="49" fillId="0" borderId="81" xfId="0" applyFont="1" applyFill="1" applyBorder="1" applyAlignment="1">
      <alignment horizontal="justify" wrapText="1"/>
    </xf>
    <xf numFmtId="172" fontId="80" fillId="0" borderId="117" xfId="0" applyFont="1" applyFill="1" applyBorder="1" applyAlignment="1">
      <alignment horizontal="left" vertical="center" wrapText="1"/>
    </xf>
    <xf numFmtId="172" fontId="80" fillId="0" borderId="118" xfId="0" applyFont="1" applyFill="1" applyBorder="1" applyAlignment="1">
      <alignment horizontal="left" vertical="center" wrapText="1"/>
    </xf>
    <xf numFmtId="172" fontId="55" fillId="12" borderId="104" xfId="0" applyFont="1" applyFill="1" applyBorder="1" applyAlignment="1">
      <alignment horizontal="left" vertical="center" wrapText="1"/>
    </xf>
    <xf numFmtId="172" fontId="55" fillId="12" borderId="62"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2" xfId="0" applyBorder="1"/>
    <xf numFmtId="172" fontId="0" fillId="0" borderId="18" xfId="0" applyBorder="1"/>
    <xf numFmtId="172" fontId="78" fillId="12" borderId="87"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8" fillId="23" borderId="19" xfId="0" applyFont="1" applyFill="1" applyBorder="1"/>
    <xf numFmtId="172" fontId="0" fillId="0" borderId="121" xfId="0" applyBorder="1"/>
    <xf numFmtId="172" fontId="74"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8" fillId="0" borderId="121"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5" fillId="0" borderId="113" xfId="0" applyFont="1" applyBorder="1" applyAlignment="1">
      <alignment vertical="top" wrapText="1"/>
    </xf>
    <xf numFmtId="172" fontId="25" fillId="0" borderId="116" xfId="0" applyFont="1" applyBorder="1" applyAlignment="1">
      <alignment vertical="top"/>
    </xf>
    <xf numFmtId="172" fontId="25" fillId="0" borderId="122" xfId="0" applyFont="1" applyBorder="1"/>
    <xf numFmtId="172" fontId="25" fillId="0" borderId="124" xfId="0" applyFont="1" applyBorder="1"/>
    <xf numFmtId="172" fontId="25" fillId="0" borderId="121"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7" xfId="0" applyFont="1" applyFill="1" applyBorder="1" applyAlignment="1">
      <alignment horizontal="justify" vertical="top"/>
    </xf>
    <xf numFmtId="172" fontId="0" fillId="0" borderId="116" xfId="0" applyFill="1" applyBorder="1" applyAlignment="1">
      <alignment horizontal="left"/>
    </xf>
    <xf numFmtId="172" fontId="74" fillId="0" borderId="0" xfId="150" applyBorder="1" applyAlignment="1" applyProtection="1">
      <alignment vertical="top"/>
    </xf>
    <xf numFmtId="172" fontId="8" fillId="0" borderId="114" xfId="0" applyFont="1" applyBorder="1"/>
    <xf numFmtId="172" fontId="74" fillId="0" borderId="81" xfId="150" applyBorder="1" applyAlignment="1" applyProtection="1"/>
    <xf numFmtId="172" fontId="74" fillId="0" borderId="81" xfId="150" quotePrefix="1" applyBorder="1" applyAlignment="1" applyProtection="1"/>
    <xf numFmtId="172" fontId="8" fillId="0" borderId="118"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2" xfId="0" applyFill="1" applyBorder="1"/>
    <xf numFmtId="172" fontId="7" fillId="0" borderId="0" xfId="0" applyFont="1" applyBorder="1"/>
    <xf numFmtId="172" fontId="7" fillId="0" borderId="0" xfId="0" applyFont="1" applyFill="1" applyBorder="1"/>
    <xf numFmtId="172" fontId="0" fillId="0" borderId="135" xfId="0" applyBorder="1"/>
    <xf numFmtId="172" fontId="0" fillId="0" borderId="136" xfId="0" applyBorder="1"/>
    <xf numFmtId="172" fontId="25" fillId="0" borderId="0" xfId="0" applyFont="1" applyBorder="1" applyAlignment="1">
      <alignment vertical="top" wrapText="1"/>
    </xf>
    <xf numFmtId="172" fontId="25" fillId="0" borderId="81" xfId="0" applyFont="1" applyBorder="1" applyAlignment="1">
      <alignment vertical="top"/>
    </xf>
    <xf numFmtId="3" fontId="0" fillId="13" borderId="15" xfId="0" quotePrefix="1" applyNumberFormat="1" applyFill="1" applyBorder="1" applyAlignment="1">
      <alignment horizontal="center"/>
    </xf>
    <xf numFmtId="172" fontId="25" fillId="0" borderId="116"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2" fillId="0" borderId="137" xfId="7" applyFont="1" applyFill="1" applyBorder="1" applyAlignment="1">
      <alignment wrapText="1"/>
    </xf>
    <xf numFmtId="172" fontId="8" fillId="23" borderId="103" xfId="0" applyFont="1" applyFill="1" applyBorder="1"/>
    <xf numFmtId="172" fontId="8" fillId="23" borderId="53" xfId="0" applyFont="1" applyFill="1" applyBorder="1"/>
    <xf numFmtId="172" fontId="8" fillId="23" borderId="102" xfId="0" applyFont="1" applyFill="1" applyBorder="1"/>
    <xf numFmtId="3" fontId="0" fillId="0" borderId="62" xfId="0" applyNumberFormat="1" applyFill="1" applyBorder="1"/>
    <xf numFmtId="172" fontId="74" fillId="0" borderId="18" xfId="150" applyBorder="1" applyAlignment="1" applyProtection="1"/>
    <xf numFmtId="172" fontId="88" fillId="0" borderId="139" xfId="0" applyFont="1" applyBorder="1"/>
    <xf numFmtId="172" fontId="7" fillId="0" borderId="62" xfId="0" applyFont="1" applyBorder="1"/>
    <xf numFmtId="172" fontId="7" fillId="0" borderId="18" xfId="0" applyFont="1" applyBorder="1"/>
    <xf numFmtId="172" fontId="74"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8" fillId="0" borderId="114" xfId="0" applyFont="1" applyBorder="1" applyAlignment="1">
      <alignment horizontal="center"/>
    </xf>
    <xf numFmtId="172" fontId="0" fillId="23" borderId="5" xfId="0" applyFill="1" applyBorder="1"/>
    <xf numFmtId="172" fontId="96" fillId="23" borderId="4" xfId="0" applyFont="1" applyFill="1" applyBorder="1"/>
    <xf numFmtId="172" fontId="96" fillId="0" borderId="8" xfId="0" applyFont="1" applyFill="1" applyBorder="1"/>
    <xf numFmtId="172" fontId="43" fillId="0" borderId="137" xfId="7" applyFont="1" applyFill="1" applyBorder="1" applyAlignment="1">
      <alignment wrapText="1"/>
    </xf>
    <xf numFmtId="172" fontId="0" fillId="0" borderId="114" xfId="0" applyFill="1" applyBorder="1"/>
    <xf numFmtId="172" fontId="8" fillId="0" borderId="114" xfId="0" applyFont="1" applyFill="1" applyBorder="1"/>
    <xf numFmtId="172" fontId="96" fillId="0" borderId="8" xfId="0" applyFont="1" applyBorder="1"/>
    <xf numFmtId="172" fontId="0" fillId="0" borderId="143"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7" xfId="0" applyFont="1" applyBorder="1"/>
    <xf numFmtId="172" fontId="0" fillId="0" borderId="148" xfId="0" applyBorder="1" applyAlignment="1">
      <alignment horizontal="center"/>
    </xf>
    <xf numFmtId="172" fontId="8" fillId="0" borderId="150" xfId="0" applyFont="1" applyBorder="1"/>
    <xf numFmtId="172" fontId="0" fillId="0" borderId="146" xfId="0" applyBorder="1" applyAlignment="1">
      <alignment horizontal="center"/>
    </xf>
    <xf numFmtId="172" fontId="0" fillId="0" borderId="152" xfId="0" applyBorder="1"/>
    <xf numFmtId="172" fontId="18" fillId="0" borderId="124" xfId="7" applyFont="1" applyFill="1" applyBorder="1" applyAlignment="1">
      <alignment wrapText="1"/>
    </xf>
    <xf numFmtId="172" fontId="0" fillId="0" borderId="146" xfId="0" applyBorder="1" applyAlignment="1">
      <alignment horizontal="left"/>
    </xf>
    <xf numFmtId="172" fontId="8" fillId="0" borderId="152" xfId="0" applyFont="1" applyBorder="1"/>
    <xf numFmtId="172" fontId="47" fillId="0" borderId="138" xfId="0" applyFont="1" applyFill="1" applyBorder="1"/>
    <xf numFmtId="172" fontId="47" fillId="0" borderId="138" xfId="0" applyFont="1" applyBorder="1"/>
    <xf numFmtId="172" fontId="8" fillId="0" borderId="124" xfId="0" applyFont="1" applyFill="1" applyBorder="1"/>
    <xf numFmtId="172" fontId="0" fillId="23" borderId="4" xfId="0" applyFill="1" applyBorder="1"/>
    <xf numFmtId="172" fontId="8" fillId="0" borderId="137" xfId="0" applyFont="1" applyBorder="1"/>
    <xf numFmtId="172" fontId="47"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52" xfId="0" applyFont="1" applyFill="1" applyBorder="1"/>
    <xf numFmtId="172" fontId="42" fillId="0" borderId="154" xfId="7" applyFont="1" applyFill="1" applyBorder="1" applyAlignment="1">
      <alignment wrapText="1"/>
    </xf>
    <xf numFmtId="172" fontId="0" fillId="0" borderId="10" xfId="0" applyFill="1" applyBorder="1"/>
    <xf numFmtId="172" fontId="0" fillId="0" borderId="11" xfId="0" applyFill="1" applyBorder="1"/>
    <xf numFmtId="172" fontId="8" fillId="0" borderId="152" xfId="0" applyFont="1" applyFill="1" applyBorder="1"/>
    <xf numFmtId="172" fontId="0" fillId="0" borderId="124" xfId="0" applyFill="1" applyBorder="1"/>
    <xf numFmtId="172" fontId="8" fillId="0" borderId="154" xfId="0" applyFont="1" applyFill="1" applyBorder="1"/>
    <xf numFmtId="172" fontId="18"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7"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9" fillId="0" borderId="7" xfId="0" applyFont="1" applyFill="1" applyBorder="1"/>
    <xf numFmtId="172" fontId="0" fillId="0" borderId="150" xfId="0" applyFill="1" applyBorder="1"/>
    <xf numFmtId="172" fontId="0" fillId="0" borderId="7" xfId="0" applyFont="1" applyFill="1" applyBorder="1"/>
    <xf numFmtId="3" fontId="7" fillId="0" borderId="0" xfId="0" applyNumberFormat="1" applyFont="1" applyAlignment="1">
      <alignment horizontal="center"/>
    </xf>
    <xf numFmtId="172" fontId="5" fillId="0" borderId="155" xfId="3" applyBorder="1"/>
    <xf numFmtId="172" fontId="5" fillId="0" borderId="0" xfId="3" applyBorder="1"/>
    <xf numFmtId="172" fontId="0" fillId="0" borderId="155" xfId="0" applyBorder="1"/>
    <xf numFmtId="172" fontId="47" fillId="23" borderId="3" xfId="3" applyFont="1" applyFill="1" applyBorder="1"/>
    <xf numFmtId="172" fontId="47"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2"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6" fillId="0" borderId="124" xfId="54" applyNumberFormat="1" applyFont="1" applyFill="1" applyBorder="1" applyAlignment="1">
      <alignment horizontal="center" vertical="center"/>
    </xf>
    <xf numFmtId="172" fontId="8" fillId="0" borderId="3" xfId="0" applyFont="1" applyBorder="1"/>
    <xf numFmtId="172" fontId="25" fillId="0" borderId="155" xfId="0" applyFont="1" applyBorder="1"/>
    <xf numFmtId="172" fontId="25" fillId="0" borderId="155" xfId="0" applyFont="1" applyFill="1" applyBorder="1"/>
    <xf numFmtId="172" fontId="25" fillId="0" borderId="0" xfId="0" applyFont="1" applyFill="1" applyBorder="1"/>
    <xf numFmtId="9" fontId="25" fillId="0" borderId="0" xfId="0" applyNumberFormat="1" applyFont="1" applyBorder="1"/>
    <xf numFmtId="172" fontId="50" fillId="0" borderId="10" xfId="0" applyFont="1" applyBorder="1"/>
    <xf numFmtId="9" fontId="50" fillId="0" borderId="12" xfId="0" applyNumberFormat="1" applyFont="1" applyBorder="1"/>
    <xf numFmtId="172" fontId="25" fillId="0" borderId="155" xfId="3" applyFont="1" applyFill="1" applyBorder="1"/>
    <xf numFmtId="172" fontId="25" fillId="0" borderId="8" xfId="0" applyFont="1" applyFill="1" applyBorder="1"/>
    <xf numFmtId="172" fontId="25" fillId="0" borderId="152" xfId="3" applyFont="1" applyBorder="1"/>
    <xf numFmtId="172" fontId="25" fillId="0" borderId="154"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1" xfId="0" applyBorder="1" applyAlignment="1">
      <alignment vertical="top" wrapText="1"/>
    </xf>
    <xf numFmtId="172" fontId="8" fillId="0" borderId="81" xfId="0" applyFont="1" applyFill="1" applyBorder="1"/>
    <xf numFmtId="172" fontId="8" fillId="0" borderId="117"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2" fontId="0" fillId="0" borderId="18" xfId="0" applyFill="1" applyBorder="1"/>
    <xf numFmtId="3" fontId="62" fillId="18" borderId="159"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2" fontId="0" fillId="0" borderId="0" xfId="0" applyAlignment="1">
      <alignment horizontal="left" vertical="top" wrapText="1"/>
    </xf>
    <xf numFmtId="0" fontId="25"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7" fillId="23" borderId="126" xfId="2" applyNumberFormat="1" applyFont="1" applyFill="1" applyBorder="1"/>
    <xf numFmtId="0" fontId="47" fillId="23" borderId="134" xfId="2" applyNumberFormat="1" applyFont="1" applyFill="1" applyBorder="1"/>
    <xf numFmtId="0" fontId="0" fillId="0" borderId="0" xfId="0" applyNumberFormat="1"/>
    <xf numFmtId="0" fontId="86" fillId="0" borderId="0" xfId="1" applyNumberFormat="1" applyFont="1" applyBorder="1"/>
    <xf numFmtId="0" fontId="92" fillId="23" borderId="103" xfId="1" applyNumberFormat="1" applyFont="1" applyFill="1" applyBorder="1"/>
    <xf numFmtId="0" fontId="25" fillId="23" borderId="53" xfId="0" applyNumberFormat="1" applyFont="1" applyFill="1" applyBorder="1"/>
    <xf numFmtId="0" fontId="25" fillId="23" borderId="170" xfId="0" applyNumberFormat="1" applyFont="1" applyFill="1" applyBorder="1"/>
    <xf numFmtId="0" fontId="47" fillId="23" borderId="125" xfId="2" applyNumberFormat="1" applyFont="1" applyFill="1" applyBorder="1"/>
    <xf numFmtId="0" fontId="47" fillId="23" borderId="126" xfId="2" applyNumberFormat="1" applyFont="1" applyFill="1" applyBorder="1" applyAlignment="1">
      <alignment horizontal="left"/>
    </xf>
    <xf numFmtId="0" fontId="25" fillId="0" borderId="114" xfId="3" applyNumberFormat="1" applyFont="1" applyBorder="1"/>
    <xf numFmtId="0" fontId="0" fillId="0" borderId="114" xfId="0" applyNumberFormat="1" applyBorder="1"/>
    <xf numFmtId="0" fontId="82" fillId="0" borderId="0" xfId="0" applyNumberFormat="1" applyFont="1"/>
    <xf numFmtId="0" fontId="25" fillId="23" borderId="102" xfId="0" applyNumberFormat="1" applyFont="1" applyFill="1" applyBorder="1"/>
    <xf numFmtId="0" fontId="47" fillId="23" borderId="127" xfId="2" applyNumberFormat="1" applyFont="1" applyFill="1" applyBorder="1"/>
    <xf numFmtId="0" fontId="47" fillId="23" borderId="128" xfId="2" applyNumberFormat="1" applyFont="1" applyFill="1" applyBorder="1"/>
    <xf numFmtId="0" fontId="47" fillId="23" borderId="129" xfId="2" applyNumberFormat="1" applyFont="1" applyFill="1" applyBorder="1"/>
    <xf numFmtId="0" fontId="25" fillId="0" borderId="0" xfId="3" applyNumberFormat="1" applyFont="1"/>
    <xf numFmtId="0" fontId="47" fillId="23" borderId="130" xfId="3" applyNumberFormat="1" applyFont="1" applyFill="1" applyBorder="1"/>
    <xf numFmtId="0" fontId="47" fillId="23" borderId="120" xfId="3" applyNumberFormat="1" applyFont="1" applyFill="1" applyBorder="1"/>
    <xf numFmtId="0" fontId="47" fillId="23" borderId="131" xfId="3" applyNumberFormat="1" applyFont="1" applyFill="1" applyBorder="1"/>
    <xf numFmtId="0" fontId="47" fillId="23" borderId="127" xfId="3" applyNumberFormat="1" applyFont="1" applyFill="1" applyBorder="1"/>
    <xf numFmtId="0" fontId="47" fillId="23" borderId="128" xfId="3" applyNumberFormat="1" applyFont="1" applyFill="1" applyBorder="1"/>
    <xf numFmtId="0" fontId="47" fillId="23" borderId="129" xfId="3" applyNumberFormat="1" applyFont="1" applyFill="1" applyBorder="1"/>
    <xf numFmtId="0" fontId="25" fillId="0" borderId="0" xfId="3" applyNumberFormat="1" applyFont="1" applyBorder="1"/>
    <xf numFmtId="0" fontId="0" fillId="0" borderId="0" xfId="0" applyNumberFormat="1" applyBorder="1"/>
    <xf numFmtId="0" fontId="92" fillId="23" borderId="21" xfId="1" applyNumberFormat="1" applyFont="1" applyFill="1" applyBorder="1"/>
    <xf numFmtId="0" fontId="25" fillId="23" borderId="0" xfId="0" applyNumberFormat="1" applyFont="1" applyFill="1" applyBorder="1"/>
    <xf numFmtId="0" fontId="47" fillId="23" borderId="0" xfId="0" applyNumberFormat="1" applyFont="1" applyFill="1" applyBorder="1"/>
    <xf numFmtId="0" fontId="25" fillId="23" borderId="81" xfId="0" applyNumberFormat="1" applyFont="1" applyFill="1" applyBorder="1"/>
    <xf numFmtId="0" fontId="47" fillId="23" borderId="128" xfId="2" applyNumberFormat="1" applyFont="1" applyFill="1" applyBorder="1" applyAlignment="1">
      <alignment horizontal="left"/>
    </xf>
    <xf numFmtId="0" fontId="83" fillId="0" borderId="0" xfId="3" applyNumberFormat="1" applyFont="1"/>
    <xf numFmtId="0" fontId="25" fillId="23" borderId="53" xfId="3" applyNumberFormat="1" applyFont="1" applyFill="1" applyBorder="1"/>
    <xf numFmtId="0" fontId="5" fillId="0" borderId="0" xfId="3" applyNumberFormat="1"/>
    <xf numFmtId="0" fontId="25" fillId="23" borderId="132" xfId="0" applyNumberFormat="1" applyFont="1" applyFill="1" applyBorder="1"/>
    <xf numFmtId="0" fontId="47" fillId="23" borderId="119" xfId="0" applyNumberFormat="1" applyFont="1" applyFill="1" applyBorder="1"/>
    <xf numFmtId="0" fontId="47" fillId="23" borderId="133" xfId="0" applyNumberFormat="1" applyFont="1" applyFill="1" applyBorder="1"/>
    <xf numFmtId="0" fontId="7"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4"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40" xfId="0" applyNumberFormat="1" applyFont="1" applyFill="1" applyBorder="1"/>
    <xf numFmtId="0" fontId="0" fillId="0" borderId="21" xfId="0" applyNumberFormat="1" applyBorder="1"/>
    <xf numFmtId="0" fontId="8" fillId="13" borderId="21" xfId="0" applyNumberFormat="1" applyFont="1" applyFill="1" applyBorder="1"/>
    <xf numFmtId="0" fontId="0" fillId="0" borderId="104" xfId="0" applyNumberFormat="1" applyBorder="1"/>
    <xf numFmtId="0" fontId="8" fillId="23" borderId="103" xfId="0" applyNumberFormat="1" applyFont="1" applyFill="1" applyBorder="1"/>
    <xf numFmtId="0" fontId="47" fillId="23" borderId="19" xfId="0" applyNumberFormat="1" applyFont="1" applyFill="1" applyBorder="1"/>
    <xf numFmtId="0" fontId="40" fillId="23" borderId="87"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1"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7" fillId="0" borderId="81" xfId="0" applyNumberFormat="1" applyFont="1" applyFill="1" applyBorder="1" applyAlignment="1">
      <alignment horizontal="left" vertical="top" wrapText="1"/>
    </xf>
    <xf numFmtId="0" fontId="74" fillId="0" borderId="115" xfId="150" applyNumberFormat="1" applyBorder="1" applyAlignment="1" applyProtection="1"/>
    <xf numFmtId="0" fontId="0" fillId="0" borderId="113" xfId="0" applyNumberFormat="1" applyBorder="1"/>
    <xf numFmtId="0" fontId="0" fillId="0" borderId="116" xfId="0" applyNumberFormat="1" applyBorder="1"/>
    <xf numFmtId="0" fontId="74" fillId="0" borderId="117" xfId="150" applyNumberFormat="1" applyBorder="1" applyAlignment="1" applyProtection="1"/>
    <xf numFmtId="0" fontId="0" fillId="0" borderId="118" xfId="0" applyNumberFormat="1" applyBorder="1"/>
    <xf numFmtId="0" fontId="74" fillId="0" borderId="115" xfId="150" quotePrefix="1" applyNumberFormat="1" applyBorder="1" applyAlignment="1" applyProtection="1"/>
    <xf numFmtId="0" fontId="0" fillId="0" borderId="117" xfId="0" applyNumberFormat="1" applyBorder="1"/>
    <xf numFmtId="0" fontId="25" fillId="0" borderId="0" xfId="0" applyNumberFormat="1" applyFont="1" applyBorder="1"/>
    <xf numFmtId="0" fontId="25" fillId="0" borderId="81"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80" fillId="0" borderId="103" xfId="0" applyNumberFormat="1" applyFont="1" applyFill="1" applyBorder="1" applyAlignment="1">
      <alignment horizontal="left" vertical="center" wrapText="1"/>
    </xf>
    <xf numFmtId="0" fontId="81" fillId="0" borderId="53" xfId="0" applyNumberFormat="1" applyFont="1" applyFill="1" applyBorder="1" applyAlignment="1">
      <alignment horizontal="left" vertical="center" wrapText="1"/>
    </xf>
    <xf numFmtId="0" fontId="81" fillId="0" borderId="102"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3" xfId="0" applyNumberFormat="1" applyFont="1" applyFill="1" applyBorder="1" applyAlignment="1">
      <alignment horizontal="left" vertical="center"/>
    </xf>
    <xf numFmtId="0" fontId="84" fillId="12" borderId="53" xfId="0" applyNumberFormat="1" applyFont="1" applyFill="1" applyBorder="1" applyAlignment="1">
      <alignment horizontal="left" vertical="center"/>
    </xf>
    <xf numFmtId="0" fontId="84" fillId="12" borderId="102" xfId="0" applyNumberFormat="1" applyFont="1" applyFill="1" applyBorder="1" applyAlignment="1">
      <alignment horizontal="left" vertical="center" wrapText="1"/>
    </xf>
    <xf numFmtId="0" fontId="25" fillId="15" borderId="115"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25"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1" fillId="23" borderId="87"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8" fillId="12" borderId="87"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1" fillId="0" borderId="0" xfId="0" applyFont="1"/>
    <xf numFmtId="10" fontId="0" fillId="3" borderId="0" xfId="54" applyNumberFormat="1" applyFont="1" applyFill="1"/>
    <xf numFmtId="172" fontId="11" fillId="4" borderId="152"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0" fillId="12" borderId="37" xfId="0" applyNumberFormat="1" applyFont="1" applyFill="1" applyBorder="1" applyAlignment="1">
      <alignment horizontal="center" vertical="center" wrapText="1"/>
    </xf>
    <xf numFmtId="3" fontId="60" fillId="12" borderId="38" xfId="0" applyNumberFormat="1" applyFont="1" applyFill="1" applyBorder="1" applyAlignment="1">
      <alignment horizontal="center" vertical="center" wrapText="1"/>
    </xf>
    <xf numFmtId="0" fontId="74" fillId="0" borderId="0" xfId="150"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28"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3" xfId="0" applyNumberFormat="1" applyFont="1" applyBorder="1"/>
    <xf numFmtId="3" fontId="89"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7" xfId="0" applyNumberFormat="1" applyFont="1" applyFill="1" applyBorder="1"/>
    <xf numFmtId="3" fontId="0" fillId="0" borderId="114" xfId="0" applyNumberFormat="1" applyFont="1" applyFill="1" applyBorder="1"/>
    <xf numFmtId="3" fontId="8" fillId="0" borderId="114" xfId="0" applyNumberFormat="1" applyFont="1" applyFill="1" applyBorder="1" applyAlignment="1">
      <alignment horizontal="left"/>
    </xf>
    <xf numFmtId="3" fontId="0" fillId="0" borderId="138"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3" xfId="0" applyNumberFormat="1" applyFont="1" applyFill="1" applyBorder="1"/>
    <xf numFmtId="3" fontId="8" fillId="0" borderId="114" xfId="0" applyNumberFormat="1" applyFont="1" applyBorder="1"/>
    <xf numFmtId="3" fontId="7" fillId="0" borderId="62" xfId="0" applyNumberFormat="1" applyFont="1" applyBorder="1"/>
    <xf numFmtId="3" fontId="8" fillId="0" borderId="0" xfId="0" applyNumberFormat="1" applyFont="1" applyFill="1" applyBorder="1"/>
    <xf numFmtId="3" fontId="0" fillId="0" borderId="62" xfId="0" applyNumberFormat="1" applyBorder="1"/>
    <xf numFmtId="4" fontId="8" fillId="23" borderId="16" xfId="0" applyNumberFormat="1" applyFont="1" applyFill="1" applyBorder="1"/>
    <xf numFmtId="4" fontId="0" fillId="0" borderId="81" xfId="0" applyNumberFormat="1" applyBorder="1"/>
    <xf numFmtId="4" fontId="47"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7"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7"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4"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7"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2" fillId="0" borderId="78"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172" fontId="40" fillId="19" borderId="78"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5"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6"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6"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3" fontId="44" fillId="0" borderId="97" xfId="0" applyNumberFormat="1" applyFont="1" applyFill="1" applyBorder="1" applyAlignment="1" applyProtection="1">
      <alignment horizontal="right" vertical="center"/>
    </xf>
    <xf numFmtId="172" fontId="0" fillId="0" borderId="67"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6"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8" xfId="0" applyNumberFormat="1" applyFont="1" applyFill="1" applyBorder="1" applyAlignment="1" applyProtection="1">
      <alignment horizontal="center" vertical="center" wrapText="1"/>
    </xf>
    <xf numFmtId="172" fontId="42" fillId="0" borderId="78" xfId="0" applyFont="1" applyBorder="1" applyAlignment="1" applyProtection="1">
      <alignment horizontal="center" vertical="center"/>
    </xf>
    <xf numFmtId="3" fontId="40" fillId="3" borderId="78"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9" xfId="0" applyNumberFormat="1" applyFont="1" applyFill="1" applyBorder="1" applyAlignment="1" applyProtection="1">
      <alignment horizontal="right" vertical="center"/>
    </xf>
    <xf numFmtId="3" fontId="44" fillId="0" borderId="89" xfId="0" applyNumberFormat="1" applyFont="1" applyFill="1" applyBorder="1" applyAlignment="1" applyProtection="1">
      <alignment horizontal="right" vertical="center"/>
    </xf>
    <xf numFmtId="3" fontId="40" fillId="19" borderId="78"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3"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1" xfId="0" applyNumberFormat="1" applyFont="1" applyFill="1" applyBorder="1" applyProtection="1"/>
    <xf numFmtId="172" fontId="8" fillId="3" borderId="104" xfId="0" applyFont="1" applyFill="1" applyBorder="1" applyProtection="1"/>
    <xf numFmtId="3" fontId="8" fillId="3" borderId="62" xfId="0" applyNumberFormat="1" applyFont="1" applyFill="1" applyBorder="1" applyAlignment="1" applyProtection="1">
      <alignment wrapText="1"/>
    </xf>
    <xf numFmtId="3" fontId="8" fillId="3" borderId="62" xfId="0" applyNumberFormat="1" applyFont="1" applyFill="1" applyBorder="1" applyAlignment="1" applyProtection="1">
      <alignment horizontal="center" wrapText="1"/>
    </xf>
    <xf numFmtId="3" fontId="8" fillId="3" borderId="62"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3" xfId="0" applyFont="1" applyBorder="1" applyProtection="1"/>
    <xf numFmtId="172" fontId="48" fillId="0" borderId="0" xfId="0" applyFont="1" applyBorder="1" applyProtection="1"/>
    <xf numFmtId="172" fontId="0" fillId="0" borderId="0" xfId="0" applyBorder="1" applyProtection="1"/>
    <xf numFmtId="172" fontId="47"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1"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8"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3" xfId="0" applyFont="1" applyFill="1" applyBorder="1" applyAlignment="1" applyProtection="1">
      <alignment vertical="top" wrapText="1"/>
      <protection locked="0"/>
    </xf>
    <xf numFmtId="3" fontId="41" fillId="22" borderId="53" xfId="0" applyNumberFormat="1" applyFont="1" applyFill="1" applyBorder="1" applyAlignment="1" applyProtection="1">
      <alignment vertical="top" wrapText="1"/>
      <protection locked="0"/>
    </xf>
    <xf numFmtId="172" fontId="41" fillId="22" borderId="102"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1"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1"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7" xfId="0" applyNumberFormat="1" applyFont="1" applyFill="1" applyBorder="1"/>
    <xf numFmtId="2" fontId="8" fillId="23" borderId="16" xfId="0" applyNumberFormat="1" applyFont="1" applyFill="1" applyBorder="1"/>
    <xf numFmtId="2" fontId="0" fillId="0" borderId="0" xfId="0" applyNumberFormat="1"/>
    <xf numFmtId="0" fontId="25"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8" fillId="0" borderId="21" xfId="7" applyNumberFormat="1" applyFont="1" applyFill="1" applyBorder="1" applyAlignment="1">
      <alignment wrapText="1"/>
    </xf>
    <xf numFmtId="2" fontId="18" fillId="0" borderId="104" xfId="7" applyNumberFormat="1" applyFont="1" applyFill="1" applyBorder="1" applyAlignment="1">
      <alignment wrapText="1"/>
    </xf>
    <xf numFmtId="2" fontId="18"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5" fillId="0" borderId="114" xfId="0" applyNumberFormat="1" applyFont="1" applyFill="1" applyBorder="1" applyAlignment="1">
      <alignment horizontal="left" vertical="top" wrapText="1"/>
    </xf>
    <xf numFmtId="2" fontId="25"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5" fillId="0" borderId="114"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8"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3" fillId="0" borderId="0" xfId="7" applyNumberFormat="1" applyFont="1" applyFill="1" applyBorder="1" applyAlignment="1">
      <alignment horizontal="right" wrapText="1"/>
    </xf>
    <xf numFmtId="176" fontId="104" fillId="0" borderId="0" xfId="0" applyNumberFormat="1" applyFont="1" applyBorder="1"/>
    <xf numFmtId="2" fontId="104" fillId="0" borderId="62" xfId="0" applyNumberFormat="1" applyFont="1" applyBorder="1"/>
    <xf numFmtId="0" fontId="104" fillId="0" borderId="114" xfId="0" applyNumberFormat="1" applyFont="1" applyFill="1" applyBorder="1" applyAlignment="1">
      <alignment horizontal="right" vertical="top" wrapText="1"/>
    </xf>
    <xf numFmtId="0" fontId="104"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4" fillId="25" borderId="0" xfId="150"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61" xfId="0" applyNumberFormat="1" applyFont="1" applyFill="1" applyBorder="1" applyAlignment="1" applyProtection="1">
      <alignment horizontal="center" vertical="center"/>
      <protection locked="0"/>
    </xf>
    <xf numFmtId="1" fontId="63" fillId="0" borderId="107"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9" borderId="50" xfId="0" applyNumberFormat="1" applyFont="1" applyFill="1" applyBorder="1" applyAlignment="1" applyProtection="1">
      <alignment horizontal="center" vertical="center"/>
      <protection locked="0"/>
    </xf>
    <xf numFmtId="1" fontId="63" fillId="19" borderId="49" xfId="0" applyNumberFormat="1" applyFont="1" applyFill="1" applyBorder="1" applyAlignment="1" applyProtection="1">
      <alignment horizontal="center" vertical="center"/>
      <protection locked="0"/>
    </xf>
    <xf numFmtId="1" fontId="63" fillId="19" borderId="108" xfId="0" applyNumberFormat="1" applyFont="1" applyFill="1" applyBorder="1" applyAlignment="1" applyProtection="1">
      <alignment horizontal="center" vertical="center"/>
      <protection locked="0"/>
    </xf>
    <xf numFmtId="1" fontId="63" fillId="18" borderId="109"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3" fillId="0" borderId="167" xfId="0" applyNumberFormat="1" applyFont="1" applyFill="1" applyBorder="1" applyAlignment="1" applyProtection="1">
      <alignment horizontal="center" vertical="center"/>
      <protection locked="0"/>
    </xf>
    <xf numFmtId="1" fontId="60" fillId="12" borderId="104"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1" fontId="63" fillId="19" borderId="105" xfId="0" applyNumberFormat="1" applyFont="1" applyFill="1" applyBorder="1" applyAlignment="1" applyProtection="1">
      <alignment horizontal="center" vertical="center"/>
      <protection locked="0"/>
    </xf>
    <xf numFmtId="1" fontId="63" fillId="19" borderId="166" xfId="0" applyNumberFormat="1" applyFont="1" applyFill="1" applyBorder="1" applyAlignment="1" applyProtection="1">
      <alignment horizontal="center" vertical="center"/>
      <protection locked="0"/>
    </xf>
    <xf numFmtId="1" fontId="55" fillId="12" borderId="110" xfId="0" applyNumberFormat="1" applyFont="1" applyFill="1" applyBorder="1" applyAlignment="1">
      <alignment vertical="center"/>
    </xf>
    <xf numFmtId="1" fontId="60" fillId="19" borderId="111" xfId="0" applyNumberFormat="1" applyFont="1" applyFill="1" applyBorder="1" applyAlignment="1" applyProtection="1">
      <alignment horizontal="center" vertical="center"/>
      <protection locked="0"/>
    </xf>
    <xf numFmtId="1" fontId="60" fillId="19" borderId="70" xfId="0" applyNumberFormat="1" applyFont="1" applyFill="1" applyBorder="1" applyAlignment="1" applyProtection="1">
      <alignment horizontal="center" vertical="center"/>
      <protection locked="0"/>
    </xf>
    <xf numFmtId="1" fontId="60" fillId="19" borderId="112"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8"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8"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8" borderId="60" xfId="0" applyNumberFormat="1" applyFont="1" applyFill="1" applyBorder="1" applyAlignment="1">
      <alignment horizontal="center" vertical="center"/>
    </xf>
    <xf numFmtId="1" fontId="60" fillId="18" borderId="61"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7" xfId="0" applyNumberFormat="1" applyFont="1" applyFill="1" applyBorder="1" applyAlignment="1">
      <alignment horizontal="center" vertical="center"/>
    </xf>
    <xf numFmtId="1" fontId="60" fillId="18" borderId="162" xfId="0" applyNumberFormat="1" applyFont="1" applyFill="1" applyBorder="1" applyAlignment="1">
      <alignment horizontal="center" vertical="center"/>
    </xf>
    <xf numFmtId="1" fontId="60" fillId="18" borderId="51"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19" borderId="164" xfId="0" applyNumberFormat="1" applyFont="1" applyFill="1" applyBorder="1" applyAlignment="1" applyProtection="1">
      <alignment horizontal="center" vertical="center"/>
      <protection locked="0"/>
    </xf>
    <xf numFmtId="1" fontId="63" fillId="19" borderId="87" xfId="0" applyNumberFormat="1" applyFont="1" applyFill="1" applyBorder="1" applyAlignment="1" applyProtection="1">
      <alignment horizontal="center" vertical="center"/>
      <protection locked="0"/>
    </xf>
    <xf numFmtId="1" fontId="63" fillId="19" borderId="165" xfId="0" applyNumberFormat="1" applyFont="1" applyFill="1" applyBorder="1" applyAlignment="1" applyProtection="1">
      <alignment horizontal="center" vertical="center"/>
      <protection locked="0"/>
    </xf>
    <xf numFmtId="1" fontId="60" fillId="18" borderId="63" xfId="0" applyNumberFormat="1" applyFont="1" applyFill="1" applyBorder="1" applyAlignment="1">
      <alignment horizontal="center" vertical="center"/>
    </xf>
    <xf numFmtId="1" fontId="60" fillId="12" borderId="163" xfId="0" applyNumberFormat="1" applyFont="1" applyFill="1" applyBorder="1" applyAlignment="1"/>
    <xf numFmtId="1" fontId="61" fillId="18" borderId="54" xfId="0" applyNumberFormat="1" applyFont="1" applyFill="1" applyBorder="1" applyAlignment="1">
      <alignment vertical="center"/>
    </xf>
    <xf numFmtId="1" fontId="60" fillId="18" borderId="65"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4" xfId="0" applyNumberFormat="1" applyFont="1" applyFill="1" applyBorder="1" applyAlignment="1" applyProtection="1">
      <alignment horizontal="center" vertical="center"/>
      <protection locked="0"/>
    </xf>
    <xf numFmtId="1" fontId="60" fillId="19" borderId="75" xfId="0" applyNumberFormat="1" applyFont="1" applyFill="1" applyBorder="1" applyAlignment="1" applyProtection="1">
      <alignment horizontal="center" vertical="center"/>
      <protection locked="0"/>
    </xf>
    <xf numFmtId="1" fontId="60" fillId="19" borderId="168" xfId="0" applyNumberFormat="1" applyFont="1" applyFill="1" applyBorder="1" applyAlignment="1" applyProtection="1">
      <alignment horizontal="center" vertical="center"/>
      <protection locked="0"/>
    </xf>
    <xf numFmtId="1" fontId="60" fillId="19" borderId="169"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58" fillId="0" borderId="0" xfId="0" applyNumberFormat="1" applyFont="1" applyAlignment="1">
      <alignment horizontal="center"/>
    </xf>
    <xf numFmtId="1" fontId="60" fillId="12" borderId="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74"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57" xfId="0" applyNumberFormat="1" applyFont="1" applyFill="1" applyBorder="1" applyAlignment="1">
      <alignment horizontal="center" vertical="center" wrapText="1"/>
    </xf>
    <xf numFmtId="1" fontId="60" fillId="12" borderId="75"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70" fillId="0" borderId="78" xfId="0" applyNumberFormat="1" applyFont="1" applyFill="1" applyBorder="1" applyAlignment="1">
      <alignment horizontal="center"/>
    </xf>
    <xf numFmtId="1" fontId="60" fillId="0" borderId="12" xfId="0" applyNumberFormat="1" applyFont="1" applyFill="1" applyBorder="1" applyAlignment="1" applyProtection="1">
      <alignment horizontal="center" vertical="center"/>
      <protection locked="0"/>
    </xf>
    <xf numFmtId="1" fontId="11" fillId="21" borderId="57" xfId="0" applyNumberFormat="1" applyFont="1" applyFill="1" applyBorder="1" applyAlignment="1">
      <alignment horizontal="center" vertical="center"/>
    </xf>
    <xf numFmtId="1" fontId="60" fillId="0" borderId="47" xfId="0" applyNumberFormat="1" applyFont="1" applyFill="1" applyBorder="1" applyAlignment="1">
      <alignment horizont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6"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7" xfId="0" applyNumberFormat="1" applyFont="1" applyBorder="1" applyAlignment="1">
      <alignment horizontal="justify"/>
    </xf>
    <xf numFmtId="1" fontId="60" fillId="0" borderId="0" xfId="0" applyNumberFormat="1" applyFont="1" applyBorder="1" applyAlignment="1">
      <alignment horizontal="center"/>
    </xf>
    <xf numFmtId="1" fontId="11" fillId="0" borderId="57" xfId="0" applyNumberFormat="1" applyFont="1" applyBorder="1" applyAlignment="1">
      <alignment horizontal="center"/>
    </xf>
    <xf numFmtId="1" fontId="11" fillId="0" borderId="57"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52" fillId="0" borderId="0" xfId="0" applyNumberFormat="1" applyFont="1" applyFill="1" applyBorder="1" applyAlignment="1">
      <alignment horizontal="center" vertical="top" wrapText="1"/>
    </xf>
    <xf numFmtId="1" fontId="60" fillId="12" borderId="3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88" xfId="0" applyNumberFormat="1" applyFont="1" applyFill="1" applyBorder="1" applyAlignment="1">
      <alignment horizontal="center" vertical="center" wrapText="1"/>
    </xf>
    <xf numFmtId="1" fontId="70" fillId="0" borderId="78" xfId="0" applyNumberFormat="1" applyFont="1" applyBorder="1" applyAlignment="1">
      <alignment horizontal="center" vertical="center"/>
    </xf>
    <xf numFmtId="1" fontId="60" fillId="0" borderId="78"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52" fillId="0" borderId="0" xfId="0" applyNumberFormat="1" applyFont="1" applyBorder="1" applyAlignment="1">
      <alignment horizontal="center" vertical="center" wrapText="1"/>
    </xf>
    <xf numFmtId="1" fontId="60" fillId="0" borderId="35" xfId="0" applyNumberFormat="1" applyFont="1" applyFill="1" applyBorder="1" applyAlignment="1">
      <alignment horizontal="center" vertical="center"/>
    </xf>
    <xf numFmtId="1" fontId="73" fillId="0" borderId="57" xfId="0" applyNumberFormat="1" applyFont="1" applyBorder="1" applyAlignment="1">
      <alignment horizontal="justify"/>
    </xf>
    <xf numFmtId="1" fontId="73" fillId="0" borderId="57" xfId="0" applyNumberFormat="1" applyFont="1" applyBorder="1" applyAlignment="1">
      <alignment horizontal="center"/>
    </xf>
    <xf numFmtId="1" fontId="60" fillId="0" borderId="57" xfId="0" applyNumberFormat="1" applyFont="1" applyBorder="1" applyAlignment="1">
      <alignment horizontal="center"/>
    </xf>
    <xf numFmtId="1" fontId="30" fillId="0" borderId="57" xfId="0" applyNumberFormat="1" applyFont="1" applyBorder="1" applyAlignment="1">
      <alignment horizontal="center"/>
    </xf>
    <xf numFmtId="0" fontId="0" fillId="0" borderId="0" xfId="0" applyNumberFormat="1" applyFill="1" applyBorder="1"/>
    <xf numFmtId="1" fontId="63" fillId="0" borderId="85" xfId="0" applyNumberFormat="1" applyFont="1" applyFill="1" applyBorder="1" applyAlignment="1" applyProtection="1">
      <alignment horizontal="center" vertical="center"/>
      <protection locked="0"/>
    </xf>
    <xf numFmtId="1" fontId="63" fillId="0" borderId="15" xfId="0" applyNumberFormat="1" applyFont="1" applyFill="1" applyBorder="1" applyAlignment="1" applyProtection="1">
      <alignment horizontal="center" vertical="center"/>
      <protection locked="0"/>
    </xf>
    <xf numFmtId="1" fontId="63" fillId="0" borderId="55" xfId="0" applyNumberFormat="1" applyFont="1" applyFill="1" applyBorder="1" applyAlignment="1" applyProtection="1">
      <alignment horizontal="center" vertical="center"/>
      <protection locked="0"/>
    </xf>
    <xf numFmtId="1" fontId="63" fillId="0" borderId="101"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40"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50" applyAlignment="1" applyProtection="1">
      <alignment vertical="center"/>
    </xf>
    <xf numFmtId="179" fontId="0" fillId="0" borderId="0" xfId="0" applyNumberFormat="1"/>
    <xf numFmtId="4" fontId="25" fillId="0" borderId="0" xfId="0" applyNumberFormat="1" applyFont="1" applyBorder="1"/>
    <xf numFmtId="2" fontId="63" fillId="19" borderId="56"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7" xfId="0" applyNumberFormat="1" applyFont="1" applyFill="1" applyBorder="1" applyAlignment="1">
      <alignment horizontal="left" vertical="center" wrapText="1"/>
    </xf>
    <xf numFmtId="1" fontId="60" fillId="12" borderId="73"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172" fontId="105" fillId="0" borderId="0" xfId="0" applyFont="1"/>
    <xf numFmtId="0" fontId="25" fillId="24" borderId="0" xfId="0" quotePrefix="1" applyNumberFormat="1" applyFont="1" applyFill="1" applyAlignment="1">
      <alignment horizontal="left"/>
    </xf>
    <xf numFmtId="3" fontId="55" fillId="12" borderId="53"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73" xfId="0" applyNumberFormat="1" applyFont="1" applyFill="1" applyBorder="1" applyAlignment="1">
      <alignment horizontal="center" vertical="center" wrapText="1"/>
    </xf>
    <xf numFmtId="1" fontId="61" fillId="18" borderId="53" xfId="0" applyNumberFormat="1" applyFont="1" applyFill="1" applyBorder="1" applyAlignment="1">
      <alignment vertical="center"/>
    </xf>
    <xf numFmtId="1" fontId="55" fillId="12" borderId="71" xfId="0" applyNumberFormat="1" applyFont="1" applyFill="1" applyBorder="1" applyAlignment="1">
      <alignment vertical="center"/>
    </xf>
    <xf numFmtId="1" fontId="63" fillId="0" borderId="14" xfId="0" applyNumberFormat="1" applyFont="1" applyFill="1" applyBorder="1" applyAlignment="1"/>
    <xf numFmtId="1" fontId="60" fillId="12" borderId="87"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80" xfId="0" applyNumberFormat="1" applyFont="1" applyFill="1" applyBorder="1" applyAlignment="1"/>
    <xf numFmtId="1" fontId="63" fillId="0" borderId="92" xfId="0" applyNumberFormat="1" applyFont="1" applyFill="1" applyBorder="1" applyAlignment="1">
      <alignment vertical="center"/>
    </xf>
    <xf numFmtId="1" fontId="63" fillId="0" borderId="92" xfId="0" applyNumberFormat="1" applyFont="1" applyFill="1" applyBorder="1" applyAlignment="1">
      <alignment vertical="center" wrapText="1"/>
    </xf>
    <xf numFmtId="1" fontId="61" fillId="18" borderId="103" xfId="0" applyNumberFormat="1" applyFont="1" applyFill="1" applyBorder="1" applyAlignment="1">
      <alignment vertical="center"/>
    </xf>
    <xf numFmtId="1" fontId="63" fillId="19" borderId="75"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74"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97" xfId="0" applyNumberFormat="1" applyFont="1" applyFill="1" applyBorder="1" applyAlignment="1">
      <alignment vertical="center"/>
    </xf>
    <xf numFmtId="1" fontId="63" fillId="0" borderId="55" xfId="0" applyNumberFormat="1" applyFont="1" applyFill="1" applyBorder="1" applyAlignment="1">
      <alignment vertical="center"/>
    </xf>
    <xf numFmtId="1" fontId="63" fillId="0" borderId="176" xfId="0" applyNumberFormat="1" applyFont="1" applyFill="1" applyBorder="1" applyAlignment="1">
      <alignment vertical="center"/>
    </xf>
    <xf numFmtId="1" fontId="55" fillId="12" borderId="57"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2" xfId="0" applyNumberFormat="1" applyFont="1" applyFill="1" applyBorder="1" applyAlignment="1"/>
    <xf numFmtId="1" fontId="60" fillId="12" borderId="19" xfId="0" applyNumberFormat="1" applyFont="1" applyFill="1" applyBorder="1" applyAlignment="1"/>
    <xf numFmtId="1" fontId="61" fillId="18" borderId="52" xfId="0" applyNumberFormat="1" applyFont="1" applyFill="1" applyBorder="1" applyAlignment="1">
      <alignment vertical="center"/>
    </xf>
    <xf numFmtId="1" fontId="63" fillId="0" borderId="66" xfId="0" applyNumberFormat="1" applyFont="1" applyFill="1" applyBorder="1" applyAlignment="1"/>
    <xf numFmtId="1" fontId="63" fillId="20" borderId="82" xfId="0" applyNumberFormat="1" applyFont="1" applyFill="1" applyBorder="1" applyAlignment="1">
      <alignment vertical="center"/>
    </xf>
    <xf numFmtId="1" fontId="63" fillId="0" borderId="82" xfId="0" applyNumberFormat="1" applyFont="1" applyFill="1" applyBorder="1" applyAlignment="1">
      <alignment vertical="center"/>
    </xf>
    <xf numFmtId="1" fontId="60" fillId="0" borderId="25" xfId="0" applyNumberFormat="1" applyFont="1" applyBorder="1" applyAlignment="1">
      <alignment wrapText="1"/>
    </xf>
    <xf numFmtId="1" fontId="63" fillId="0" borderId="177" xfId="0" applyNumberFormat="1" applyFont="1" applyFill="1" applyBorder="1" applyAlignment="1"/>
    <xf numFmtId="1" fontId="63" fillId="0" borderId="177" xfId="0" applyNumberFormat="1" applyFont="1" applyFill="1" applyBorder="1" applyAlignment="1">
      <alignment vertical="center" wrapText="1"/>
    </xf>
    <xf numFmtId="1" fontId="63" fillId="0" borderId="94" xfId="0" applyNumberFormat="1" applyFont="1" applyFill="1" applyBorder="1" applyAlignment="1">
      <alignment vertical="center"/>
    </xf>
    <xf numFmtId="1" fontId="61" fillId="18" borderId="158" xfId="0" applyNumberFormat="1" applyFont="1" applyFill="1" applyBorder="1" applyAlignment="1"/>
    <xf numFmtId="1" fontId="61" fillId="18" borderId="178" xfId="0" applyNumberFormat="1" applyFont="1" applyFill="1" applyBorder="1" applyAlignment="1"/>
    <xf numFmtId="1" fontId="61" fillId="18" borderId="102" xfId="0" applyNumberFormat="1" applyFont="1" applyFill="1" applyBorder="1" applyAlignment="1">
      <alignment vertical="center"/>
    </xf>
    <xf numFmtId="1" fontId="63" fillId="0" borderId="179" xfId="0" applyNumberFormat="1" applyFont="1" applyFill="1" applyBorder="1" applyAlignment="1"/>
    <xf numFmtId="1" fontId="60" fillId="12" borderId="16" xfId="0" applyNumberFormat="1" applyFont="1" applyFill="1" applyBorder="1" applyAlignment="1"/>
    <xf numFmtId="1" fontId="63" fillId="0" borderId="95" xfId="0" applyNumberFormat="1" applyFont="1" applyFill="1" applyBorder="1" applyAlignment="1"/>
    <xf numFmtId="1" fontId="63" fillId="0" borderId="180" xfId="0" applyNumberFormat="1" applyFont="1" applyFill="1" applyBorder="1" applyAlignment="1">
      <alignment vertical="center"/>
    </xf>
    <xf numFmtId="1" fontId="67" fillId="0" borderId="48" xfId="0" applyNumberFormat="1" applyFont="1" applyFill="1" applyBorder="1" applyAlignment="1" applyProtection="1">
      <protection locked="0"/>
    </xf>
    <xf numFmtId="1" fontId="67" fillId="0" borderId="62" xfId="0" applyNumberFormat="1" applyFont="1" applyFill="1" applyBorder="1" applyAlignment="1" applyProtection="1">
      <protection locked="0"/>
    </xf>
    <xf numFmtId="1" fontId="63" fillId="0" borderId="181" xfId="0" applyNumberFormat="1" applyFont="1" applyFill="1" applyBorder="1" applyAlignment="1"/>
    <xf numFmtId="1" fontId="63" fillId="20" borderId="46" xfId="0" applyNumberFormat="1" applyFont="1" applyFill="1" applyBorder="1" applyAlignment="1">
      <alignment vertical="center"/>
    </xf>
    <xf numFmtId="1" fontId="55" fillId="12" borderId="105" xfId="0" applyNumberFormat="1" applyFont="1" applyFill="1" applyBorder="1" applyAlignment="1"/>
    <xf numFmtId="1" fontId="55" fillId="12" borderId="106" xfId="0" applyNumberFormat="1" applyFont="1" applyFill="1" applyBorder="1" applyAlignment="1"/>
    <xf numFmtId="1" fontId="70" fillId="0" borderId="182" xfId="0" applyNumberFormat="1" applyFont="1" applyFill="1" applyBorder="1" applyAlignment="1">
      <alignment horizontal="center"/>
    </xf>
    <xf numFmtId="1" fontId="60" fillId="12" borderId="58"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7" xfId="0" applyNumberFormat="1" applyFont="1" applyFill="1" applyBorder="1" applyAlignment="1" applyProtection="1">
      <alignment horizontal="center" vertical="center"/>
      <protection locked="0"/>
    </xf>
    <xf numFmtId="1" fontId="63" fillId="19" borderId="44" xfId="0" applyNumberFormat="1" applyFont="1" applyFill="1" applyBorder="1" applyAlignment="1" applyProtection="1">
      <alignment horizontal="center" vertical="center"/>
      <protection locked="0"/>
    </xf>
    <xf numFmtId="1" fontId="63" fillId="19" borderId="4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3" fillId="0" borderId="176" xfId="0" applyNumberFormat="1" applyFont="1" applyFill="1" applyBorder="1" applyAlignment="1" applyProtection="1">
      <alignment horizontal="center" vertical="center"/>
      <protection locked="0"/>
    </xf>
    <xf numFmtId="1" fontId="60" fillId="0" borderId="183"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8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84" xfId="0" applyNumberFormat="1" applyFont="1" applyFill="1" applyBorder="1" applyAlignment="1">
      <alignment horizontal="center" vertical="center" wrapText="1"/>
    </xf>
    <xf numFmtId="1" fontId="60" fillId="12" borderId="185"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60" fillId="0" borderId="186" xfId="0" applyNumberFormat="1" applyFont="1" applyFill="1" applyBorder="1" applyAlignment="1" applyProtection="1">
      <alignment horizontal="center" vertical="center"/>
      <protection locked="0"/>
    </xf>
    <xf numFmtId="1" fontId="60" fillId="19" borderId="58" xfId="0" applyNumberFormat="1" applyFont="1" applyFill="1" applyBorder="1" applyAlignment="1" applyProtection="1">
      <alignment horizontal="center" vertical="center"/>
      <protection locked="0"/>
    </xf>
    <xf numFmtId="170" fontId="8" fillId="0" borderId="148" xfId="4" applyNumberFormat="1" applyFont="1" applyBorder="1" applyAlignment="1">
      <alignment horizontal="center"/>
    </xf>
    <xf numFmtId="170" fontId="8" fillId="0" borderId="149" xfId="4" applyNumberFormat="1" applyFont="1" applyBorder="1" applyAlignment="1">
      <alignment horizontal="center"/>
    </xf>
    <xf numFmtId="170" fontId="15" fillId="0" borderId="148" xfId="4" applyNumberFormat="1" applyFont="1" applyBorder="1" applyAlignment="1">
      <alignment horizontal="center"/>
    </xf>
    <xf numFmtId="174" fontId="8" fillId="0" borderId="146" xfId="4" applyNumberFormat="1" applyFont="1" applyBorder="1" applyAlignment="1">
      <alignment horizontal="center"/>
    </xf>
    <xf numFmtId="174" fontId="8" fillId="0" borderId="151" xfId="4" applyNumberFormat="1" applyFont="1" applyBorder="1" applyAlignment="1">
      <alignment horizontal="center"/>
    </xf>
    <xf numFmtId="174" fontId="15" fillId="0" borderId="146"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4" xfId="4" applyNumberFormat="1" applyFill="1" applyBorder="1" applyAlignment="1">
      <alignment horizontal="center"/>
    </xf>
    <xf numFmtId="170" fontId="8" fillId="0" borderId="153" xfId="4" applyNumberFormat="1" applyFont="1" applyBorder="1" applyAlignment="1">
      <alignment horizontal="center"/>
    </xf>
    <xf numFmtId="170" fontId="16" fillId="2" borderId="124" xfId="4" applyNumberFormat="1" applyFont="1" applyFill="1" applyBorder="1" applyAlignment="1">
      <alignment horizontal="center"/>
    </xf>
    <xf numFmtId="170" fontId="8" fillId="0" borderId="146" xfId="4" applyNumberFormat="1" applyFont="1" applyBorder="1" applyAlignment="1">
      <alignment horizontal="center"/>
    </xf>
    <xf numFmtId="170" fontId="8" fillId="0" borderId="151" xfId="4" applyNumberFormat="1" applyFont="1" applyBorder="1" applyAlignment="1">
      <alignment horizontal="center"/>
    </xf>
    <xf numFmtId="170" fontId="15"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8"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72" fontId="107" fillId="0" borderId="0" xfId="150" applyFont="1" applyAlignment="1" applyProtection="1"/>
    <xf numFmtId="0" fontId="25" fillId="4" borderId="0" xfId="0" applyNumberFormat="1" applyFont="1" applyFill="1"/>
    <xf numFmtId="0" fontId="106"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2"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8" fillId="0" borderId="0" xfId="161" applyNumberFormat="1"/>
    <xf numFmtId="14" fontId="0" fillId="0" borderId="0" xfId="0" applyNumberFormat="1" applyFill="1"/>
    <xf numFmtId="172" fontId="74"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2" fillId="0" borderId="0" xfId="0" applyNumberFormat="1" applyFont="1" applyFill="1"/>
    <xf numFmtId="172" fontId="25" fillId="0" borderId="5" xfId="4" applyFont="1" applyFill="1" applyBorder="1" applyAlignment="1">
      <alignment horizontal="left" vertical="top" wrapText="1"/>
    </xf>
    <xf numFmtId="0" fontId="74" fillId="0" borderId="21" xfId="150" quotePrefix="1" applyNumberFormat="1" applyBorder="1" applyAlignment="1" applyProtection="1">
      <alignment vertical="top"/>
    </xf>
    <xf numFmtId="172" fontId="7" fillId="0" borderId="156" xfId="0" applyFont="1" applyFill="1" applyBorder="1" applyAlignment="1">
      <alignment horizontal="left"/>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4" xfId="0" applyFont="1" applyFill="1" applyBorder="1"/>
    <xf numFmtId="172" fontId="6"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4" fillId="0" borderId="0" xfId="150" applyNumberFormat="1" applyFill="1" applyAlignment="1" applyProtection="1"/>
    <xf numFmtId="14" fontId="74"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4" xfId="0" applyFont="1" applyFill="1" applyBorder="1"/>
    <xf numFmtId="3" fontId="25" fillId="0" borderId="62" xfId="0" applyNumberFormat="1" applyFont="1" applyFill="1" applyBorder="1" applyAlignment="1">
      <alignment horizontal="left"/>
    </xf>
    <xf numFmtId="172" fontId="25" fillId="0" borderId="18" xfId="0" applyFont="1" applyFill="1" applyBorder="1" applyAlignment="1">
      <alignment horizontal="left"/>
    </xf>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4" fillId="0" borderId="0" xfId="150" applyAlignment="1" applyProtection="1"/>
    <xf numFmtId="0" fontId="25" fillId="24" borderId="0" xfId="176" applyNumberFormat="1" applyFont="1" applyFill="1"/>
    <xf numFmtId="17" fontId="25" fillId="24" borderId="0" xfId="176" quotePrefix="1" applyNumberFormat="1" applyFont="1" applyFill="1"/>
    <xf numFmtId="0" fontId="25" fillId="24" borderId="0" xfId="176" applyNumberFormat="1" applyFont="1" applyFill="1" applyAlignment="1"/>
    <xf numFmtId="0" fontId="25" fillId="25" borderId="0" xfId="176" applyNumberFormat="1" applyFont="1" applyFill="1"/>
    <xf numFmtId="0" fontId="25" fillId="4" borderId="0" xfId="176" applyNumberFormat="1" applyFont="1" applyFill="1"/>
    <xf numFmtId="0" fontId="6" fillId="4" borderId="0" xfId="176" applyNumberFormat="1" applyFill="1"/>
    <xf numFmtId="0" fontId="25" fillId="24" borderId="0" xfId="176" quotePrefix="1" applyNumberFormat="1" applyFont="1" applyFill="1" applyAlignment="1">
      <alignment horizontal="left"/>
    </xf>
    <xf numFmtId="0" fontId="6" fillId="25" borderId="0" xfId="176" applyNumberFormat="1" applyFill="1"/>
    <xf numFmtId="0" fontId="6" fillId="24" borderId="0" xfId="176" applyNumberFormat="1" applyFill="1"/>
    <xf numFmtId="17" fontId="6" fillId="24" borderId="0" xfId="176" quotePrefix="1" applyNumberFormat="1" applyFill="1"/>
    <xf numFmtId="0" fontId="0" fillId="4" borderId="0" xfId="176" applyNumberFormat="1" applyFont="1" applyFill="1"/>
    <xf numFmtId="172" fontId="74" fillId="0" borderId="0" xfId="150" quotePrefix="1" applyAlignment="1" applyProtection="1"/>
    <xf numFmtId="172" fontId="25" fillId="0" borderId="0" xfId="0" applyFont="1" applyBorder="1"/>
    <xf numFmtId="177" fontId="0" fillId="0" borderId="0" xfId="0" applyNumberFormat="1" applyBorder="1"/>
    <xf numFmtId="3" fontId="111" fillId="12" borderId="193" xfId="0" applyNumberFormat="1" applyFont="1" applyFill="1" applyBorder="1" applyAlignment="1">
      <alignment horizontal="center" vertical="center" wrapText="1"/>
    </xf>
    <xf numFmtId="3" fontId="24" fillId="0" borderId="0" xfId="0" applyNumberFormat="1" applyFont="1"/>
    <xf numFmtId="3" fontId="111" fillId="12" borderId="191" xfId="0" applyNumberFormat="1" applyFont="1" applyFill="1" applyBorder="1" applyAlignment="1">
      <alignment horizontal="center" vertical="center" wrapText="1"/>
    </xf>
    <xf numFmtId="3" fontId="24" fillId="0" borderId="194" xfId="0" applyNumberFormat="1" applyFont="1" applyBorder="1" applyAlignment="1">
      <alignment horizontal="left" vertical="top"/>
    </xf>
    <xf numFmtId="3" fontId="25"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5" fillId="30" borderId="195" xfId="0" applyNumberFormat="1" applyFont="1" applyFill="1" applyBorder="1" applyAlignment="1">
      <alignment horizontal="left" vertical="top" wrapText="1"/>
    </xf>
    <xf numFmtId="3" fontId="25"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4" fillId="0" borderId="188" xfId="0" applyNumberFormat="1" applyFont="1" applyBorder="1" applyAlignment="1">
      <alignment horizontal="left" vertical="top"/>
    </xf>
    <xf numFmtId="3" fontId="25"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5" fillId="30" borderId="189" xfId="0" applyNumberFormat="1" applyFont="1" applyFill="1" applyBorder="1" applyAlignment="1">
      <alignment horizontal="left" vertical="top" wrapText="1"/>
    </xf>
    <xf numFmtId="3" fontId="25"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5"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5" fillId="0" borderId="189" xfId="0" applyNumberFormat="1" applyFont="1" applyBorder="1" applyAlignment="1">
      <alignment horizontal="left" vertical="top" wrapText="1"/>
    </xf>
    <xf numFmtId="3" fontId="25"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2" fillId="0" borderId="188" xfId="0" applyNumberFormat="1" applyFont="1" applyBorder="1" applyAlignment="1">
      <alignment horizontal="left" vertical="top"/>
    </xf>
    <xf numFmtId="3" fontId="25" fillId="0" borderId="190"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4"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3" fillId="0" borderId="201" xfId="0" applyNumberFormat="1" applyFont="1" applyBorder="1"/>
    <xf numFmtId="3" fontId="8" fillId="0" borderId="192" xfId="0" applyNumberFormat="1" applyFont="1" applyBorder="1"/>
    <xf numFmtId="3" fontId="8" fillId="0" borderId="202" xfId="0" applyNumberFormat="1" applyFont="1" applyBorder="1"/>
    <xf numFmtId="3" fontId="8" fillId="0" borderId="193" xfId="0" applyNumberFormat="1" applyFont="1" applyBorder="1"/>
    <xf numFmtId="3" fontId="8" fillId="0" borderId="191" xfId="0" applyNumberFormat="1" applyFont="1" applyBorder="1"/>
    <xf numFmtId="3" fontId="0" fillId="0" borderId="203"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7" fillId="12" borderId="87"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3"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75" xfId="0" applyNumberFormat="1" applyFont="1" applyFill="1" applyBorder="1" applyAlignment="1">
      <alignment horizontal="center" vertical="center" wrapText="1"/>
    </xf>
    <xf numFmtId="3" fontId="55" fillId="12" borderId="105" xfId="0" applyNumberFormat="1" applyFont="1" applyFill="1" applyBorder="1" applyAlignment="1">
      <alignment horizontal="center" vertical="top" wrapText="1"/>
    </xf>
    <xf numFmtId="3" fontId="55" fillId="12" borderId="106" xfId="0" applyNumberFormat="1" applyFont="1" applyFill="1" applyBorder="1" applyAlignment="1">
      <alignment horizontal="center" vertical="top" wrapText="1"/>
    </xf>
    <xf numFmtId="3" fontId="55" fillId="12" borderId="76"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9" xfId="0" applyNumberFormat="1" applyFont="1" applyFill="1" applyBorder="1" applyAlignment="1">
      <alignment horizontal="center" vertical="center" wrapText="1"/>
    </xf>
    <xf numFmtId="3" fontId="60" fillId="12" borderId="160" xfId="0" applyNumberFormat="1" applyFont="1" applyFill="1" applyBorder="1" applyAlignment="1">
      <alignment horizontal="center" vertical="center" wrapText="1"/>
    </xf>
    <xf numFmtId="3" fontId="62" fillId="18" borderId="43" xfId="0" applyNumberFormat="1" applyFont="1" applyFill="1" applyBorder="1" applyAlignment="1">
      <alignment horizontal="center" vertical="center"/>
    </xf>
    <xf numFmtId="1" fontId="63" fillId="18" borderId="53" xfId="0" applyNumberFormat="1" applyFont="1" applyFill="1" applyBorder="1" applyAlignment="1">
      <alignment horizontal="center" vertical="center"/>
    </xf>
    <xf numFmtId="1" fontId="30"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7"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7"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11" fillId="21" borderId="57"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12" xfId="0" applyNumberFormat="1" applyFont="1" applyFill="1" applyBorder="1" applyAlignment="1">
      <alignment horizontal="center" vertical="center"/>
    </xf>
    <xf numFmtId="1" fontId="60" fillId="21" borderId="57"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12"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11" fillId="21" borderId="81" xfId="0" applyNumberFormat="1" applyFont="1" applyFill="1" applyBorder="1" applyAlignment="1">
      <alignment horizontal="center" vertical="center"/>
    </xf>
    <xf numFmtId="1" fontId="11" fillId="21" borderId="83"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7"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1" fontId="60" fillId="12" borderId="31"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2"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55" fillId="12" borderId="72"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73" xfId="0" applyNumberFormat="1" applyFont="1" applyFill="1" applyBorder="1" applyAlignment="1">
      <alignment horizontal="center" vertical="center" wrapText="1"/>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33" xfId="0" applyNumberFormat="1" applyFont="1" applyFill="1" applyBorder="1" applyAlignment="1">
      <alignment horizontal="center" vertical="center"/>
    </xf>
    <xf numFmtId="1" fontId="60" fillId="12" borderId="64" xfId="0" applyNumberFormat="1" applyFont="1" applyFill="1" applyBorder="1" applyAlignment="1">
      <alignment horizontal="center" vertical="center" wrapText="1"/>
    </xf>
    <xf numFmtId="1" fontId="60" fillId="12" borderId="77" xfId="0" applyNumberFormat="1" applyFont="1" applyFill="1" applyBorder="1" applyAlignment="1">
      <alignment horizontal="center" vertical="center" wrapText="1"/>
    </xf>
    <xf numFmtId="1" fontId="11" fillId="21" borderId="29" xfId="0" applyNumberFormat="1" applyFont="1" applyFill="1" applyBorder="1" applyAlignment="1">
      <alignment horizontal="center" vertical="center"/>
    </xf>
    <xf numFmtId="1" fontId="11" fillId="21" borderId="67" xfId="0" applyNumberFormat="1" applyFont="1" applyFill="1" applyBorder="1" applyAlignment="1">
      <alignment horizontal="center" vertical="center"/>
    </xf>
    <xf numFmtId="1" fontId="11" fillId="21" borderId="68"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7"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69" xfId="0" applyNumberFormat="1" applyFont="1" applyFill="1" applyBorder="1" applyAlignment="1">
      <alignment horizontal="center" vertical="center" wrapText="1"/>
    </xf>
    <xf numFmtId="1" fontId="60" fillId="12" borderId="67"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72" fillId="12" borderId="77"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1" fillId="12" borderId="191" xfId="0" applyNumberFormat="1" applyFont="1" applyFill="1" applyBorder="1" applyAlignment="1">
      <alignment horizontal="center" vertical="center" wrapText="1"/>
    </xf>
    <xf numFmtId="3" fontId="111" fillId="12" borderId="192" xfId="0" applyNumberFormat="1" applyFont="1" applyFill="1" applyBorder="1" applyAlignment="1">
      <alignment horizontal="center" vertical="top" wrapText="1"/>
    </xf>
    <xf numFmtId="3" fontId="111" fillId="12" borderId="193"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7"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94"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80" xfId="0" applyNumberFormat="1" applyFont="1" applyFill="1" applyBorder="1" applyAlignment="1" applyProtection="1">
      <alignment horizontal="right" vertical="center"/>
    </xf>
    <xf numFmtId="2" fontId="44" fillId="21" borderId="21" xfId="0" applyNumberFormat="1" applyFont="1" applyFill="1" applyBorder="1" applyAlignment="1" applyProtection="1">
      <alignment horizontal="right" vertical="center"/>
    </xf>
    <xf numFmtId="2" fontId="44" fillId="21" borderId="84" xfId="0" applyNumberFormat="1" applyFont="1" applyFill="1" applyBorder="1" applyAlignment="1" applyProtection="1">
      <alignment horizontal="right" vertical="center"/>
    </xf>
    <xf numFmtId="2" fontId="44" fillId="21" borderId="29" xfId="0" applyNumberFormat="1" applyFont="1" applyFill="1" applyBorder="1" applyAlignment="1" applyProtection="1">
      <alignment horizontal="right" vertical="center"/>
    </xf>
    <xf numFmtId="2" fontId="44" fillId="21" borderId="67" xfId="0" applyNumberFormat="1" applyFont="1" applyFill="1" applyBorder="1" applyAlignment="1" applyProtection="1">
      <alignment horizontal="right" vertical="center"/>
    </xf>
    <xf numFmtId="2" fontId="44" fillId="21" borderId="68" xfId="0" applyNumberFormat="1" applyFont="1" applyFill="1" applyBorder="1" applyAlignment="1" applyProtection="1">
      <alignment horizontal="right" vertical="center"/>
    </xf>
    <xf numFmtId="2" fontId="44" fillId="21" borderId="57" xfId="0" applyNumberFormat="1" applyFont="1" applyFill="1" applyBorder="1" applyAlignment="1" applyProtection="1">
      <alignment horizontal="right" vertical="center"/>
    </xf>
    <xf numFmtId="2" fontId="44" fillId="21" borderId="0" xfId="0" applyNumberFormat="1" applyFont="1" applyFill="1" applyBorder="1" applyAlignment="1" applyProtection="1">
      <alignment horizontal="right" vertical="center"/>
    </xf>
    <xf numFmtId="2" fontId="44" fillId="21" borderId="12" xfId="0" applyNumberFormat="1" applyFont="1" applyFill="1" applyBorder="1" applyAlignment="1" applyProtection="1">
      <alignment horizontal="right" vertical="center"/>
    </xf>
    <xf numFmtId="2" fontId="40" fillId="21" borderId="57" xfId="0" applyNumberFormat="1" applyFont="1" applyFill="1" applyBorder="1" applyAlignment="1" applyProtection="1">
      <alignment horizontal="right" vertical="center" wrapText="1"/>
    </xf>
    <xf numFmtId="2" fontId="40" fillId="21" borderId="0" xfId="0" applyNumberFormat="1" applyFont="1" applyFill="1" applyBorder="1" applyAlignment="1" applyProtection="1">
      <alignment horizontal="right" vertical="center" wrapText="1"/>
    </xf>
    <xf numFmtId="2" fontId="40" fillId="21" borderId="12" xfId="0" applyNumberFormat="1" applyFont="1" applyFill="1" applyBorder="1" applyAlignment="1" applyProtection="1">
      <alignment horizontal="right" vertical="center" wrapText="1"/>
    </xf>
    <xf numFmtId="2" fontId="44" fillId="21" borderId="79" xfId="0" applyNumberFormat="1" applyFont="1" applyFill="1" applyBorder="1" applyAlignment="1" applyProtection="1">
      <alignment horizontal="right" vertical="center"/>
    </xf>
    <xf numFmtId="2" fontId="44" fillId="21" borderId="81" xfId="0" applyNumberFormat="1" applyFont="1" applyFill="1" applyBorder="1" applyAlignment="1" applyProtection="1">
      <alignment horizontal="right" vertical="center"/>
    </xf>
    <xf numFmtId="2" fontId="44" fillId="21" borderId="83" xfId="0" applyNumberFormat="1" applyFont="1" applyFill="1" applyBorder="1" applyAlignment="1" applyProtection="1">
      <alignment horizontal="right" vertical="center"/>
    </xf>
    <xf numFmtId="0" fontId="40" fillId="12" borderId="64" xfId="0" applyNumberFormat="1" applyFont="1" applyFill="1" applyBorder="1" applyAlignment="1" applyProtection="1">
      <alignment horizontal="center" vertical="center" wrapText="1"/>
    </xf>
    <xf numFmtId="0" fontId="40" fillId="12" borderId="7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73"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39" fillId="12" borderId="70" xfId="0" applyNumberFormat="1" applyFont="1" applyFill="1" applyBorder="1" applyAlignment="1" applyProtection="1">
      <alignment horizontal="center" vertical="center"/>
    </xf>
    <xf numFmtId="0" fontId="39" fillId="12" borderId="71" xfId="0" applyNumberFormat="1" applyFont="1" applyFill="1" applyBorder="1" applyAlignment="1" applyProtection="1">
      <alignment horizontal="center" vertical="center"/>
    </xf>
    <xf numFmtId="0" fontId="39" fillId="12" borderId="72" xfId="0" applyNumberFormat="1" applyFont="1" applyFill="1" applyBorder="1" applyAlignment="1" applyProtection="1">
      <alignment horizontal="center" vertical="center"/>
    </xf>
    <xf numFmtId="172" fontId="33" fillId="12" borderId="48" xfId="0" applyFont="1" applyFill="1" applyBorder="1" applyAlignment="1" applyProtection="1">
      <alignment horizontal="center" vertical="center" wrapText="1"/>
    </xf>
    <xf numFmtId="172" fontId="33" fillId="12" borderId="62"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9" xfId="0" applyNumberFormat="1" applyFont="1" applyFill="1" applyBorder="1" applyAlignment="1" applyProtection="1">
      <alignment horizontal="center" vertical="center" wrapText="1"/>
    </xf>
    <xf numFmtId="0" fontId="40" fillId="12" borderId="61"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2" fontId="44" fillId="21" borderId="45" xfId="0" applyNumberFormat="1" applyFont="1" applyFill="1" applyBorder="1" applyAlignment="1" applyProtection="1">
      <alignment horizontal="right" vertical="center"/>
    </xf>
    <xf numFmtId="2" fontId="44" fillId="21" borderId="34" xfId="0" applyNumberFormat="1" applyFont="1" applyFill="1" applyBorder="1" applyAlignment="1" applyProtection="1">
      <alignment horizontal="right" vertical="center"/>
    </xf>
    <xf numFmtId="2" fontId="44" fillId="21" borderId="33" xfId="0" applyNumberFormat="1"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wrapText="1"/>
    </xf>
    <xf numFmtId="0" fontId="40" fillId="12" borderId="67"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7"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60" xfId="0" applyNumberFormat="1" applyFont="1" applyFill="1" applyBorder="1" applyAlignment="1" applyProtection="1">
      <alignment horizontal="center" vertical="center" wrapText="1"/>
    </xf>
    <xf numFmtId="0" fontId="40" fillId="12" borderId="7"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6" fillId="12" borderId="77" xfId="0" applyNumberFormat="1" applyFont="1" applyFill="1" applyBorder="1" applyAlignment="1" applyProtection="1">
      <alignment horizontal="center" vertical="center" wrapText="1"/>
    </xf>
    <xf numFmtId="172" fontId="40" fillId="19" borderId="158"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2"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8"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4" fillId="0" borderId="67"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9"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5" xfId="0" applyFont="1" applyFill="1" applyBorder="1" applyAlignment="1" applyProtection="1">
      <alignment horizontal="right" vertical="center"/>
    </xf>
    <xf numFmtId="172" fontId="40" fillId="19" borderId="101"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87" fillId="0" borderId="0" xfId="162" applyFont="1" applyBorder="1"/>
    <xf numFmtId="0" fontId="47" fillId="23" borderId="128" xfId="188" applyNumberFormat="1" applyFont="1" applyFill="1" applyBorder="1" applyAlignment="1">
      <alignment horizontal="left"/>
    </xf>
    <xf numFmtId="3" fontId="25" fillId="0" borderId="114" xfId="3" applyNumberFormat="1" applyFont="1" applyBorder="1"/>
    <xf numFmtId="1" fontId="0" fillId="0" borderId="0" xfId="0" applyNumberFormat="1"/>
    <xf numFmtId="0" fontId="25" fillId="0" borderId="206" xfId="3" applyNumberFormat="1" applyFont="1" applyBorder="1"/>
    <xf numFmtId="0" fontId="0" fillId="0" borderId="206" xfId="0" applyNumberFormat="1" applyBorder="1"/>
    <xf numFmtId="0" fontId="6" fillId="0" borderId="0" xfId="175"/>
  </cellXfs>
  <cellStyles count="189">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1 3" xfId="178"/>
    <cellStyle name="Heading 2 2" xfId="163"/>
    <cellStyle name="Heading 3" xfId="2" builtinId="18"/>
    <cellStyle name="Heading 3 2" xfId="156"/>
    <cellStyle name="Heading 3 2 2" xfId="188"/>
    <cellStyle name="Heading 3 3" xfId="179"/>
    <cellStyle name="Heading 4" xfId="3" builtinId="19"/>
    <cellStyle name="Heading 4 2" xfId="157"/>
    <cellStyle name="Heading 4 3" xfId="180"/>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2 2 2" xfId="186"/>
    <cellStyle name="Input cel new 2 3" xfId="182"/>
    <cellStyle name="Input cel new 3" xfId="27"/>
    <cellStyle name="Input cel new 3 2" xfId="171"/>
    <cellStyle name="Input cel new 3 2 2" xfId="187"/>
    <cellStyle name="Input cel new 3 3" xfId="183"/>
    <cellStyle name="Input cel new 4" xfId="169"/>
    <cellStyle name="Input cel new 4 2" xfId="185"/>
    <cellStyle name="Input cel new 5" xfId="181"/>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4" xfId="176"/>
    <cellStyle name="Normal 15" xfId="175"/>
    <cellStyle name="Normal 16" xfId="184"/>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Title 4" xfId="177"/>
    <cellStyle name="W?rung [0]_Input" xfId="49"/>
    <cellStyle name="W?rung_Input" xfId="50"/>
    <cellStyle name="Währung [0]_Input" xfId="51"/>
    <cellStyle name="Währung_Input" xfId="52"/>
    <cellStyle name="Year" xfId="53"/>
  </cellStyles>
  <dxfs count="22">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300521.45242217492</c:v>
                </c:pt>
                <c:pt idx="1">
                  <c:v>96854.371592474839</c:v>
                </c:pt>
                <c:pt idx="2">
                  <c:v>2562.3310000000001</c:v>
                </c:pt>
                <c:pt idx="3">
                  <c:v>9006.0542873606009</c:v>
                </c:pt>
                <c:pt idx="4">
                  <c:v>153740.17280941235</c:v>
                </c:pt>
                <c:pt idx="5">
                  <c:v>191903.14086460398</c:v>
                </c:pt>
                <c:pt idx="6">
                  <c:v>2984.8818142868081</c:v>
                </c:pt>
                <c:pt idx="7">
                  <c:v>0</c:v>
                </c:pt>
                <c:pt idx="8">
                  <c:v>0</c:v>
                </c:pt>
                <c:pt idx="9">
                  <c:v>0</c:v>
                </c:pt>
              </c:numCache>
            </c:numRef>
          </c:val>
          <c:extLst xmlns:c16r2="http://schemas.microsoft.com/office/drawing/2015/06/chart">
            <c:ext xmlns:c16="http://schemas.microsoft.com/office/drawing/2014/chart" uri="{C3380CC4-5D6E-409C-BE32-E72D297353CC}">
              <c16:uniqueId val="{00000000-8EAD-4C49-A963-450B68E3499A}"/>
            </c:ext>
          </c:extLst>
        </c:ser>
        <c:dLbls/>
        <c:axId val="165608832"/>
        <c:axId val="165741696"/>
      </c:barChart>
      <c:catAx>
        <c:axId val="165608832"/>
        <c:scaling>
          <c:orientation val="minMax"/>
        </c:scaling>
        <c:axPos val="b"/>
        <c:numFmt formatCode="General" sourceLinked="0"/>
        <c:tickLblPos val="nextTo"/>
        <c:crossAx val="165741696"/>
        <c:crosses val="autoZero"/>
        <c:auto val="1"/>
        <c:lblAlgn val="ctr"/>
        <c:lblOffset val="100"/>
      </c:catAx>
      <c:valAx>
        <c:axId val="165741696"/>
        <c:scaling>
          <c:orientation val="minMax"/>
        </c:scaling>
        <c:axPos val="l"/>
        <c:majorGridlines/>
        <c:numFmt formatCode="#,##0" sourceLinked="1"/>
        <c:tickLblPos val="nextTo"/>
        <c:crossAx val="1656088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300521.45242217492</c:v>
                </c:pt>
                <c:pt idx="1">
                  <c:v>96854.371592474839</c:v>
                </c:pt>
                <c:pt idx="2">
                  <c:v>2562.3310000000001</c:v>
                </c:pt>
                <c:pt idx="3">
                  <c:v>9006.0542873606009</c:v>
                </c:pt>
                <c:pt idx="4">
                  <c:v>153740.17280941235</c:v>
                </c:pt>
                <c:pt idx="5">
                  <c:v>191903.14086460398</c:v>
                </c:pt>
                <c:pt idx="6">
                  <c:v>2984.8818142868081</c:v>
                </c:pt>
                <c:pt idx="7">
                  <c:v>0</c:v>
                </c:pt>
                <c:pt idx="8">
                  <c:v>0</c:v>
                </c:pt>
                <c:pt idx="9">
                  <c:v>0</c:v>
                </c:pt>
              </c:numCache>
            </c:numRef>
          </c:val>
          <c:extLst xmlns:c16r2="http://schemas.microsoft.com/office/drawing/2015/06/chart">
            <c:ext xmlns:c16="http://schemas.microsoft.com/office/drawing/2014/chart" uri="{C3380CC4-5D6E-409C-BE32-E72D297353CC}">
              <c16:uniqueId val="{00000003-BF12-45B9-854A-D20BD611B417}"/>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61693.565676736391</c:v>
                </c:pt>
                <c:pt idx="1">
                  <c:v>20235.170098141421</c:v>
                </c:pt>
                <c:pt idx="2">
                  <c:v>528.92507731698822</c:v>
                </c:pt>
                <c:pt idx="3">
                  <c:v>2054.6786995756197</c:v>
                </c:pt>
                <c:pt idx="4">
                  <c:v>30997.196001763481</c:v>
                </c:pt>
                <c:pt idx="5">
                  <c:v>48109.568586512702</c:v>
                </c:pt>
                <c:pt idx="6">
                  <c:v>753.96690949817014</c:v>
                </c:pt>
                <c:pt idx="7">
                  <c:v>0</c:v>
                </c:pt>
                <c:pt idx="8">
                  <c:v>0</c:v>
                </c:pt>
                <c:pt idx="9">
                  <c:v>0</c:v>
                </c:pt>
              </c:numCache>
            </c:numRef>
          </c:val>
          <c:extLst xmlns:c16r2="http://schemas.microsoft.com/office/drawing/2015/06/chart">
            <c:ext xmlns:c16="http://schemas.microsoft.com/office/drawing/2014/chart" uri="{C3380CC4-5D6E-409C-BE32-E72D297353CC}">
              <c16:uniqueId val="{00000000-0DEA-49E9-8268-F5FC3FF71B83}"/>
            </c:ext>
          </c:extLst>
        </c:ser>
        <c:dLbls/>
        <c:axId val="179321088"/>
        <c:axId val="180133888"/>
      </c:barChart>
      <c:catAx>
        <c:axId val="179321088"/>
        <c:scaling>
          <c:orientation val="minMax"/>
        </c:scaling>
        <c:axPos val="b"/>
        <c:numFmt formatCode="General" sourceLinked="0"/>
        <c:tickLblPos val="nextTo"/>
        <c:crossAx val="180133888"/>
        <c:crosses val="autoZero"/>
        <c:auto val="1"/>
        <c:lblAlgn val="ctr"/>
        <c:lblOffset val="100"/>
      </c:catAx>
      <c:valAx>
        <c:axId val="180133888"/>
        <c:scaling>
          <c:orientation val="minMax"/>
        </c:scaling>
        <c:axPos val="l"/>
        <c:majorGridlines/>
        <c:numFmt formatCode="#,##0" sourceLinked="1"/>
        <c:tickLblPos val="nextTo"/>
        <c:crossAx val="1793210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2014'!$A$21:$A$30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2014'!$Q$21:$Q$30</c:f>
              <c:numCache>
                <c:formatCode>#,##0</c:formatCode>
                <c:ptCount val="10"/>
                <c:pt idx="0">
                  <c:v>61693.565676736391</c:v>
                </c:pt>
                <c:pt idx="1">
                  <c:v>20235.170098141421</c:v>
                </c:pt>
                <c:pt idx="2">
                  <c:v>528.92507731698822</c:v>
                </c:pt>
                <c:pt idx="3">
                  <c:v>2054.6786995756197</c:v>
                </c:pt>
                <c:pt idx="4">
                  <c:v>30997.196001763481</c:v>
                </c:pt>
                <c:pt idx="5">
                  <c:v>48109.568586512702</c:v>
                </c:pt>
                <c:pt idx="6">
                  <c:v>753.96690949817014</c:v>
                </c:pt>
                <c:pt idx="7">
                  <c:v>0</c:v>
                </c:pt>
                <c:pt idx="8">
                  <c:v>0</c:v>
                </c:pt>
                <c:pt idx="9">
                  <c:v>0</c:v>
                </c:pt>
              </c:numCache>
            </c:numRef>
          </c:val>
          <c:extLst xmlns:c16r2="http://schemas.microsoft.com/office/drawing/2015/06/chart">
            <c:ext xmlns:c16="http://schemas.microsoft.com/office/drawing/2014/chart" uri="{C3380CC4-5D6E-409C-BE32-E72D297353CC}">
              <c16:uniqueId val="{00000000-07F8-44A2-9A7A-184651F3CC8C}"/>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1" dataDxfId="19" headerRowBorderDxfId="20" tableBorderDxfId="18">
  <autoFilter ref="A1:F33"/>
  <tableColumns count="6">
    <tableColumn id="1" name="Index" dataDxfId="17">
      <calculatedColumnFormula>CONCATENATE(TableECFTransport[[#This Row],[Voertuigtype]],"_",TableECFTransport[[#This Row],[Wegtype]],"_",TableECFTransport[[#This Row],[Brandstoftechnologie]],"_",TableECFTransport[[#This Row],[Brandstof]])</calculatedColumnFormula>
    </tableColumn>
    <tableColumn id="2" name="Voertuigtype" dataDxfId="16"/>
    <tableColumn id="3" name="Wegtype" dataDxfId="15"/>
    <tableColumn id="4" name="Brandstoftechnologie" dataDxfId="14"/>
    <tableColumn id="5" name="Brandstof" dataDxfId="13"/>
    <tableColumn id="6" name="EnergieConsumptieFactor (PJ per km)" dataDxfId="12"/>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1" dataDxfId="9" headerRowBorderDxfId="10" tableBorderDxfId="8">
  <autoFilter ref="A23:L25"/>
  <tableColumns count="12">
    <tableColumn id="1" name="Voertuigtype" dataDxfId="7"/>
    <tableColumn id="2" name="CNG"/>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26" sqref="A26"/>
    </sheetView>
  </sheetViews>
  <sheetFormatPr defaultRowHeight="15"/>
  <cols>
    <col min="1" max="1" width="51" customWidth="1"/>
    <col min="2" max="2" width="81.5703125" customWidth="1"/>
    <col min="3" max="3" width="140.5703125" customWidth="1"/>
  </cols>
  <sheetData>
    <row r="1" spans="1:7" ht="15.75" thickBot="1"/>
    <row r="2" spans="1:7" s="407" customFormat="1" ht="20.25" customHeight="1">
      <c r="A2" s="419" t="s">
        <v>666</v>
      </c>
      <c r="B2" s="420"/>
      <c r="C2" s="421"/>
    </row>
    <row r="3" spans="1:7" s="11" customFormat="1" ht="15" customHeight="1">
      <c r="A3" s="93"/>
      <c r="B3" s="74"/>
      <c r="C3" s="94"/>
    </row>
    <row r="4" spans="1:7" s="11" customFormat="1" ht="15.75" customHeight="1" thickBot="1">
      <c r="A4" s="105" t="s">
        <v>825</v>
      </c>
      <c r="B4" s="106"/>
      <c r="C4" s="107"/>
    </row>
    <row r="5" spans="1:7" s="414" customFormat="1" ht="15.75" customHeight="1">
      <c r="A5" s="411" t="s">
        <v>0</v>
      </c>
      <c r="B5" s="412"/>
      <c r="C5" s="413"/>
    </row>
    <row r="6" spans="1:7" s="414" customFormat="1" ht="15" customHeight="1">
      <c r="A6" s="415" t="str">
        <f>txtNIS</f>
        <v>41048</v>
      </c>
      <c r="B6" s="416"/>
      <c r="C6" s="417"/>
    </row>
    <row r="7" spans="1:7" s="414" customFormat="1" ht="15.75" customHeight="1">
      <c r="A7" s="418" t="str">
        <f>txtMunicipality</f>
        <v>NINOVE</v>
      </c>
      <c r="B7" s="416"/>
      <c r="C7" s="417"/>
    </row>
    <row r="8" spans="1:7" ht="15.75" thickBot="1">
      <c r="A8" s="45"/>
      <c r="B8" s="108"/>
      <c r="C8" s="109"/>
    </row>
    <row r="9" spans="1:7" s="407" customFormat="1" ht="15.75" thickBot="1">
      <c r="A9" s="431" t="s">
        <v>357</v>
      </c>
      <c r="B9" s="434"/>
      <c r="C9" s="435"/>
    </row>
    <row r="10" spans="1:7" s="15" customFormat="1" ht="57.75" customHeight="1" thickBot="1">
      <c r="A10" s="1077" t="s">
        <v>684</v>
      </c>
      <c r="B10" s="1078"/>
      <c r="C10" s="1079"/>
    </row>
    <row r="11" spans="1:7" s="408" customFormat="1" ht="15.75" thickBot="1">
      <c r="A11" s="431" t="s">
        <v>359</v>
      </c>
      <c r="B11" s="434"/>
      <c r="C11" s="435"/>
      <c r="G11" s="409"/>
    </row>
    <row r="12" spans="1:7">
      <c r="A12" s="44"/>
      <c r="B12" s="43"/>
      <c r="C12" s="96"/>
    </row>
    <row r="13" spans="1:7" s="408" customFormat="1">
      <c r="A13" s="834" t="s">
        <v>626</v>
      </c>
      <c r="B13" s="405"/>
      <c r="C13" s="406"/>
      <c r="D13" s="407"/>
      <c r="E13" s="407"/>
      <c r="G13" s="409"/>
    </row>
    <row r="14" spans="1:7" s="408" customFormat="1">
      <c r="A14" s="410"/>
      <c r="B14" s="405"/>
      <c r="C14" s="406"/>
      <c r="D14" s="407"/>
      <c r="E14" s="407"/>
      <c r="G14" s="409"/>
    </row>
    <row r="15" spans="1:7" s="15" customFormat="1" ht="15.75" thickBot="1">
      <c r="A15" s="97"/>
      <c r="B15" s="43"/>
      <c r="C15" s="96"/>
      <c r="D15"/>
      <c r="E15"/>
      <c r="G15" s="68"/>
    </row>
    <row r="16" spans="1:7" s="407" customFormat="1" ht="32.25" customHeight="1" thickBot="1">
      <c r="A16" s="431" t="s">
        <v>360</v>
      </c>
      <c r="B16" s="1080" t="s">
        <v>530</v>
      </c>
      <c r="C16" s="1081"/>
    </row>
    <row r="17" spans="1:3" s="15" customFormat="1" ht="15.75">
      <c r="A17" s="98"/>
      <c r="B17" s="70"/>
      <c r="C17" s="99"/>
    </row>
    <row r="18" spans="1:3">
      <c r="A18" s="95" t="s">
        <v>363</v>
      </c>
      <c r="B18" s="69" t="s">
        <v>375</v>
      </c>
      <c r="C18" s="100" t="s">
        <v>374</v>
      </c>
    </row>
    <row r="19" spans="1:3" s="356" customFormat="1">
      <c r="A19" s="398" t="s">
        <v>361</v>
      </c>
      <c r="B19" s="399" t="s">
        <v>685</v>
      </c>
      <c r="C19" s="400" t="s">
        <v>528</v>
      </c>
    </row>
    <row r="20" spans="1:3" s="356" customFormat="1">
      <c r="A20" s="401"/>
      <c r="B20" s="342"/>
      <c r="C20" s="402"/>
    </row>
    <row r="21" spans="1:3" s="356" customFormat="1">
      <c r="A21" s="403" t="s">
        <v>362</v>
      </c>
      <c r="B21" s="399" t="s">
        <v>525</v>
      </c>
      <c r="C21" s="400" t="s">
        <v>529</v>
      </c>
    </row>
    <row r="22" spans="1:3" s="356" customFormat="1">
      <c r="A22" s="404"/>
      <c r="B22" s="342"/>
      <c r="C22" s="402"/>
    </row>
    <row r="23" spans="1:3" s="356" customFormat="1" ht="30">
      <c r="A23" s="398" t="s">
        <v>442</v>
      </c>
      <c r="B23" s="469" t="s">
        <v>446</v>
      </c>
      <c r="C23" s="400" t="s">
        <v>526</v>
      </c>
    </row>
    <row r="24" spans="1:3" s="356" customFormat="1">
      <c r="A24" s="404"/>
      <c r="B24" s="342"/>
      <c r="C24" s="402"/>
    </row>
    <row r="25" spans="1:3" s="356" customFormat="1">
      <c r="A25" s="398" t="s">
        <v>444</v>
      </c>
      <c r="B25" s="399" t="s">
        <v>443</v>
      </c>
      <c r="C25" s="400" t="s">
        <v>527</v>
      </c>
    </row>
    <row r="26" spans="1:3" s="356" customFormat="1">
      <c r="A26" s="404"/>
      <c r="B26" s="342"/>
      <c r="C26" s="402"/>
    </row>
    <row r="27" spans="1:3" s="356" customFormat="1">
      <c r="A27" s="398" t="s">
        <v>416</v>
      </c>
      <c r="B27" s="399" t="s">
        <v>441</v>
      </c>
      <c r="C27" s="400"/>
    </row>
    <row r="28" spans="1:3" s="356" customFormat="1">
      <c r="A28" s="404"/>
      <c r="B28" s="342" t="s">
        <v>583</v>
      </c>
      <c r="C28" s="402"/>
    </row>
    <row r="29" spans="1:3" ht="15.75" thickBot="1">
      <c r="A29" s="44"/>
      <c r="B29" s="43"/>
      <c r="C29" s="96"/>
    </row>
    <row r="30" spans="1:3" s="407" customFormat="1" ht="15.75" thickBot="1">
      <c r="A30" s="431" t="s">
        <v>372</v>
      </c>
      <c r="B30" s="432"/>
      <c r="C30" s="433"/>
    </row>
    <row r="31" spans="1:3" s="15" customFormat="1" ht="15.75">
      <c r="A31" s="98"/>
      <c r="B31" s="71"/>
      <c r="C31" s="102"/>
    </row>
    <row r="32" spans="1:3" s="15" customFormat="1">
      <c r="A32" s="103" t="s">
        <v>373</v>
      </c>
      <c r="B32" s="73" t="s">
        <v>375</v>
      </c>
      <c r="C32" s="104"/>
    </row>
    <row r="33" spans="1:3" s="425" customFormat="1">
      <c r="A33" s="422" t="s">
        <v>364</v>
      </c>
      <c r="B33" s="423" t="s">
        <v>376</v>
      </c>
      <c r="C33" s="424"/>
    </row>
    <row r="34" spans="1:3" s="425" customFormat="1">
      <c r="A34" s="426" t="s">
        <v>365</v>
      </c>
      <c r="B34" s="427" t="s">
        <v>366</v>
      </c>
      <c r="C34" s="428"/>
    </row>
    <row r="35" spans="1:3" s="425" customFormat="1">
      <c r="A35" s="429" t="s">
        <v>367</v>
      </c>
      <c r="B35" s="427" t="s">
        <v>368</v>
      </c>
      <c r="C35" s="428"/>
    </row>
    <row r="36" spans="1:3" s="425" customFormat="1">
      <c r="A36" s="430" t="s">
        <v>369</v>
      </c>
      <c r="B36" s="427" t="s">
        <v>370</v>
      </c>
      <c r="C36" s="428"/>
    </row>
    <row r="37" spans="1:3" s="425" customFormat="1" ht="30">
      <c r="A37" s="457" t="s">
        <v>371</v>
      </c>
      <c r="B37" s="427" t="s">
        <v>474</v>
      </c>
      <c r="C37" s="428"/>
    </row>
    <row r="38" spans="1:3" ht="15.75" thickBot="1">
      <c r="A38" s="458"/>
      <c r="B38" s="459"/>
      <c r="C38" s="46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7" bestFit="1" customWidth="1"/>
    <col min="3" max="3" width="26" customWidth="1"/>
    <col min="4" max="4" width="69.42578125" customWidth="1"/>
  </cols>
  <sheetData>
    <row r="1" spans="1:11" s="43" customFormat="1" ht="15.75" thickBot="1">
      <c r="B1" s="479"/>
    </row>
    <row r="2" spans="1:11" s="43" customFormat="1">
      <c r="A2" s="184" t="s">
        <v>532</v>
      </c>
      <c r="B2" s="531"/>
      <c r="C2" s="185"/>
      <c r="D2" s="186"/>
    </row>
    <row r="3" spans="1:11">
      <c r="A3" s="101"/>
      <c r="B3" s="532"/>
      <c r="C3" s="141" t="s">
        <v>182</v>
      </c>
      <c r="D3" s="144" t="s">
        <v>391</v>
      </c>
    </row>
    <row r="4" spans="1:11">
      <c r="A4" s="44" t="s">
        <v>447</v>
      </c>
      <c r="B4" s="47"/>
      <c r="C4" s="32"/>
      <c r="D4" s="143" t="s">
        <v>393</v>
      </c>
    </row>
    <row r="5" spans="1:11">
      <c r="A5" s="44"/>
      <c r="B5" s="48"/>
      <c r="C5" s="32"/>
      <c r="D5" s="143"/>
    </row>
    <row r="6" spans="1:11" s="10" customFormat="1" ht="21.75" thickBot="1">
      <c r="A6" s="189" t="s">
        <v>480</v>
      </c>
      <c r="B6" s="533"/>
      <c r="C6" s="190"/>
      <c r="D6" s="191"/>
    </row>
    <row r="7" spans="1:11" s="43" customFormat="1" ht="15.75" thickBot="1">
      <c r="B7" s="479"/>
    </row>
    <row r="8" spans="1:11" s="43" customFormat="1">
      <c r="A8" s="184" t="s">
        <v>545</v>
      </c>
      <c r="B8" s="531"/>
      <c r="C8" s="185"/>
      <c r="D8" s="186"/>
    </row>
    <row r="9" spans="1:11" s="32" customFormat="1">
      <c r="A9" s="46"/>
      <c r="B9" s="534"/>
      <c r="C9" s="42"/>
      <c r="D9" s="303"/>
    </row>
    <row r="10" spans="1:11">
      <c r="A10" s="304" t="s">
        <v>574</v>
      </c>
      <c r="B10" s="532"/>
      <c r="C10" s="141" t="s">
        <v>182</v>
      </c>
      <c r="D10" s="144" t="s">
        <v>391</v>
      </c>
      <c r="I10" s="1186"/>
      <c r="K10" s="58"/>
    </row>
    <row r="11" spans="1:11" s="43" customFormat="1">
      <c r="A11" s="44" t="s">
        <v>575</v>
      </c>
      <c r="B11" s="47"/>
      <c r="D11" s="142" t="s">
        <v>392</v>
      </c>
      <c r="I11" s="1186"/>
      <c r="K11" s="58"/>
    </row>
    <row r="12" spans="1:11" s="43" customFormat="1">
      <c r="A12" s="44" t="s">
        <v>576</v>
      </c>
      <c r="B12" s="47"/>
      <c r="D12" s="142" t="s">
        <v>392</v>
      </c>
      <c r="I12" s="1186"/>
      <c r="K12" s="58"/>
    </row>
    <row r="13" spans="1:11" s="43" customFormat="1">
      <c r="A13" s="44"/>
      <c r="B13" s="479"/>
      <c r="D13" s="96"/>
      <c r="I13" s="1186"/>
    </row>
    <row r="14" spans="1:11" s="43" customFormat="1">
      <c r="A14" s="304" t="s">
        <v>573</v>
      </c>
      <c r="B14" s="532"/>
      <c r="C14" s="141" t="s">
        <v>182</v>
      </c>
      <c r="D14" s="144" t="s">
        <v>391</v>
      </c>
      <c r="I14" s="1186"/>
    </row>
    <row r="15" spans="1:11" s="43" customFormat="1">
      <c r="A15" s="44" t="s">
        <v>71</v>
      </c>
      <c r="B15" s="47"/>
      <c r="D15" s="142" t="s">
        <v>392</v>
      </c>
      <c r="I15" s="1186"/>
      <c r="J15" s="1186"/>
    </row>
    <row r="16" spans="1:11" s="43" customFormat="1">
      <c r="A16" s="44" t="s">
        <v>537</v>
      </c>
      <c r="B16" s="47"/>
      <c r="D16" s="142" t="s">
        <v>392</v>
      </c>
      <c r="I16" s="1186"/>
      <c r="J16" s="1186"/>
    </row>
    <row r="17" spans="1:11" s="43" customFormat="1">
      <c r="A17" s="44" t="s">
        <v>78</v>
      </c>
      <c r="B17" s="47"/>
      <c r="D17" s="142" t="s">
        <v>392</v>
      </c>
      <c r="I17" s="1186"/>
      <c r="J17" s="1186"/>
    </row>
    <row r="18" spans="1:11" s="43" customFormat="1">
      <c r="A18" s="44" t="s">
        <v>538</v>
      </c>
      <c r="B18" s="47"/>
      <c r="D18" s="142" t="s">
        <v>392</v>
      </c>
      <c r="I18" s="1186"/>
      <c r="J18" s="1186"/>
      <c r="K18" s="58"/>
    </row>
    <row r="19" spans="1:11" s="43" customFormat="1">
      <c r="A19" s="44" t="s">
        <v>77</v>
      </c>
      <c r="B19" s="47"/>
      <c r="D19" s="142" t="s">
        <v>392</v>
      </c>
      <c r="I19" s="1186"/>
      <c r="J19" s="1187"/>
      <c r="K19" s="58"/>
    </row>
    <row r="20" spans="1:11" s="43" customFormat="1">
      <c r="A20" s="32" t="s">
        <v>539</v>
      </c>
      <c r="B20" s="47"/>
      <c r="D20" s="142" t="s">
        <v>392</v>
      </c>
      <c r="I20" s="305"/>
      <c r="J20" s="306"/>
      <c r="K20" s="58"/>
    </row>
    <row r="21" spans="1:11" s="43" customFormat="1">
      <c r="A21" s="32" t="s">
        <v>540</v>
      </c>
      <c r="B21" s="47"/>
      <c r="D21" s="142" t="s">
        <v>392</v>
      </c>
      <c r="I21" s="305"/>
      <c r="J21" s="306"/>
      <c r="K21" s="58"/>
    </row>
    <row r="22" spans="1:11" s="43" customFormat="1">
      <c r="A22" s="32" t="s">
        <v>541</v>
      </c>
      <c r="B22" s="47"/>
      <c r="D22" s="142" t="s">
        <v>392</v>
      </c>
      <c r="I22" s="305"/>
      <c r="J22" s="306"/>
      <c r="K22" s="58"/>
    </row>
    <row r="23" spans="1:11">
      <c r="A23" s="32" t="s">
        <v>542</v>
      </c>
      <c r="B23" s="47"/>
      <c r="C23" s="43"/>
      <c r="D23" s="142" t="s">
        <v>392</v>
      </c>
      <c r="I23" s="58"/>
      <c r="J23" s="58"/>
      <c r="K23" s="58"/>
    </row>
    <row r="24" spans="1:11">
      <c r="A24" s="32" t="s">
        <v>543</v>
      </c>
      <c r="B24" s="47"/>
      <c r="C24" s="43"/>
      <c r="D24" s="142" t="s">
        <v>392</v>
      </c>
      <c r="I24" s="58"/>
      <c r="J24" s="58"/>
      <c r="K24" s="58"/>
    </row>
    <row r="25" spans="1:11">
      <c r="A25" s="58"/>
      <c r="B25" s="48"/>
      <c r="C25" s="43"/>
      <c r="D25" s="142"/>
      <c r="I25" s="58"/>
      <c r="J25" s="58"/>
      <c r="K25" s="58"/>
    </row>
    <row r="26" spans="1:11" ht="21.75" thickBot="1">
      <c r="A26" s="189" t="s">
        <v>584</v>
      </c>
      <c r="B26" s="535"/>
      <c r="C26" s="108"/>
      <c r="D26" s="109"/>
      <c r="I26" s="58"/>
      <c r="J26" s="58"/>
      <c r="K26" s="58"/>
    </row>
    <row r="28" spans="1:11" ht="15.75" thickBot="1"/>
    <row r="29" spans="1:11" s="43" customFormat="1">
      <c r="A29" s="184" t="s">
        <v>533</v>
      </c>
      <c r="B29" s="531"/>
      <c r="C29" s="185"/>
      <c r="D29" s="186"/>
    </row>
    <row r="30" spans="1:11" s="32" customFormat="1">
      <c r="A30" s="46"/>
      <c r="B30" s="534"/>
      <c r="C30" s="42"/>
      <c r="D30" s="303"/>
    </row>
    <row r="31" spans="1:11">
      <c r="A31" s="304" t="s">
        <v>574</v>
      </c>
      <c r="B31" s="532"/>
      <c r="C31" s="141" t="s">
        <v>182</v>
      </c>
      <c r="D31" s="144" t="s">
        <v>391</v>
      </c>
    </row>
    <row r="32" spans="1:11">
      <c r="A32" s="468" t="s">
        <v>575</v>
      </c>
      <c r="B32" s="47"/>
      <c r="C32" s="48"/>
      <c r="D32" s="142" t="s">
        <v>392</v>
      </c>
    </row>
    <row r="33" spans="1:11">
      <c r="A33" s="44"/>
      <c r="B33" s="48"/>
      <c r="C33" s="48"/>
      <c r="D33" s="142"/>
    </row>
    <row r="34" spans="1:11" s="43" customFormat="1">
      <c r="A34" s="304" t="s">
        <v>573</v>
      </c>
      <c r="B34" s="532"/>
      <c r="C34" s="141" t="s">
        <v>182</v>
      </c>
      <c r="D34" s="144" t="s">
        <v>391</v>
      </c>
      <c r="I34"/>
    </row>
    <row r="35" spans="1:11" s="43" customFormat="1">
      <c r="A35" s="467" t="s">
        <v>71</v>
      </c>
      <c r="B35" s="47"/>
      <c r="D35" s="142" t="s">
        <v>392</v>
      </c>
      <c r="I35" s="1186"/>
      <c r="J35" s="1186"/>
    </row>
    <row r="36" spans="1:11" s="43" customFormat="1">
      <c r="A36" s="467" t="s">
        <v>537</v>
      </c>
      <c r="B36" s="47"/>
      <c r="D36" s="142" t="s">
        <v>392</v>
      </c>
      <c r="I36" s="1186"/>
      <c r="J36" s="1186"/>
    </row>
    <row r="37" spans="1:11" s="43" customFormat="1">
      <c r="A37" s="467" t="s">
        <v>78</v>
      </c>
      <c r="B37" s="47"/>
      <c r="D37" s="142" t="s">
        <v>392</v>
      </c>
      <c r="I37" s="1186"/>
      <c r="J37" s="1186"/>
    </row>
    <row r="38" spans="1:11" s="43" customFormat="1">
      <c r="A38" s="467" t="s">
        <v>538</v>
      </c>
      <c r="B38" s="47"/>
      <c r="D38" s="142" t="s">
        <v>392</v>
      </c>
      <c r="I38" s="1186"/>
      <c r="J38" s="1186"/>
      <c r="K38" s="58"/>
    </row>
    <row r="39" spans="1:11" s="43" customFormat="1">
      <c r="A39" s="467" t="s">
        <v>77</v>
      </c>
      <c r="B39" s="47"/>
      <c r="D39" s="142" t="s">
        <v>392</v>
      </c>
      <c r="I39" s="1186"/>
      <c r="J39" s="1187"/>
      <c r="K39" s="58"/>
    </row>
    <row r="40" spans="1:11" s="43" customFormat="1">
      <c r="A40" s="181" t="s">
        <v>539</v>
      </c>
      <c r="B40" s="48"/>
      <c r="D40" s="142" t="s">
        <v>392</v>
      </c>
      <c r="I40" s="305"/>
      <c r="J40" s="306"/>
      <c r="K40" s="58"/>
    </row>
    <row r="41" spans="1:11" s="43" customFormat="1">
      <c r="A41" s="181" t="s">
        <v>540</v>
      </c>
      <c r="B41" s="47"/>
      <c r="D41" s="142" t="s">
        <v>392</v>
      </c>
      <c r="I41" s="305"/>
      <c r="J41" s="306"/>
      <c r="K41" s="58"/>
    </row>
    <row r="42" spans="1:11" s="43" customFormat="1">
      <c r="A42" s="181" t="s">
        <v>541</v>
      </c>
      <c r="B42" s="47"/>
      <c r="D42" s="142" t="s">
        <v>392</v>
      </c>
      <c r="I42" s="305"/>
      <c r="J42" s="306"/>
      <c r="K42" s="58"/>
    </row>
    <row r="43" spans="1:11">
      <c r="A43" s="181" t="s">
        <v>542</v>
      </c>
      <c r="B43" s="47"/>
      <c r="C43" s="43"/>
      <c r="D43" s="142" t="s">
        <v>392</v>
      </c>
      <c r="I43" s="58"/>
      <c r="J43" s="58"/>
      <c r="K43" s="58"/>
    </row>
    <row r="44" spans="1:11">
      <c r="A44" s="181" t="s">
        <v>543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1"/>
      <c r="C48" s="185"/>
      <c r="D48" s="186"/>
    </row>
    <row r="49" spans="1:4">
      <c r="A49" s="101"/>
      <c r="B49" s="532"/>
      <c r="C49" s="141" t="s">
        <v>182</v>
      </c>
      <c r="D49" s="144" t="s">
        <v>391</v>
      </c>
    </row>
    <row r="50" spans="1:4">
      <c r="A50" s="44" t="s">
        <v>577</v>
      </c>
      <c r="B50" s="47"/>
      <c r="C50" s="32"/>
      <c r="D50" s="143" t="s">
        <v>393</v>
      </c>
    </row>
    <row r="51" spans="1:4">
      <c r="A51" s="44" t="s">
        <v>578</v>
      </c>
      <c r="B51" s="47"/>
      <c r="C51" s="32"/>
      <c r="D51" s="143" t="s">
        <v>393</v>
      </c>
    </row>
    <row r="52" spans="1:4" ht="15.75" thickBot="1">
      <c r="A52" s="45"/>
      <c r="B52" s="187"/>
      <c r="C52" s="153"/>
      <c r="D52" s="192"/>
    </row>
    <row r="54" spans="1:4" ht="15.75" thickBot="1"/>
    <row r="55" spans="1:4" s="43" customFormat="1">
      <c r="A55" s="184" t="s">
        <v>534</v>
      </c>
      <c r="B55" s="531"/>
      <c r="C55" s="185"/>
      <c r="D55" s="186"/>
    </row>
    <row r="56" spans="1:4">
      <c r="A56" s="101"/>
      <c r="B56" s="532"/>
      <c r="C56" s="141" t="s">
        <v>182</v>
      </c>
      <c r="D56" s="144" t="s">
        <v>391</v>
      </c>
    </row>
    <row r="57" spans="1:4">
      <c r="A57" s="44" t="s">
        <v>579</v>
      </c>
      <c r="B57" s="47"/>
      <c r="C57" s="32"/>
      <c r="D57" s="142" t="s">
        <v>155</v>
      </c>
    </row>
    <row r="58" spans="1:4">
      <c r="A58" s="44" t="s">
        <v>580</v>
      </c>
      <c r="B58" s="47"/>
      <c r="C58" s="32"/>
      <c r="D58" s="142" t="s">
        <v>156</v>
      </c>
    </row>
    <row r="59" spans="1:4">
      <c r="A59" s="44" t="s">
        <v>581</v>
      </c>
      <c r="B59" s="47"/>
      <c r="C59" s="48"/>
      <c r="D59" s="142" t="s">
        <v>389</v>
      </c>
    </row>
    <row r="60" spans="1:4">
      <c r="A60" s="44" t="s">
        <v>582</v>
      </c>
      <c r="B60" s="47"/>
      <c r="C60" s="48"/>
      <c r="D60" s="142" t="s">
        <v>112</v>
      </c>
    </row>
    <row r="61" spans="1:4">
      <c r="A61" s="44"/>
      <c r="B61" s="48"/>
      <c r="C61" s="48"/>
      <c r="D61" s="142"/>
    </row>
    <row r="62" spans="1:4" ht="21.75" thickBot="1">
      <c r="A62" s="189" t="s">
        <v>536</v>
      </c>
      <c r="B62" s="187"/>
      <c r="C62" s="187"/>
      <c r="D62" s="188"/>
    </row>
    <row r="63" spans="1:4" s="43" customFormat="1">
      <c r="B63" s="479"/>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7"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8" t="s">
        <v>599</v>
      </c>
      <c r="B1" s="679"/>
      <c r="C1" s="679"/>
      <c r="D1" s="679"/>
      <c r="E1" s="680"/>
    </row>
    <row r="2" spans="1:5">
      <c r="A2" s="691" t="s">
        <v>394</v>
      </c>
      <c r="B2" s="696" t="s">
        <v>524</v>
      </c>
      <c r="C2" s="692"/>
      <c r="D2" s="692"/>
      <c r="E2" s="693"/>
    </row>
    <row r="3" spans="1:5">
      <c r="A3" s="694"/>
      <c r="B3" s="695"/>
      <c r="C3" s="683"/>
      <c r="D3" s="683"/>
      <c r="E3" s="684"/>
    </row>
    <row r="4" spans="1:5" s="334" customFormat="1" ht="45">
      <c r="A4" s="682" t="s">
        <v>603</v>
      </c>
      <c r="B4" s="690" t="s">
        <v>592</v>
      </c>
      <c r="C4" s="711" t="s">
        <v>614</v>
      </c>
      <c r="D4" s="712" t="s">
        <v>615</v>
      </c>
      <c r="E4" s="713" t="s">
        <v>616</v>
      </c>
    </row>
    <row r="5" spans="1:5">
      <c r="A5" s="685" t="s">
        <v>593</v>
      </c>
      <c r="B5" s="677" t="s">
        <v>594</v>
      </c>
      <c r="C5" s="708">
        <v>3.678273E-2</v>
      </c>
      <c r="D5" s="709">
        <v>0.27778000000000003</v>
      </c>
      <c r="E5" s="701">
        <f>C5*D5</f>
        <v>1.0217506739400001E-2</v>
      </c>
    </row>
    <row r="6" spans="1:5">
      <c r="A6" s="685" t="s">
        <v>593</v>
      </c>
      <c r="B6" s="677" t="s">
        <v>595</v>
      </c>
      <c r="C6" s="708">
        <v>4.2278999999999997E-2</v>
      </c>
      <c r="D6" s="709">
        <v>0.27778000000000003</v>
      </c>
      <c r="E6" s="701">
        <f t="shared" ref="E6:E21" si="0">C6*D6</f>
        <v>1.174426062E-2</v>
      </c>
    </row>
    <row r="7" spans="1:5">
      <c r="A7" s="685" t="s">
        <v>593</v>
      </c>
      <c r="B7" s="677" t="s">
        <v>596</v>
      </c>
      <c r="C7" s="708">
        <v>42.279000000000003</v>
      </c>
      <c r="D7" s="709">
        <v>0.27778000000000003</v>
      </c>
      <c r="E7" s="701">
        <f t="shared" si="0"/>
        <v>11.744260620000002</v>
      </c>
    </row>
    <row r="8" spans="1:5">
      <c r="A8" s="685" t="s">
        <v>597</v>
      </c>
      <c r="B8" s="677" t="s">
        <v>594</v>
      </c>
      <c r="C8" s="708">
        <v>3.8573799999999998E-2</v>
      </c>
      <c r="D8" s="709">
        <v>0.27778000000000003</v>
      </c>
      <c r="E8" s="701">
        <f t="shared" si="0"/>
        <v>1.0715030164E-2</v>
      </c>
    </row>
    <row r="9" spans="1:5">
      <c r="A9" s="685" t="s">
        <v>597</v>
      </c>
      <c r="B9" s="677" t="s">
        <v>595</v>
      </c>
      <c r="C9" s="708">
        <v>4.0604000000000001E-2</v>
      </c>
      <c r="D9" s="709">
        <v>0.27778000000000003</v>
      </c>
      <c r="E9" s="701">
        <f t="shared" si="0"/>
        <v>1.1278979120000001E-2</v>
      </c>
    </row>
    <row r="10" spans="1:5">
      <c r="A10" s="685" t="s">
        <v>597</v>
      </c>
      <c r="B10" s="677" t="s">
        <v>596</v>
      </c>
      <c r="C10" s="708">
        <v>40.603999999999999</v>
      </c>
      <c r="D10" s="709">
        <v>0.27778000000000003</v>
      </c>
      <c r="E10" s="701">
        <f t="shared" si="0"/>
        <v>11.278979120000001</v>
      </c>
    </row>
    <row r="11" spans="1:5">
      <c r="A11" s="685" t="s">
        <v>617</v>
      </c>
      <c r="B11" s="677" t="s">
        <v>594</v>
      </c>
      <c r="C11" s="708">
        <v>2.3511000000000001E-2</v>
      </c>
      <c r="D11" s="709">
        <v>0.27778000000000003</v>
      </c>
      <c r="E11" s="701">
        <f t="shared" si="0"/>
        <v>6.5308855800000004E-3</v>
      </c>
    </row>
    <row r="12" spans="1:5">
      <c r="A12" s="685" t="s">
        <v>617</v>
      </c>
      <c r="B12" s="677" t="s">
        <v>595</v>
      </c>
      <c r="C12" s="708">
        <v>4.6100000000000002E-2</v>
      </c>
      <c r="D12" s="709">
        <v>0.27778000000000003</v>
      </c>
      <c r="E12" s="701">
        <f t="shared" si="0"/>
        <v>1.2805658000000001E-2</v>
      </c>
    </row>
    <row r="13" spans="1:5">
      <c r="A13" s="685" t="s">
        <v>617</v>
      </c>
      <c r="B13" s="677" t="s">
        <v>596</v>
      </c>
      <c r="C13" s="708">
        <v>46.1</v>
      </c>
      <c r="D13" s="709">
        <v>0.27778000000000003</v>
      </c>
      <c r="E13" s="701">
        <f t="shared" si="0"/>
        <v>12.805658000000001</v>
      </c>
    </row>
    <row r="14" spans="1:5">
      <c r="A14" s="685" t="s">
        <v>618</v>
      </c>
      <c r="B14" s="677" t="s">
        <v>594</v>
      </c>
      <c r="C14" s="708">
        <v>2.6525139999999999E-2</v>
      </c>
      <c r="D14" s="709">
        <v>0.27778000000000003</v>
      </c>
      <c r="E14" s="701">
        <f t="shared" si="0"/>
        <v>7.3681533892000009E-3</v>
      </c>
    </row>
    <row r="15" spans="1:5">
      <c r="A15" s="685" t="s">
        <v>618</v>
      </c>
      <c r="B15" s="677" t="s">
        <v>595</v>
      </c>
      <c r="C15" s="708">
        <v>4.5733000000000003E-2</v>
      </c>
      <c r="D15" s="709">
        <v>0.27778000000000003</v>
      </c>
      <c r="E15" s="701">
        <f t="shared" si="0"/>
        <v>1.2703712740000001E-2</v>
      </c>
    </row>
    <row r="16" spans="1:5">
      <c r="A16" s="685" t="s">
        <v>618</v>
      </c>
      <c r="B16" s="677" t="s">
        <v>596</v>
      </c>
      <c r="C16" s="708">
        <v>45.732999999999997</v>
      </c>
      <c r="D16" s="709">
        <v>0.27778000000000003</v>
      </c>
      <c r="E16" s="701">
        <f t="shared" si="0"/>
        <v>12.70371274</v>
      </c>
    </row>
    <row r="17" spans="1:10">
      <c r="A17" s="685" t="s">
        <v>601</v>
      </c>
      <c r="B17" s="677" t="s">
        <v>598</v>
      </c>
      <c r="C17" s="708">
        <v>3.2923000000000001E-2</v>
      </c>
      <c r="D17" s="709">
        <f>0.27778</f>
        <v>0.27778000000000003</v>
      </c>
      <c r="E17" s="701">
        <f t="shared" si="0"/>
        <v>9.1453509400000015E-3</v>
      </c>
    </row>
    <row r="18" spans="1:10">
      <c r="A18" s="685" t="s">
        <v>602</v>
      </c>
      <c r="B18" s="677" t="s">
        <v>598</v>
      </c>
      <c r="C18" s="708">
        <v>3.8852400000000002E-2</v>
      </c>
      <c r="D18" s="709">
        <f>0.27778</f>
        <v>0.27778000000000003</v>
      </c>
      <c r="E18" s="701">
        <f t="shared" si="0"/>
        <v>1.0792419672000002E-2</v>
      </c>
    </row>
    <row r="19" spans="1:10">
      <c r="A19" s="685" t="s">
        <v>605</v>
      </c>
      <c r="B19" s="677" t="s">
        <v>594</v>
      </c>
      <c r="C19" s="708">
        <v>2.4812460000000001E-2</v>
      </c>
      <c r="D19" s="709">
        <v>0.27778000000000003</v>
      </c>
      <c r="E19" s="701">
        <f t="shared" si="0"/>
        <v>6.8924051388000009E-3</v>
      </c>
    </row>
    <row r="20" spans="1:10">
      <c r="A20" s="685" t="s">
        <v>605</v>
      </c>
      <c r="B20" s="677" t="s">
        <v>595</v>
      </c>
      <c r="C20" s="708">
        <v>4.5948999999999997E-2</v>
      </c>
      <c r="D20" s="709">
        <v>0.27778000000000003</v>
      </c>
      <c r="E20" s="701">
        <f t="shared" si="0"/>
        <v>1.276371322E-2</v>
      </c>
    </row>
    <row r="21" spans="1:10">
      <c r="A21" s="685" t="s">
        <v>605</v>
      </c>
      <c r="B21" s="677" t="s">
        <v>596</v>
      </c>
      <c r="C21" s="708">
        <v>45.948999999999998</v>
      </c>
      <c r="D21" s="709">
        <v>0.27778000000000003</v>
      </c>
      <c r="E21" s="701">
        <f t="shared" si="0"/>
        <v>12.763713220000001</v>
      </c>
    </row>
    <row r="22" spans="1:10" ht="15.75" thickBot="1">
      <c r="A22" s="706"/>
      <c r="B22" s="688"/>
      <c r="C22" s="710"/>
      <c r="D22" s="710"/>
      <c r="E22" s="689"/>
    </row>
    <row r="23" spans="1:10" ht="15.75" thickBot="1">
      <c r="A23" s="681"/>
      <c r="B23" s="681"/>
      <c r="C23" s="681"/>
      <c r="D23" s="681"/>
      <c r="E23" s="681"/>
    </row>
    <row r="24" spans="1:10" ht="15.75" thickBot="1">
      <c r="A24" s="678" t="s">
        <v>600</v>
      </c>
      <c r="B24" s="679"/>
      <c r="C24" s="679"/>
      <c r="D24" s="679"/>
      <c r="E24" s="680"/>
    </row>
    <row r="25" spans="1:10">
      <c r="A25" s="705" t="s">
        <v>394</v>
      </c>
      <c r="B25" s="683" t="s">
        <v>667</v>
      </c>
      <c r="C25" s="683"/>
      <c r="D25" s="683"/>
      <c r="E25" s="684"/>
    </row>
    <row r="26" spans="1:10">
      <c r="A26" s="44"/>
      <c r="B26" s="43"/>
      <c r="C26" s="43"/>
      <c r="D26" s="43"/>
      <c r="E26" s="96"/>
    </row>
    <row r="27" spans="1:10" s="334" customFormat="1">
      <c r="A27" s="682" t="s">
        <v>603</v>
      </c>
      <c r="B27" s="690" t="s">
        <v>592</v>
      </c>
      <c r="C27" s="698"/>
      <c r="D27" s="697"/>
      <c r="E27" s="713" t="s">
        <v>607</v>
      </c>
    </row>
    <row r="28" spans="1:10">
      <c r="A28" s="685" t="s">
        <v>202</v>
      </c>
      <c r="B28" s="677" t="s">
        <v>594</v>
      </c>
      <c r="C28" s="699"/>
      <c r="D28" s="700"/>
      <c r="E28" s="707">
        <f>E29*0.853</f>
        <v>1.0116343055555555E-2</v>
      </c>
      <c r="G28" s="681"/>
      <c r="H28" s="853"/>
      <c r="I28" s="853"/>
      <c r="J28" s="853"/>
    </row>
    <row r="29" spans="1:10">
      <c r="A29" s="685" t="s">
        <v>202</v>
      </c>
      <c r="B29" s="677" t="s">
        <v>595</v>
      </c>
      <c r="C29" s="699"/>
      <c r="D29" s="700"/>
      <c r="E29" s="707">
        <f>0.042695/3.6</f>
        <v>1.1859722222222221E-2</v>
      </c>
      <c r="F29" s="983"/>
      <c r="G29" s="681"/>
      <c r="H29" s="853"/>
      <c r="I29" s="853"/>
      <c r="J29" s="853"/>
    </row>
    <row r="30" spans="1:10">
      <c r="A30" s="685" t="s">
        <v>120</v>
      </c>
      <c r="B30" s="677" t="s">
        <v>594</v>
      </c>
      <c r="C30" s="699"/>
      <c r="D30" s="700"/>
      <c r="E30" s="707">
        <f>E31*0.755</f>
        <v>9.1803805555555566E-3</v>
      </c>
      <c r="H30" s="853"/>
      <c r="I30" s="853"/>
      <c r="J30" s="853"/>
    </row>
    <row r="31" spans="1:10">
      <c r="A31" s="685" t="s">
        <v>120</v>
      </c>
      <c r="B31" s="677" t="s">
        <v>595</v>
      </c>
      <c r="C31" s="699"/>
      <c r="D31" s="700"/>
      <c r="E31" s="707">
        <f>0.043774/3.6</f>
        <v>1.2159444444444445E-2</v>
      </c>
      <c r="H31" s="853"/>
      <c r="I31" s="853"/>
      <c r="J31" s="853"/>
    </row>
    <row r="32" spans="1:10">
      <c r="A32" s="685" t="s">
        <v>605</v>
      </c>
      <c r="B32" s="677" t="s">
        <v>594</v>
      </c>
      <c r="C32" s="699"/>
      <c r="D32" s="700"/>
      <c r="E32" s="707">
        <f>E33*0.55</f>
        <v>7.1139444444444453E-3</v>
      </c>
      <c r="H32" s="853"/>
    </row>
    <row r="33" spans="1:8">
      <c r="A33" s="685" t="s">
        <v>605</v>
      </c>
      <c r="B33" s="677" t="s">
        <v>595</v>
      </c>
      <c r="C33" s="699"/>
      <c r="D33" s="700"/>
      <c r="E33" s="707">
        <f>0.046564/3.6</f>
        <v>1.2934444444444445E-2</v>
      </c>
      <c r="H33" s="853"/>
    </row>
    <row r="34" spans="1:8">
      <c r="A34" s="685" t="s">
        <v>606</v>
      </c>
      <c r="B34" s="677" t="s">
        <v>594</v>
      </c>
      <c r="C34" s="699"/>
      <c r="D34" s="700"/>
      <c r="E34" s="707">
        <f>E35*0.0007</f>
        <v>9.3333333333333326E-6</v>
      </c>
      <c r="H34" s="853"/>
    </row>
    <row r="35" spans="1:8">
      <c r="A35" s="685" t="s">
        <v>606</v>
      </c>
      <c r="B35" s="677" t="s">
        <v>595</v>
      </c>
      <c r="C35" s="699"/>
      <c r="D35" s="700"/>
      <c r="E35" s="707">
        <f>0.048/3.6</f>
        <v>1.3333333333333332E-2</v>
      </c>
      <c r="H35" s="853"/>
    </row>
    <row r="36" spans="1:8" ht="15.75" thickBot="1">
      <c r="A36" s="686"/>
      <c r="B36" s="687"/>
      <c r="C36" s="702"/>
      <c r="D36" s="703"/>
      <c r="E36" s="7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445</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458</v>
      </c>
      <c r="B6" s="130" t="s">
        <v>459</v>
      </c>
      <c r="C6" s="131" t="s">
        <v>461</v>
      </c>
    </row>
    <row r="7" spans="1:3" s="11" customFormat="1">
      <c r="A7" s="123"/>
      <c r="B7" s="158"/>
      <c r="C7" s="159" t="s">
        <v>619</v>
      </c>
    </row>
    <row r="8" spans="1:3" s="11" customFormat="1">
      <c r="A8" s="132"/>
      <c r="B8" s="133"/>
      <c r="C8" s="134"/>
    </row>
    <row r="9" spans="1:3" s="11" customFormat="1">
      <c r="A9" s="113" t="s">
        <v>460</v>
      </c>
      <c r="B9" s="130" t="s">
        <v>463</v>
      </c>
      <c r="C9" s="131" t="s">
        <v>520</v>
      </c>
    </row>
    <row r="10" spans="1:3" s="11" customFormat="1">
      <c r="A10" s="132"/>
      <c r="B10" s="133"/>
      <c r="C10" s="134"/>
    </row>
    <row r="11" spans="1:3" s="11" customFormat="1" ht="18">
      <c r="A11" s="113" t="s">
        <v>462</v>
      </c>
      <c r="B11" s="130" t="s">
        <v>464</v>
      </c>
      <c r="C11" s="156" t="s">
        <v>518</v>
      </c>
    </row>
    <row r="12" spans="1:3" s="11" customFormat="1">
      <c r="A12" s="132"/>
      <c r="B12" s="133"/>
      <c r="C12" s="134"/>
    </row>
    <row r="13" spans="1:3" s="11" customFormat="1" ht="18">
      <c r="A13" s="113" t="s">
        <v>465</v>
      </c>
      <c r="B13" s="130" t="s">
        <v>466</v>
      </c>
      <c r="C13" s="157" t="s">
        <v>519</v>
      </c>
    </row>
    <row r="14" spans="1:3" s="11" customFormat="1">
      <c r="A14" s="132"/>
      <c r="B14" s="133"/>
      <c r="C14" s="134"/>
    </row>
    <row r="15" spans="1:3" s="11" customFormat="1" ht="18">
      <c r="A15" s="113" t="s">
        <v>467</v>
      </c>
      <c r="B15" t="s">
        <v>471</v>
      </c>
      <c r="C15" s="131" t="s">
        <v>521</v>
      </c>
    </row>
    <row r="16" spans="1:3" s="11" customFormat="1">
      <c r="A16" s="132"/>
      <c r="B16" s="133"/>
      <c r="C16" s="134"/>
    </row>
    <row r="17" spans="1:3" s="11" customFormat="1" ht="30">
      <c r="A17" s="113" t="s">
        <v>393</v>
      </c>
      <c r="B17" s="130" t="s">
        <v>472</v>
      </c>
      <c r="C17" s="131" t="s">
        <v>522</v>
      </c>
    </row>
    <row r="18" spans="1:3" s="11" customFormat="1">
      <c r="A18" s="132"/>
      <c r="B18" s="133"/>
      <c r="C18" s="134" t="s">
        <v>468</v>
      </c>
    </row>
    <row r="19" spans="1:3" s="11" customFormat="1" ht="30">
      <c r="A19" s="113" t="s">
        <v>469</v>
      </c>
      <c r="B19" s="130" t="s">
        <v>473</v>
      </c>
      <c r="C19" s="131" t="s">
        <v>523</v>
      </c>
    </row>
    <row r="20" spans="1:3" s="11" customFormat="1">
      <c r="A20" s="132"/>
      <c r="B20" s="133"/>
      <c r="C20" s="134"/>
    </row>
    <row r="21" spans="1:3" s="11" customFormat="1" ht="30">
      <c r="A21" s="113" t="s">
        <v>470</v>
      </c>
      <c r="B21" s="130" t="s">
        <v>686</v>
      </c>
      <c r="C21" s="131" t="s">
        <v>587</v>
      </c>
    </row>
    <row r="22" spans="1:3" s="11" customFormat="1">
      <c r="A22" s="140"/>
      <c r="B22" s="158"/>
      <c r="C22" s="159"/>
    </row>
    <row r="23" spans="1:3" ht="21">
      <c r="A23" s="126" t="s">
        <v>475</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41048</v>
      </c>
      <c r="B1" s="332"/>
      <c r="C1" s="332"/>
      <c r="D1" s="332"/>
      <c r="E1" s="332"/>
      <c r="F1" s="333"/>
    </row>
    <row r="3" spans="1:6" ht="19.5">
      <c r="A3" s="335" t="s">
        <v>0</v>
      </c>
    </row>
    <row r="4" spans="1:6" ht="22.5">
      <c r="A4" s="1282" t="s">
        <v>863</v>
      </c>
    </row>
    <row r="5" spans="1:6" ht="22.5">
      <c r="A5" s="1282" t="s">
        <v>864</v>
      </c>
    </row>
    <row r="6" spans="1:6" ht="15.75" thickBot="1"/>
    <row r="7" spans="1:6" ht="20.25" thickBot="1">
      <c r="A7" s="336" t="s">
        <v>1</v>
      </c>
      <c r="B7" s="337" t="s">
        <v>394</v>
      </c>
      <c r="C7" s="337" t="s">
        <v>709</v>
      </c>
      <c r="D7" s="337"/>
      <c r="E7" s="337"/>
      <c r="F7" s="338"/>
    </row>
    <row r="8" spans="1:6" ht="16.5" thickTop="1" thickBot="1">
      <c r="A8" s="339" t="s">
        <v>4</v>
      </c>
      <c r="B8" s="340">
        <v>2014</v>
      </c>
      <c r="C8" s="340">
        <v>2020</v>
      </c>
      <c r="D8" s="332"/>
      <c r="E8" s="332"/>
      <c r="F8" s="333"/>
    </row>
    <row r="9" spans="1:6">
      <c r="A9" s="341" t="s">
        <v>2</v>
      </c>
      <c r="B9" s="342">
        <v>15851</v>
      </c>
      <c r="C9" s="342">
        <v>17074</v>
      </c>
      <c r="D9" s="342"/>
      <c r="E9" s="342"/>
      <c r="F9" s="342"/>
    </row>
    <row r="10" spans="1:6">
      <c r="A10" s="343"/>
    </row>
    <row r="11" spans="1:6" ht="15.75" thickBot="1">
      <c r="A11" s="343"/>
    </row>
    <row r="12" spans="1:6" ht="20.25" thickBot="1">
      <c r="A12" s="336" t="s">
        <v>3</v>
      </c>
      <c r="B12" s="337" t="s">
        <v>394</v>
      </c>
      <c r="C12" s="337" t="s">
        <v>739</v>
      </c>
      <c r="D12" s="337"/>
      <c r="E12" s="337"/>
      <c r="F12" s="344"/>
    </row>
    <row r="13" spans="1:6" ht="16.5" thickTop="1" thickBot="1">
      <c r="A13" s="345" t="s">
        <v>4</v>
      </c>
      <c r="B13" s="346" t="s">
        <v>5</v>
      </c>
      <c r="C13" s="346"/>
      <c r="D13" s="346"/>
      <c r="E13" s="346"/>
      <c r="F13" s="347"/>
    </row>
    <row r="14" spans="1:6">
      <c r="A14" s="348" t="s">
        <v>746</v>
      </c>
      <c r="B14" s="334">
        <v>3896</v>
      </c>
    </row>
    <row r="15" spans="1:6">
      <c r="A15" s="348" t="s">
        <v>184</v>
      </c>
      <c r="B15" s="334">
        <v>169</v>
      </c>
    </row>
    <row r="16" spans="1:6">
      <c r="A16" s="348" t="s">
        <v>6</v>
      </c>
      <c r="B16" s="334">
        <v>1499</v>
      </c>
    </row>
    <row r="17" spans="1:6">
      <c r="A17" s="348" t="s">
        <v>7</v>
      </c>
      <c r="B17" s="334">
        <v>1174</v>
      </c>
    </row>
    <row r="18" spans="1:6">
      <c r="A18" s="348" t="s">
        <v>8</v>
      </c>
      <c r="B18" s="334">
        <v>1917</v>
      </c>
    </row>
    <row r="19" spans="1:6">
      <c r="A19" s="348" t="s">
        <v>9</v>
      </c>
      <c r="B19" s="334">
        <v>1837</v>
      </c>
    </row>
    <row r="20" spans="1:6">
      <c r="A20" s="348" t="s">
        <v>10</v>
      </c>
      <c r="B20" s="334">
        <v>1658</v>
      </c>
    </row>
    <row r="21" spans="1:6">
      <c r="A21" s="348" t="s">
        <v>11</v>
      </c>
      <c r="B21" s="334">
        <v>362</v>
      </c>
    </row>
    <row r="22" spans="1:6">
      <c r="A22" s="348" t="s">
        <v>12</v>
      </c>
      <c r="B22" s="334">
        <v>1720</v>
      </c>
    </row>
    <row r="23" spans="1:6">
      <c r="A23" s="348" t="s">
        <v>13</v>
      </c>
      <c r="B23" s="334">
        <v>8</v>
      </c>
    </row>
    <row r="24" spans="1:6">
      <c r="A24" s="348" t="s">
        <v>14</v>
      </c>
      <c r="B24" s="334">
        <v>2</v>
      </c>
    </row>
    <row r="25" spans="1:6">
      <c r="A25" s="348" t="s">
        <v>15</v>
      </c>
      <c r="B25" s="334">
        <v>187</v>
      </c>
    </row>
    <row r="26" spans="1:6">
      <c r="A26" s="348" t="s">
        <v>16</v>
      </c>
      <c r="B26" s="334">
        <v>375</v>
      </c>
    </row>
    <row r="27" spans="1:6">
      <c r="A27" s="348" t="s">
        <v>17</v>
      </c>
      <c r="B27" s="334">
        <v>4</v>
      </c>
    </row>
    <row r="28" spans="1:6" s="356" customFormat="1">
      <c r="A28" s="355" t="s">
        <v>18</v>
      </c>
      <c r="B28" s="355">
        <v>48</v>
      </c>
    </row>
    <row r="29" spans="1:6">
      <c r="A29" s="355" t="s">
        <v>865</v>
      </c>
      <c r="B29" s="355">
        <v>168</v>
      </c>
      <c r="C29" s="356"/>
      <c r="D29" s="356"/>
      <c r="E29" s="356"/>
      <c r="F29" s="356"/>
    </row>
    <row r="30" spans="1:6">
      <c r="A30" s="341" t="s">
        <v>866</v>
      </c>
      <c r="B30" s="341">
        <v>50</v>
      </c>
      <c r="C30" s="342"/>
      <c r="D30" s="342"/>
      <c r="E30" s="342"/>
      <c r="F30" s="342"/>
    </row>
    <row r="31" spans="1:6" ht="15.75" thickBot="1">
      <c r="A31" s="343"/>
    </row>
    <row r="32" spans="1:6" ht="20.25" thickBot="1">
      <c r="A32" s="336" t="s">
        <v>19</v>
      </c>
      <c r="B32" s="337" t="s">
        <v>394</v>
      </c>
      <c r="C32" s="337" t="s">
        <v>702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7842.8059999999996</v>
      </c>
    </row>
    <row r="37" spans="1:6">
      <c r="A37" s="348" t="s">
        <v>25</v>
      </c>
      <c r="B37" s="348" t="s">
        <v>28</v>
      </c>
      <c r="C37" s="334">
        <v>0</v>
      </c>
      <c r="D37" s="334">
        <v>0</v>
      </c>
      <c r="E37" s="334">
        <v>0</v>
      </c>
      <c r="F37" s="334">
        <v>0</v>
      </c>
    </row>
    <row r="38" spans="1:6">
      <c r="A38" s="348" t="s">
        <v>25</v>
      </c>
      <c r="B38" s="348" t="s">
        <v>29</v>
      </c>
      <c r="C38" s="334">
        <v>2</v>
      </c>
      <c r="D38" s="334">
        <v>147059.360888058</v>
      </c>
      <c r="E38" s="334">
        <v>3</v>
      </c>
      <c r="F38" s="334">
        <v>8956.8209999999999</v>
      </c>
    </row>
    <row r="39" spans="1:6">
      <c r="A39" s="348" t="s">
        <v>30</v>
      </c>
      <c r="B39" s="348" t="s">
        <v>31</v>
      </c>
      <c r="C39" s="334">
        <v>8068</v>
      </c>
      <c r="D39" s="334">
        <v>110343816.26833101</v>
      </c>
      <c r="E39" s="334">
        <v>15767</v>
      </c>
      <c r="F39" s="334">
        <v>65315677</v>
      </c>
    </row>
    <row r="40" spans="1:6">
      <c r="A40" s="348" t="s">
        <v>30</v>
      </c>
      <c r="B40" s="348" t="s">
        <v>29</v>
      </c>
      <c r="C40" s="334">
        <v>0</v>
      </c>
      <c r="D40" s="334">
        <v>0</v>
      </c>
      <c r="E40" s="334">
        <v>0</v>
      </c>
      <c r="F40" s="334">
        <v>0</v>
      </c>
    </row>
    <row r="41" spans="1:6">
      <c r="A41" s="348" t="s">
        <v>32</v>
      </c>
      <c r="B41" s="348" t="s">
        <v>33</v>
      </c>
      <c r="C41" s="334">
        <v>60</v>
      </c>
      <c r="D41" s="334">
        <v>1512643.1848417199</v>
      </c>
      <c r="E41" s="334">
        <v>247</v>
      </c>
      <c r="F41" s="334">
        <v>2588875</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402856.85023173701</v>
      </c>
      <c r="E44" s="334">
        <v>27</v>
      </c>
      <c r="F44" s="334">
        <v>2828009</v>
      </c>
    </row>
    <row r="45" spans="1:6">
      <c r="A45" s="348" t="s">
        <v>32</v>
      </c>
      <c r="B45" s="348" t="s">
        <v>37</v>
      </c>
      <c r="C45" s="334">
        <v>0</v>
      </c>
      <c r="D45" s="334">
        <v>0</v>
      </c>
      <c r="E45" s="334">
        <v>4</v>
      </c>
      <c r="F45" s="334">
        <v>501915.2</v>
      </c>
    </row>
    <row r="46" spans="1:6">
      <c r="A46" s="348" t="s">
        <v>32</v>
      </c>
      <c r="B46" s="348" t="s">
        <v>38</v>
      </c>
      <c r="C46" s="334">
        <v>0</v>
      </c>
      <c r="D46" s="334">
        <v>0</v>
      </c>
      <c r="E46" s="334">
        <v>0</v>
      </c>
      <c r="F46" s="334">
        <v>0</v>
      </c>
    </row>
    <row r="47" spans="1:6">
      <c r="A47" s="348" t="s">
        <v>32</v>
      </c>
      <c r="B47" s="348" t="s">
        <v>39</v>
      </c>
      <c r="C47" s="334">
        <v>0</v>
      </c>
      <c r="D47" s="334">
        <v>0</v>
      </c>
      <c r="E47" s="334">
        <v>7</v>
      </c>
      <c r="F47" s="334">
        <v>266092</v>
      </c>
    </row>
    <row r="48" spans="1:6">
      <c r="A48" s="348" t="s">
        <v>32</v>
      </c>
      <c r="B48" s="348" t="s">
        <v>29</v>
      </c>
      <c r="C48" s="334">
        <v>58</v>
      </c>
      <c r="D48" s="334">
        <v>27373010.297012199</v>
      </c>
      <c r="E48" s="334">
        <v>108</v>
      </c>
      <c r="F48" s="334">
        <v>27332374</v>
      </c>
    </row>
    <row r="49" spans="1:6">
      <c r="A49" s="348" t="s">
        <v>32</v>
      </c>
      <c r="B49" s="348" t="s">
        <v>40</v>
      </c>
      <c r="C49" s="334">
        <v>0</v>
      </c>
      <c r="D49" s="334">
        <v>0</v>
      </c>
      <c r="E49" s="334">
        <v>0</v>
      </c>
      <c r="F49" s="334">
        <v>0</v>
      </c>
    </row>
    <row r="50" spans="1:6">
      <c r="A50" s="348" t="s">
        <v>32</v>
      </c>
      <c r="B50" s="348" t="s">
        <v>41</v>
      </c>
      <c r="C50" s="334">
        <v>15</v>
      </c>
      <c r="D50" s="334">
        <v>27194307.894712999</v>
      </c>
      <c r="E50" s="334">
        <v>30</v>
      </c>
      <c r="F50" s="334">
        <v>14970043</v>
      </c>
    </row>
    <row r="51" spans="1:6">
      <c r="A51" s="348" t="s">
        <v>42</v>
      </c>
      <c r="B51" s="348" t="s">
        <v>43</v>
      </c>
      <c r="C51" s="334">
        <v>6</v>
      </c>
      <c r="D51" s="334">
        <v>208572.56342647399</v>
      </c>
      <c r="E51" s="334">
        <v>88</v>
      </c>
      <c r="F51" s="334">
        <v>1067775</v>
      </c>
    </row>
    <row r="52" spans="1:6">
      <c r="A52" s="348" t="s">
        <v>42</v>
      </c>
      <c r="B52" s="348" t="s">
        <v>29</v>
      </c>
      <c r="C52" s="334">
        <v>5</v>
      </c>
      <c r="D52" s="334">
        <v>76651.567934737497</v>
      </c>
      <c r="E52" s="334">
        <v>15</v>
      </c>
      <c r="F52" s="334">
        <v>152989.5</v>
      </c>
    </row>
    <row r="53" spans="1:6">
      <c r="A53" s="348" t="s">
        <v>44</v>
      </c>
      <c r="B53" s="348" t="s">
        <v>45</v>
      </c>
      <c r="C53" s="334">
        <v>217</v>
      </c>
      <c r="D53" s="334">
        <v>4692063.7197898403</v>
      </c>
      <c r="E53" s="334">
        <v>579</v>
      </c>
      <c r="F53" s="334">
        <v>2952880</v>
      </c>
    </row>
    <row r="54" spans="1:6">
      <c r="A54" s="348" t="s">
        <v>46</v>
      </c>
      <c r="B54" s="348" t="s">
        <v>47</v>
      </c>
      <c r="C54" s="334">
        <v>0</v>
      </c>
      <c r="D54" s="334">
        <v>0</v>
      </c>
      <c r="E54" s="334">
        <v>1</v>
      </c>
      <c r="F54" s="334">
        <v>2562331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85</v>
      </c>
      <c r="D57" s="334">
        <v>3040506.3641518801</v>
      </c>
      <c r="E57" s="334">
        <v>186</v>
      </c>
      <c r="F57" s="334">
        <v>3844611</v>
      </c>
    </row>
    <row r="58" spans="1:6">
      <c r="A58" s="348" t="s">
        <v>49</v>
      </c>
      <c r="B58" s="348" t="s">
        <v>51</v>
      </c>
      <c r="C58" s="334">
        <v>32</v>
      </c>
      <c r="D58" s="334">
        <v>958441.66382975597</v>
      </c>
      <c r="E58" s="334">
        <v>61</v>
      </c>
      <c r="F58" s="334">
        <v>501674.1</v>
      </c>
    </row>
    <row r="59" spans="1:6">
      <c r="A59" s="348" t="s">
        <v>49</v>
      </c>
      <c r="B59" s="348" t="s">
        <v>52</v>
      </c>
      <c r="C59" s="334">
        <v>176</v>
      </c>
      <c r="D59" s="334">
        <v>14019592.0375815</v>
      </c>
      <c r="E59" s="334">
        <v>477</v>
      </c>
      <c r="F59" s="334">
        <v>21201218</v>
      </c>
    </row>
    <row r="60" spans="1:6">
      <c r="A60" s="348" t="s">
        <v>49</v>
      </c>
      <c r="B60" s="348" t="s">
        <v>53</v>
      </c>
      <c r="C60" s="334">
        <v>115</v>
      </c>
      <c r="D60" s="334">
        <v>4862469.2986095101</v>
      </c>
      <c r="E60" s="334">
        <v>190</v>
      </c>
      <c r="F60" s="334">
        <v>4636067</v>
      </c>
    </row>
    <row r="61" spans="1:6">
      <c r="A61" s="348" t="s">
        <v>49</v>
      </c>
      <c r="B61" s="348" t="s">
        <v>54</v>
      </c>
      <c r="C61" s="334">
        <v>156</v>
      </c>
      <c r="D61" s="334">
        <v>6366755.2738365699</v>
      </c>
      <c r="E61" s="334">
        <v>618</v>
      </c>
      <c r="F61" s="334">
        <v>8211333</v>
      </c>
    </row>
    <row r="62" spans="1:6">
      <c r="A62" s="348" t="s">
        <v>49</v>
      </c>
      <c r="B62" s="348" t="s">
        <v>55</v>
      </c>
      <c r="C62" s="334">
        <v>32</v>
      </c>
      <c r="D62" s="334">
        <v>5595727.4750777297</v>
      </c>
      <c r="E62" s="334">
        <v>19</v>
      </c>
      <c r="F62" s="334">
        <v>870174.1</v>
      </c>
    </row>
    <row r="63" spans="1:6">
      <c r="A63" s="348" t="s">
        <v>49</v>
      </c>
      <c r="B63" s="348" t="s">
        <v>29</v>
      </c>
      <c r="C63" s="334">
        <v>194</v>
      </c>
      <c r="D63" s="334">
        <v>10031004.2101472</v>
      </c>
      <c r="E63" s="334">
        <v>298</v>
      </c>
      <c r="F63" s="334">
        <v>7441982</v>
      </c>
    </row>
    <row r="64" spans="1:6">
      <c r="A64" s="348" t="s">
        <v>56</v>
      </c>
      <c r="B64" s="348" t="s">
        <v>57</v>
      </c>
      <c r="C64" s="334">
        <v>0</v>
      </c>
      <c r="D64" s="334">
        <v>0</v>
      </c>
      <c r="E64" s="334">
        <v>0</v>
      </c>
      <c r="F64" s="334">
        <v>0</v>
      </c>
    </row>
    <row r="65" spans="1:6">
      <c r="A65" s="348" t="s">
        <v>56</v>
      </c>
      <c r="B65" s="348" t="s">
        <v>29</v>
      </c>
      <c r="C65" s="334">
        <v>4</v>
      </c>
      <c r="D65" s="334">
        <v>194120.239350741</v>
      </c>
      <c r="E65" s="334">
        <v>11</v>
      </c>
      <c r="F65" s="334">
        <v>180691.4</v>
      </c>
    </row>
    <row r="66" spans="1:6">
      <c r="A66" s="348" t="s">
        <v>56</v>
      </c>
      <c r="B66" s="348" t="s">
        <v>58</v>
      </c>
      <c r="C66" s="334">
        <v>0</v>
      </c>
      <c r="D66" s="334">
        <v>0</v>
      </c>
      <c r="E66" s="334">
        <v>18</v>
      </c>
      <c r="F66" s="334">
        <v>698514.8</v>
      </c>
    </row>
    <row r="67" spans="1:6">
      <c r="A67" s="355" t="s">
        <v>56</v>
      </c>
      <c r="B67" s="355" t="s">
        <v>59</v>
      </c>
      <c r="C67" s="334">
        <v>0</v>
      </c>
      <c r="D67" s="334">
        <v>0</v>
      </c>
      <c r="E67" s="334">
        <v>0</v>
      </c>
      <c r="F67" s="334">
        <v>0</v>
      </c>
    </row>
    <row r="68" spans="1:6">
      <c r="A68" s="341" t="s">
        <v>56</v>
      </c>
      <c r="B68" s="341" t="s">
        <v>60</v>
      </c>
      <c r="C68" s="334">
        <v>3</v>
      </c>
      <c r="D68" s="334">
        <v>34645.487859903798</v>
      </c>
      <c r="E68" s="334">
        <v>7</v>
      </c>
      <c r="F68" s="334">
        <v>108412.2</v>
      </c>
    </row>
    <row r="69" spans="1:6" ht="15.75" thickBot="1">
      <c r="A69" s="343"/>
    </row>
    <row r="70" spans="1:6" ht="19.5">
      <c r="A70" s="336" t="s">
        <v>61</v>
      </c>
      <c r="B70" s="337"/>
      <c r="C70" s="337" t="s">
        <v>408</v>
      </c>
      <c r="D70" s="337" t="s">
        <v>756</v>
      </c>
      <c r="E70" s="337"/>
      <c r="F70" s="344"/>
    </row>
    <row r="71" spans="1:6" ht="20.25" thickBot="1">
      <c r="A71" s="357"/>
      <c r="B71" s="358"/>
      <c r="C71" s="358"/>
      <c r="D71" s="359" t="s">
        <v>448</v>
      </c>
      <c r="E71" s="358"/>
      <c r="F71" s="360"/>
    </row>
    <row r="72" spans="1:6" ht="16.5" thickTop="1" thickBot="1">
      <c r="A72" s="345" t="s">
        <v>62</v>
      </c>
      <c r="B72" s="346" t="s">
        <v>63</v>
      </c>
      <c r="C72" s="1283" t="s">
        <v>731</v>
      </c>
      <c r="D72" s="361">
        <v>2014</v>
      </c>
      <c r="E72" s="361">
        <v>2020</v>
      </c>
      <c r="F72" s="347"/>
    </row>
    <row r="73" spans="1:6">
      <c r="A73" s="348" t="s">
        <v>64</v>
      </c>
      <c r="B73" s="348" t="s">
        <v>713</v>
      </c>
      <c r="C73" s="1288" t="s">
        <v>715</v>
      </c>
      <c r="D73" s="477">
        <v>140431251</v>
      </c>
      <c r="E73" s="477">
        <v>156668721.58466604</v>
      </c>
    </row>
    <row r="74" spans="1:6">
      <c r="A74" s="348" t="s">
        <v>64</v>
      </c>
      <c r="B74" s="348" t="s">
        <v>714</v>
      </c>
      <c r="C74" s="1288" t="s">
        <v>716</v>
      </c>
      <c r="D74" s="477">
        <v>19919097.158259917</v>
      </c>
      <c r="E74" s="477">
        <v>21646115.232161723</v>
      </c>
    </row>
    <row r="75" spans="1:6">
      <c r="A75" s="348" t="s">
        <v>65</v>
      </c>
      <c r="B75" s="348" t="s">
        <v>713</v>
      </c>
      <c r="C75" s="1288" t="s">
        <v>717</v>
      </c>
      <c r="D75" s="477">
        <v>52044023</v>
      </c>
      <c r="E75" s="477">
        <v>59572232.77437745</v>
      </c>
    </row>
    <row r="76" spans="1:6">
      <c r="A76" s="348" t="s">
        <v>65</v>
      </c>
      <c r="B76" s="348" t="s">
        <v>714</v>
      </c>
      <c r="C76" s="1288" t="s">
        <v>718</v>
      </c>
      <c r="D76" s="477">
        <v>2400795.1582599152</v>
      </c>
      <c r="E76" s="477">
        <v>2703595.2152746511</v>
      </c>
    </row>
    <row r="77" spans="1:6">
      <c r="A77" s="348" t="s">
        <v>66</v>
      </c>
      <c r="B77" s="348" t="s">
        <v>713</v>
      </c>
      <c r="C77" s="1288" t="s">
        <v>719</v>
      </c>
      <c r="D77" s="477">
        <v>0</v>
      </c>
      <c r="E77" s="477">
        <v>0</v>
      </c>
    </row>
    <row r="78" spans="1:6">
      <c r="A78" s="341" t="s">
        <v>66</v>
      </c>
      <c r="B78" s="341" t="s">
        <v>714</v>
      </c>
      <c r="C78" s="341" t="s">
        <v>720</v>
      </c>
      <c r="D78" s="1284">
        <v>0</v>
      </c>
      <c r="E78" s="1284">
        <v>0</v>
      </c>
      <c r="F78" s="342"/>
    </row>
    <row r="79" spans="1:6">
      <c r="A79" s="362"/>
      <c r="B79" s="362"/>
    </row>
    <row r="80" spans="1:6" ht="15.75" thickBot="1">
      <c r="A80" s="362"/>
      <c r="B80" s="362"/>
    </row>
    <row r="81" spans="1:6" ht="20.25" thickBot="1">
      <c r="A81" s="336" t="s">
        <v>334</v>
      </c>
      <c r="B81" s="363" t="s">
        <v>394</v>
      </c>
      <c r="C81" s="337" t="s">
        <v>867</v>
      </c>
      <c r="D81" s="337"/>
      <c r="E81" s="337"/>
      <c r="F81" s="344"/>
    </row>
    <row r="82" spans="1:6" ht="16.5" thickTop="1" thickBot="1">
      <c r="A82" s="345" t="s">
        <v>335</v>
      </c>
      <c r="B82" s="361">
        <v>2014</v>
      </c>
      <c r="C82" s="361">
        <v>2020</v>
      </c>
      <c r="D82" s="346"/>
      <c r="E82" s="346"/>
      <c r="F82" s="347"/>
    </row>
    <row r="83" spans="1:6">
      <c r="A83" s="348" t="s">
        <v>336</v>
      </c>
      <c r="B83" s="477">
        <v>797631.68348016951</v>
      </c>
      <c r="C83" s="477">
        <v>809289.6833457062</v>
      </c>
    </row>
    <row r="84" spans="1:6">
      <c r="A84" s="341" t="s">
        <v>337</v>
      </c>
      <c r="B84" s="1284">
        <v>0</v>
      </c>
      <c r="C84" s="1284">
        <v>0</v>
      </c>
      <c r="D84" s="342"/>
      <c r="E84" s="342"/>
      <c r="F84" s="342"/>
    </row>
    <row r="85" spans="1:6">
      <c r="A85" s="362"/>
      <c r="B85" s="364"/>
    </row>
    <row r="86" spans="1:6" ht="15.75" thickBot="1">
      <c r="A86" s="343"/>
    </row>
    <row r="87" spans="1:6" ht="20.25" thickBot="1">
      <c r="A87" s="336" t="s">
        <v>67</v>
      </c>
      <c r="B87" s="337" t="s">
        <v>394</v>
      </c>
      <c r="C87" s="337" t="s">
        <v>868</v>
      </c>
      <c r="D87" s="337"/>
      <c r="E87" s="337"/>
      <c r="F87" s="344"/>
    </row>
    <row r="88" spans="1:6" ht="16.5" thickTop="1" thickBot="1">
      <c r="A88" s="345" t="s">
        <v>4</v>
      </c>
      <c r="B88" s="346" t="s">
        <v>170</v>
      </c>
      <c r="C88" s="346"/>
      <c r="D88" s="346"/>
      <c r="E88" s="346"/>
      <c r="F88" s="347"/>
    </row>
    <row r="89" spans="1:6">
      <c r="A89" s="348" t="s">
        <v>558</v>
      </c>
      <c r="B89" s="334">
        <v>0</v>
      </c>
    </row>
    <row r="90" spans="1:6">
      <c r="A90" s="348" t="s">
        <v>559</v>
      </c>
      <c r="B90" s="1285">
        <v>0</v>
      </c>
    </row>
    <row r="91" spans="1:6">
      <c r="A91" s="348" t="s">
        <v>68</v>
      </c>
      <c r="B91" s="334">
        <v>5273.4590681557884</v>
      </c>
    </row>
    <row r="92" spans="1:6">
      <c r="A92" s="341" t="s">
        <v>69</v>
      </c>
      <c r="B92" s="342">
        <v>3869.7129136281083</v>
      </c>
      <c r="C92" s="342"/>
      <c r="D92" s="342"/>
      <c r="E92" s="342"/>
      <c r="F92" s="342"/>
    </row>
    <row r="93" spans="1:6">
      <c r="A93" s="343"/>
    </row>
    <row r="94" spans="1:6" ht="15.75" thickBot="1">
      <c r="A94" s="343"/>
    </row>
    <row r="95" spans="1:6" ht="20.25" thickBot="1">
      <c r="A95" s="336" t="s">
        <v>70</v>
      </c>
      <c r="B95" s="337" t="s">
        <v>394</v>
      </c>
      <c r="C95" s="337" t="s">
        <v>412</v>
      </c>
      <c r="D95" s="337"/>
      <c r="E95" s="337"/>
      <c r="F95" s="344"/>
    </row>
    <row r="96" spans="1:6" ht="16.5" thickTop="1" thickBot="1">
      <c r="A96" s="345" t="s">
        <v>4</v>
      </c>
      <c r="B96" s="346" t="s">
        <v>5</v>
      </c>
      <c r="C96" s="346"/>
      <c r="D96" s="346"/>
      <c r="E96" s="346"/>
      <c r="F96" s="347"/>
    </row>
    <row r="97" spans="1:6">
      <c r="A97" s="348" t="s">
        <v>71</v>
      </c>
      <c r="B97" s="334">
        <v>4030</v>
      </c>
    </row>
    <row r="98" spans="1:6">
      <c r="A98" s="348" t="s">
        <v>72</v>
      </c>
      <c r="B98" s="334">
        <v>2</v>
      </c>
    </row>
    <row r="99" spans="1:6">
      <c r="A99" s="348" t="s">
        <v>73</v>
      </c>
      <c r="B99" s="334">
        <v>188</v>
      </c>
    </row>
    <row r="100" spans="1:6">
      <c r="A100" s="348" t="s">
        <v>74</v>
      </c>
      <c r="B100" s="334">
        <v>1269</v>
      </c>
    </row>
    <row r="101" spans="1:6">
      <c r="A101" s="348" t="s">
        <v>75</v>
      </c>
      <c r="B101" s="334">
        <v>211</v>
      </c>
    </row>
    <row r="102" spans="1:6">
      <c r="A102" s="348" t="s">
        <v>76</v>
      </c>
      <c r="B102" s="334">
        <v>300</v>
      </c>
    </row>
    <row r="103" spans="1:6">
      <c r="A103" s="348" t="s">
        <v>77</v>
      </c>
      <c r="B103" s="334">
        <v>540</v>
      </c>
    </row>
    <row r="104" spans="1:6">
      <c r="A104" s="348" t="s">
        <v>78</v>
      </c>
      <c r="B104" s="334">
        <v>7256</v>
      </c>
    </row>
    <row r="105" spans="1:6">
      <c r="A105" s="341" t="s">
        <v>79</v>
      </c>
      <c r="B105" s="341">
        <v>9</v>
      </c>
      <c r="C105" s="342"/>
      <c r="D105" s="342"/>
      <c r="E105" s="342"/>
      <c r="F105" s="342"/>
    </row>
    <row r="106" spans="1:6">
      <c r="A106" s="343"/>
    </row>
    <row r="107" spans="1:6" ht="15.75" thickBot="1">
      <c r="A107" s="343"/>
    </row>
    <row r="108" spans="1:6" ht="20.25" thickBot="1">
      <c r="A108" s="336" t="s">
        <v>661</v>
      </c>
      <c r="B108" s="337" t="s">
        <v>394</v>
      </c>
      <c r="C108" s="337" t="s">
        <v>869</v>
      </c>
      <c r="D108" s="337"/>
      <c r="E108" s="337"/>
      <c r="F108" s="344"/>
    </row>
    <row r="109" spans="1:6" ht="16.5" thickTop="1" thickBot="1">
      <c r="A109" s="345" t="s">
        <v>4</v>
      </c>
      <c r="B109" s="346" t="s">
        <v>5</v>
      </c>
      <c r="C109" s="346"/>
      <c r="D109" s="346"/>
      <c r="E109" s="346"/>
      <c r="F109" s="347"/>
    </row>
    <row r="110" spans="1:6">
      <c r="A110" s="348" t="s">
        <v>662</v>
      </c>
      <c r="B110" s="334">
        <v>1</v>
      </c>
    </row>
    <row r="111" spans="1:6">
      <c r="A111" s="1286" t="s">
        <v>663</v>
      </c>
      <c r="B111" s="1287">
        <v>0</v>
      </c>
      <c r="C111" s="1287"/>
      <c r="D111" s="1287"/>
      <c r="E111" s="1287"/>
      <c r="F111" s="1287"/>
    </row>
    <row r="112" spans="1:6">
      <c r="A112" s="348"/>
    </row>
    <row r="113" spans="1:6" ht="15.75" thickBot="1">
      <c r="A113" s="341"/>
      <c r="B113" s="342"/>
      <c r="C113" s="342"/>
      <c r="D113" s="342"/>
      <c r="E113" s="342"/>
      <c r="F113" s="342"/>
    </row>
    <row r="114" spans="1:6" ht="20.25" thickBot="1">
      <c r="A114" s="336" t="s">
        <v>80</v>
      </c>
      <c r="B114" s="337" t="s">
        <v>394</v>
      </c>
      <c r="C114" s="337" t="s">
        <v>870</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48</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869</v>
      </c>
      <c r="D127" s="337"/>
      <c r="E127" s="337"/>
      <c r="F127" s="344"/>
    </row>
    <row r="128" spans="1:6" ht="16.5" thickTop="1" thickBot="1">
      <c r="A128" s="345" t="s">
        <v>4</v>
      </c>
      <c r="B128" s="346" t="s">
        <v>5</v>
      </c>
      <c r="C128" s="346"/>
      <c r="D128" s="346"/>
      <c r="E128" s="346"/>
      <c r="F128" s="347"/>
    </row>
    <row r="129" spans="1:6">
      <c r="A129" s="348" t="s">
        <v>294</v>
      </c>
      <c r="B129" s="334">
        <v>172</v>
      </c>
    </row>
    <row r="130" spans="1:6">
      <c r="A130" s="348" t="s">
        <v>295</v>
      </c>
      <c r="B130" s="334">
        <v>2</v>
      </c>
    </row>
    <row r="131" spans="1:6">
      <c r="A131" s="348" t="s">
        <v>296</v>
      </c>
      <c r="B131" s="334">
        <v>2</v>
      </c>
    </row>
    <row r="132" spans="1:6">
      <c r="A132" s="341" t="s">
        <v>297</v>
      </c>
      <c r="B132" s="342">
        <v>25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50" customWidth="1"/>
    <col min="7" max="7" width="26.5703125" bestFit="1" customWidth="1"/>
  </cols>
  <sheetData>
    <row r="1" spans="1:12" ht="18.75" thickBot="1">
      <c r="A1" s="121" t="s">
        <v>180</v>
      </c>
      <c r="B1" s="536"/>
      <c r="E1" s="681"/>
      <c r="F1" s="681"/>
    </row>
    <row r="2" spans="1:12">
      <c r="A2" s="44" t="s">
        <v>687</v>
      </c>
      <c r="B2" s="537"/>
      <c r="E2" s="681"/>
      <c r="F2" s="681"/>
    </row>
    <row r="3" spans="1:12">
      <c r="A3" s="44"/>
      <c r="B3" s="537"/>
      <c r="E3" s="681"/>
      <c r="F3" s="681"/>
    </row>
    <row r="4" spans="1:12" ht="18">
      <c r="A4" s="137" t="s">
        <v>181</v>
      </c>
      <c r="B4" s="538" t="s">
        <v>388</v>
      </c>
      <c r="E4" s="681"/>
      <c r="F4" s="681"/>
    </row>
    <row r="5" spans="1:12" ht="21">
      <c r="A5" s="116" t="s">
        <v>183</v>
      </c>
      <c r="B5" s="539"/>
      <c r="E5" s="976"/>
      <c r="F5" s="977"/>
      <c r="G5" s="988"/>
      <c r="H5" s="988"/>
      <c r="I5" s="9"/>
      <c r="J5" s="9"/>
    </row>
    <row r="6" spans="1:12">
      <c r="A6" s="117" t="s">
        <v>184</v>
      </c>
      <c r="B6" s="540">
        <v>3.9849787380274715</v>
      </c>
      <c r="E6" s="978"/>
      <c r="F6" s="978"/>
      <c r="G6" s="989"/>
      <c r="H6" s="989"/>
      <c r="I6" s="10"/>
      <c r="J6" s="10"/>
      <c r="K6" s="10"/>
      <c r="L6" s="10"/>
    </row>
    <row r="7" spans="1:12">
      <c r="A7" s="117" t="s">
        <v>6</v>
      </c>
      <c r="B7" s="540">
        <v>144.74764565450877</v>
      </c>
      <c r="E7" s="681"/>
      <c r="F7" s="681"/>
      <c r="G7" s="990"/>
      <c r="H7" s="990"/>
      <c r="K7" s="10"/>
      <c r="L7" s="10"/>
    </row>
    <row r="8" spans="1:12">
      <c r="A8" s="117" t="s">
        <v>7</v>
      </c>
      <c r="B8" s="540">
        <v>91.875878397574567</v>
      </c>
      <c r="E8" s="681"/>
      <c r="F8" s="681"/>
      <c r="G8" s="990"/>
      <c r="H8" s="990"/>
      <c r="K8" s="10"/>
      <c r="L8" s="10"/>
    </row>
    <row r="9" spans="1:12">
      <c r="A9" s="117" t="s">
        <v>8</v>
      </c>
      <c r="B9" s="540">
        <v>31.466379225633727</v>
      </c>
      <c r="E9" s="978"/>
      <c r="F9" s="978"/>
      <c r="G9" s="989"/>
      <c r="H9" s="989"/>
      <c r="I9" s="10"/>
      <c r="J9" s="10"/>
      <c r="K9" s="10"/>
      <c r="L9" s="10"/>
    </row>
    <row r="10" spans="1:12">
      <c r="A10" s="117" t="s">
        <v>9</v>
      </c>
      <c r="B10" s="540">
        <v>47.265136268950577</v>
      </c>
      <c r="E10" s="979"/>
      <c r="F10" s="979"/>
      <c r="G10" s="991"/>
      <c r="H10" s="991"/>
      <c r="I10" s="11"/>
      <c r="J10" s="11"/>
      <c r="K10" s="10"/>
      <c r="L10" s="10"/>
    </row>
    <row r="11" spans="1:12">
      <c r="A11" s="117" t="s">
        <v>10</v>
      </c>
      <c r="B11" s="540">
        <v>47.685070955670071</v>
      </c>
      <c r="E11" s="681"/>
      <c r="F11" s="979"/>
      <c r="G11" s="991"/>
      <c r="H11" s="991"/>
      <c r="I11" s="11"/>
      <c r="J11" s="11"/>
      <c r="K11" s="10"/>
      <c r="L11" s="10"/>
    </row>
    <row r="12" spans="1:12">
      <c r="A12" s="118" t="s">
        <v>16</v>
      </c>
      <c r="B12" s="540">
        <v>8</v>
      </c>
      <c r="E12" s="979"/>
      <c r="F12" s="978"/>
      <c r="G12" s="989"/>
      <c r="H12" s="989"/>
      <c r="I12" s="10"/>
      <c r="J12" s="10"/>
      <c r="K12" s="10"/>
      <c r="L12" s="10"/>
    </row>
    <row r="13" spans="1:12">
      <c r="A13" s="118" t="s">
        <v>17</v>
      </c>
      <c r="B13" s="540">
        <v>5</v>
      </c>
      <c r="E13" s="978"/>
      <c r="F13" s="978"/>
      <c r="G13" s="989"/>
      <c r="H13" s="989"/>
      <c r="I13" s="10"/>
      <c r="J13" s="10"/>
      <c r="K13" s="10"/>
      <c r="L13" s="10"/>
    </row>
    <row r="14" spans="1:12">
      <c r="A14" s="118" t="s">
        <v>185</v>
      </c>
      <c r="B14" s="540">
        <v>1.5</v>
      </c>
      <c r="E14" s="978"/>
      <c r="F14" s="978"/>
      <c r="G14" s="989"/>
      <c r="H14" s="989"/>
      <c r="I14" s="10"/>
      <c r="J14" s="10"/>
      <c r="K14" s="10"/>
      <c r="L14" s="10"/>
    </row>
    <row r="15" spans="1:12">
      <c r="A15" s="118" t="s">
        <v>186</v>
      </c>
      <c r="B15" s="540">
        <v>18</v>
      </c>
      <c r="E15" s="978"/>
      <c r="F15" s="978"/>
      <c r="G15" s="989"/>
      <c r="H15" s="989"/>
      <c r="I15" s="10"/>
      <c r="J15" s="10"/>
      <c r="K15" s="10"/>
      <c r="L15" s="10"/>
    </row>
    <row r="16" spans="1:12">
      <c r="A16" s="118" t="s">
        <v>187</v>
      </c>
      <c r="B16" s="541">
        <v>10</v>
      </c>
      <c r="E16" s="978"/>
      <c r="F16" s="978"/>
      <c r="G16" s="989"/>
      <c r="H16" s="989"/>
      <c r="I16" s="10"/>
      <c r="J16" s="10"/>
      <c r="K16" s="10"/>
      <c r="L16" s="10"/>
    </row>
    <row r="17" spans="1:12" s="43" customFormat="1" ht="15.75" thickBot="1">
      <c r="A17" s="119"/>
      <c r="B17" s="542"/>
      <c r="E17" s="980"/>
      <c r="F17" s="980"/>
      <c r="G17" s="154"/>
      <c r="H17" s="154"/>
      <c r="I17" s="154"/>
      <c r="J17" s="154"/>
      <c r="K17" s="154"/>
      <c r="L17" s="154"/>
    </row>
    <row r="18" spans="1:12" s="43" customFormat="1" ht="15.75" thickBot="1">
      <c r="A18" s="195"/>
      <c r="B18" s="543"/>
      <c r="E18" s="980"/>
      <c r="F18" s="980"/>
      <c r="G18" s="154"/>
      <c r="H18" s="154"/>
      <c r="I18" s="154"/>
      <c r="J18" s="154"/>
      <c r="K18" s="154"/>
      <c r="L18" s="154"/>
    </row>
    <row r="19" spans="1:12" ht="18.75" thickBot="1">
      <c r="A19" s="121" t="s">
        <v>188</v>
      </c>
      <c r="B19" s="536"/>
      <c r="E19" s="978"/>
      <c r="F19" s="978"/>
      <c r="G19" s="10"/>
      <c r="H19" s="10"/>
      <c r="I19" s="10"/>
      <c r="J19" s="10"/>
      <c r="K19" s="10"/>
      <c r="L19" s="10"/>
    </row>
    <row r="20" spans="1:12">
      <c r="A20" s="44" t="s">
        <v>687</v>
      </c>
      <c r="B20" s="537"/>
      <c r="E20" s="978"/>
      <c r="F20" s="978"/>
      <c r="G20" s="10"/>
      <c r="H20" s="10"/>
      <c r="I20" s="10"/>
      <c r="J20" s="10"/>
      <c r="K20" s="10"/>
      <c r="L20" s="10"/>
    </row>
    <row r="21" spans="1:12">
      <c r="A21" s="44"/>
      <c r="B21" s="537"/>
      <c r="E21" s="978"/>
      <c r="F21" s="978"/>
      <c r="G21" s="10"/>
      <c r="H21" s="10"/>
      <c r="I21" s="10"/>
      <c r="J21" s="10"/>
      <c r="K21" s="10"/>
      <c r="L21" s="10"/>
    </row>
    <row r="22" spans="1:12" ht="18">
      <c r="A22" s="138" t="s">
        <v>181</v>
      </c>
      <c r="B22" s="544" t="s">
        <v>388</v>
      </c>
      <c r="E22" s="978"/>
      <c r="F22" s="978"/>
      <c r="G22" s="10"/>
      <c r="H22" s="10"/>
      <c r="I22" s="10"/>
      <c r="J22" s="10"/>
      <c r="K22" s="10"/>
      <c r="L22" s="10"/>
    </row>
    <row r="23" spans="1:12" s="72" customFormat="1">
      <c r="A23" s="118" t="s">
        <v>183</v>
      </c>
      <c r="B23" s="540">
        <v>11.063457018926419</v>
      </c>
      <c r="E23" s="981"/>
      <c r="F23" s="981"/>
      <c r="G23" s="992"/>
      <c r="H23" s="992"/>
    </row>
    <row r="24" spans="1:12">
      <c r="A24" s="117" t="s">
        <v>184</v>
      </c>
      <c r="B24" s="540">
        <v>4.2231090152811745</v>
      </c>
      <c r="E24" s="978"/>
      <c r="F24" s="978"/>
      <c r="G24" s="989"/>
      <c r="H24" s="989"/>
      <c r="I24" s="10"/>
      <c r="J24" s="10"/>
      <c r="K24" s="10"/>
      <c r="L24" s="10"/>
    </row>
    <row r="25" spans="1:12">
      <c r="A25" s="117" t="s">
        <v>6</v>
      </c>
      <c r="B25" s="540">
        <v>36.593077723873904</v>
      </c>
      <c r="E25" s="978"/>
      <c r="F25" s="978"/>
      <c r="G25" s="989"/>
      <c r="H25" s="989"/>
      <c r="I25" s="10"/>
      <c r="J25" s="10"/>
      <c r="K25" s="10"/>
      <c r="L25" s="10"/>
    </row>
    <row r="26" spans="1:12">
      <c r="A26" s="117" t="s">
        <v>7</v>
      </c>
      <c r="B26" s="540">
        <v>2.6304221411181921</v>
      </c>
      <c r="E26" s="978"/>
      <c r="F26" s="978"/>
      <c r="G26" s="989"/>
      <c r="H26" s="989"/>
      <c r="I26" s="10"/>
      <c r="J26" s="10"/>
      <c r="K26" s="10"/>
      <c r="L26" s="10"/>
    </row>
    <row r="27" spans="1:12">
      <c r="A27" s="117" t="s">
        <v>8</v>
      </c>
      <c r="B27" s="540">
        <v>1.3742356711711319</v>
      </c>
      <c r="E27" s="978"/>
      <c r="F27" s="978"/>
      <c r="G27" s="989"/>
      <c r="H27" s="989"/>
      <c r="I27" s="10"/>
      <c r="J27" s="10"/>
      <c r="K27" s="10"/>
      <c r="L27" s="10"/>
    </row>
    <row r="28" spans="1:12">
      <c r="A28" s="117" t="s">
        <v>9</v>
      </c>
      <c r="B28" s="540">
        <v>9.3577839260338891</v>
      </c>
      <c r="E28" s="978"/>
      <c r="F28" s="978"/>
      <c r="G28" s="989"/>
      <c r="H28" s="989"/>
      <c r="I28" s="10"/>
      <c r="J28" s="10"/>
      <c r="K28" s="10"/>
      <c r="L28" s="10"/>
    </row>
    <row r="29" spans="1:12">
      <c r="A29" s="117" t="s">
        <v>10</v>
      </c>
      <c r="B29" s="540">
        <v>3.8951527391088074</v>
      </c>
      <c r="E29" s="978"/>
      <c r="F29" s="978"/>
      <c r="G29" s="989"/>
      <c r="H29" s="989"/>
      <c r="I29" s="10"/>
      <c r="J29" s="10"/>
      <c r="K29" s="10"/>
      <c r="L29" s="10"/>
    </row>
    <row r="30" spans="1:12">
      <c r="A30" s="118" t="s">
        <v>185</v>
      </c>
      <c r="B30" s="540">
        <v>4.4707729193512042</v>
      </c>
      <c r="E30" s="978"/>
      <c r="F30" s="978"/>
      <c r="G30" s="989"/>
      <c r="H30" s="989"/>
      <c r="I30" s="10"/>
      <c r="J30" s="10"/>
      <c r="K30" s="10"/>
      <c r="L30" s="10"/>
    </row>
    <row r="31" spans="1:12">
      <c r="A31" s="117" t="s">
        <v>11</v>
      </c>
      <c r="B31" s="540">
        <v>1.6075002802320002</v>
      </c>
      <c r="E31" s="978"/>
      <c r="F31" s="978"/>
      <c r="G31" s="989"/>
      <c r="H31" s="989"/>
      <c r="I31" s="10"/>
      <c r="J31" s="10"/>
      <c r="K31" s="10"/>
      <c r="L31" s="10"/>
    </row>
    <row r="32" spans="1:12">
      <c r="A32" s="117" t="s">
        <v>12</v>
      </c>
      <c r="B32" s="540">
        <v>4.8225008406960015</v>
      </c>
      <c r="E32" s="978"/>
      <c r="F32" s="978"/>
      <c r="G32" s="989"/>
      <c r="H32" s="989"/>
      <c r="I32" s="10"/>
      <c r="J32" s="10"/>
      <c r="K32" s="10"/>
      <c r="L32" s="10"/>
    </row>
    <row r="33" spans="1:14">
      <c r="A33" s="117" t="s">
        <v>13</v>
      </c>
      <c r="B33" s="540">
        <v>6.3685027042560023</v>
      </c>
      <c r="E33" s="978"/>
      <c r="F33" s="978"/>
      <c r="G33" s="989"/>
      <c r="H33" s="989"/>
      <c r="I33" s="10"/>
      <c r="J33" s="10"/>
      <c r="K33" s="10"/>
      <c r="L33" s="10"/>
    </row>
    <row r="34" spans="1:14">
      <c r="A34" s="117" t="s">
        <v>14</v>
      </c>
      <c r="B34" s="540">
        <v>4.6362973013280016</v>
      </c>
      <c r="E34" s="978"/>
      <c r="F34" s="978"/>
      <c r="G34" s="989"/>
      <c r="H34" s="989"/>
      <c r="I34" s="10"/>
      <c r="J34" s="10"/>
      <c r="K34" s="10"/>
      <c r="L34" s="10"/>
    </row>
    <row r="35" spans="1:14">
      <c r="A35" s="117" t="s">
        <v>15</v>
      </c>
      <c r="B35" s="540">
        <v>12.338973989496003</v>
      </c>
      <c r="E35" s="978"/>
      <c r="F35" s="978"/>
      <c r="G35" s="989"/>
      <c r="H35" s="989"/>
      <c r="I35" s="10"/>
      <c r="J35" s="10"/>
      <c r="K35" s="10"/>
      <c r="L35" s="10"/>
    </row>
    <row r="36" spans="1:14">
      <c r="A36" s="118" t="s">
        <v>16</v>
      </c>
      <c r="B36" s="540">
        <v>0.19</v>
      </c>
      <c r="E36" s="978"/>
      <c r="F36" s="978"/>
      <c r="G36" s="989"/>
      <c r="H36" s="989"/>
      <c r="I36" s="10"/>
      <c r="J36" s="10"/>
      <c r="K36" s="10"/>
      <c r="L36" s="10"/>
    </row>
    <row r="37" spans="1:14">
      <c r="A37" s="118" t="s">
        <v>17</v>
      </c>
      <c r="B37" s="540">
        <v>0.13</v>
      </c>
      <c r="E37" s="681"/>
      <c r="F37" s="681"/>
      <c r="G37" s="990"/>
      <c r="H37" s="990"/>
    </row>
    <row r="38" spans="1:14">
      <c r="A38" s="118" t="s">
        <v>186</v>
      </c>
      <c r="B38" s="540">
        <v>1.56</v>
      </c>
      <c r="E38" s="681"/>
      <c r="F38" s="681"/>
      <c r="G38" s="990"/>
      <c r="H38" s="990"/>
    </row>
    <row r="39" spans="1:14">
      <c r="A39" s="118" t="s">
        <v>187</v>
      </c>
      <c r="B39" s="540">
        <v>0.76</v>
      </c>
      <c r="E39" s="681"/>
      <c r="F39" s="681"/>
      <c r="G39" s="990"/>
      <c r="H39" s="990"/>
    </row>
    <row r="40" spans="1:14">
      <c r="A40" s="118" t="s">
        <v>18</v>
      </c>
      <c r="B40" s="541">
        <v>2.3665847743388067E-2</v>
      </c>
      <c r="E40" s="681"/>
      <c r="F40" s="681"/>
      <c r="G40" s="990"/>
      <c r="H40" s="990"/>
    </row>
    <row r="41" spans="1:14" ht="15.75" thickBot="1">
      <c r="A41" s="119"/>
      <c r="B41" s="545"/>
      <c r="E41" s="681"/>
      <c r="F41" s="681"/>
    </row>
    <row r="42" spans="1:14" s="43" customFormat="1" ht="15.75" thickBot="1">
      <c r="A42" s="196"/>
      <c r="B42" s="543"/>
      <c r="E42" s="982"/>
      <c r="F42" s="982"/>
      <c r="G42" s="197"/>
      <c r="H42" s="197"/>
      <c r="I42" s="197"/>
      <c r="J42" s="197"/>
      <c r="K42" s="197"/>
      <c r="L42" s="197"/>
      <c r="M42" s="197"/>
      <c r="N42" s="197"/>
    </row>
    <row r="43" spans="1:14" ht="15.75" thickBot="1">
      <c r="A43" s="121" t="s">
        <v>189</v>
      </c>
      <c r="B43" s="546"/>
      <c r="E43" s="681"/>
      <c r="F43" s="681"/>
    </row>
    <row r="44" spans="1:14">
      <c r="A44" s="44" t="s">
        <v>688</v>
      </c>
      <c r="B44" s="537"/>
      <c r="E44" s="681"/>
      <c r="F44" s="681"/>
    </row>
    <row r="45" spans="1:14">
      <c r="A45" s="44"/>
      <c r="B45" s="537"/>
      <c r="E45" s="681"/>
      <c r="F45" s="681"/>
    </row>
    <row r="46" spans="1:14" ht="18">
      <c r="A46" s="137" t="s">
        <v>190</v>
      </c>
      <c r="B46" s="538" t="s">
        <v>585</v>
      </c>
      <c r="E46" s="681"/>
      <c r="F46" s="681"/>
    </row>
    <row r="47" spans="1:14">
      <c r="A47" s="116" t="s">
        <v>191</v>
      </c>
      <c r="B47" s="547">
        <v>0.90444945251923381</v>
      </c>
      <c r="E47" s="681"/>
      <c r="F47" s="681"/>
    </row>
    <row r="48" spans="1:14">
      <c r="A48" s="118" t="s">
        <v>192</v>
      </c>
      <c r="B48" s="540">
        <v>0.92146189948389634</v>
      </c>
      <c r="E48" s="681"/>
      <c r="F48" s="681"/>
    </row>
    <row r="49" spans="1:12">
      <c r="A49" s="118" t="s">
        <v>185</v>
      </c>
      <c r="B49" s="540">
        <v>3.1178436104027169E-2</v>
      </c>
      <c r="E49" s="681"/>
      <c r="F49" s="681"/>
    </row>
    <row r="50" spans="1:12">
      <c r="A50" s="118" t="s">
        <v>18</v>
      </c>
      <c r="B50" s="540">
        <v>9.6253703573780981E-4</v>
      </c>
      <c r="E50" s="978"/>
      <c r="F50" s="978"/>
      <c r="G50" s="10"/>
      <c r="H50" s="10"/>
      <c r="I50" s="10"/>
      <c r="J50" s="10"/>
      <c r="K50" s="10"/>
      <c r="L50" s="10"/>
    </row>
    <row r="51" spans="1:12">
      <c r="A51" s="118" t="s">
        <v>16</v>
      </c>
      <c r="B51" s="540">
        <v>6.4143617723768122E-3</v>
      </c>
      <c r="E51" s="978"/>
      <c r="F51" s="978"/>
      <c r="G51" s="10"/>
      <c r="H51" s="10"/>
      <c r="I51" s="10"/>
      <c r="J51" s="10"/>
      <c r="K51" s="10"/>
      <c r="L51" s="10"/>
    </row>
    <row r="52" spans="1:12" ht="15.75" thickBot="1">
      <c r="A52" s="119" t="s">
        <v>127</v>
      </c>
      <c r="B52" s="548">
        <v>9.5361269794874456E-2</v>
      </c>
      <c r="E52" s="681"/>
      <c r="F52" s="681"/>
    </row>
    <row r="53" spans="1:12">
      <c r="B53" s="549"/>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77" customWidth="1"/>
    <col min="3" max="3" width="70.28515625" style="553" customWidth="1"/>
  </cols>
  <sheetData>
    <row r="1" spans="1:3" s="334" customFormat="1" ht="15.75" thickBot="1">
      <c r="A1" s="392" t="s">
        <v>636</v>
      </c>
      <c r="B1" s="551"/>
      <c r="C1" s="552"/>
    </row>
    <row r="2" spans="1:3" s="334" customFormat="1">
      <c r="A2" s="396"/>
      <c r="B2" s="517"/>
      <c r="C2" s="554"/>
    </row>
    <row r="3" spans="1:3" s="334" customFormat="1">
      <c r="A3" s="394"/>
      <c r="B3" s="555">
        <v>2014</v>
      </c>
      <c r="C3" s="397" t="s">
        <v>182</v>
      </c>
    </row>
    <row r="4" spans="1:3">
      <c r="A4" s="120" t="s">
        <v>301</v>
      </c>
      <c r="B4" s="556">
        <f>4458664.95623876/1000</f>
        <v>4458.6649562387593</v>
      </c>
      <c r="C4" s="139" t="s">
        <v>689</v>
      </c>
    </row>
    <row r="5" spans="1:3" ht="15.75" thickBot="1">
      <c r="A5" s="1005" t="s">
        <v>635</v>
      </c>
      <c r="B5" s="1006">
        <v>673536</v>
      </c>
      <c r="C5" s="1007" t="s">
        <v>739</v>
      </c>
    </row>
    <row r="11" spans="1:3">
      <c r="B11" s="859"/>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2" t="s">
        <v>449</v>
      </c>
      <c r="B1" s="393"/>
    </row>
    <row r="2" spans="1:2" s="334" customFormat="1">
      <c r="A2" s="384"/>
      <c r="B2" s="391"/>
    </row>
    <row r="3" spans="1:2" s="334" customFormat="1" ht="18">
      <c r="A3" s="394"/>
      <c r="B3" s="395" t="s">
        <v>452</v>
      </c>
    </row>
    <row r="4" spans="1:2" ht="18">
      <c r="A4" s="120" t="s">
        <v>450</v>
      </c>
      <c r="B4" s="557">
        <v>310</v>
      </c>
    </row>
    <row r="5" spans="1:2" ht="18.75" thickBot="1">
      <c r="A5" s="115" t="s">
        <v>451</v>
      </c>
      <c r="B5" s="558">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8"/>
      <c r="B1" s="389" t="s">
        <v>199</v>
      </c>
      <c r="C1" s="389" t="s">
        <v>200</v>
      </c>
      <c r="D1" s="389" t="s">
        <v>201</v>
      </c>
      <c r="E1" s="389" t="s">
        <v>202</v>
      </c>
      <c r="F1" s="389" t="s">
        <v>120</v>
      </c>
      <c r="G1" s="389" t="s">
        <v>203</v>
      </c>
      <c r="H1" s="389" t="s">
        <v>204</v>
      </c>
      <c r="I1" s="389" t="s">
        <v>205</v>
      </c>
      <c r="J1" s="389" t="s">
        <v>206</v>
      </c>
      <c r="K1" s="389" t="s">
        <v>207</v>
      </c>
      <c r="L1" s="389" t="s">
        <v>208</v>
      </c>
      <c r="M1" s="390" t="s">
        <v>291</v>
      </c>
    </row>
    <row r="2" spans="1:13" s="334" customFormat="1">
      <c r="A2" s="384" t="s">
        <v>439</v>
      </c>
      <c r="B2" s="356"/>
      <c r="C2" s="356"/>
      <c r="D2" s="356"/>
      <c r="E2" s="356"/>
      <c r="F2" s="356"/>
      <c r="G2" s="356"/>
      <c r="H2" s="356"/>
      <c r="I2" s="356"/>
      <c r="J2" s="356"/>
      <c r="K2" s="356"/>
      <c r="L2" s="356"/>
      <c r="M2" s="391"/>
    </row>
    <row r="3" spans="1:13">
      <c r="A3" s="44"/>
      <c r="B3" s="43"/>
      <c r="C3" s="43"/>
      <c r="D3" s="43"/>
      <c r="E3" s="43"/>
      <c r="F3" s="43"/>
      <c r="G3" s="43"/>
      <c r="H3" s="43"/>
      <c r="I3" s="43"/>
      <c r="J3" s="43"/>
      <c r="K3" s="43"/>
      <c r="L3" s="43"/>
      <c r="M3" s="96"/>
    </row>
    <row r="4" spans="1:13" ht="15.75" thickBot="1">
      <c r="A4" s="210" t="s">
        <v>440</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19.140625" customWidth="1"/>
    <col min="6" max="6" width="19.28515625" customWidth="1"/>
    <col min="8" max="8" width="23.42578125" customWidth="1"/>
    <col min="11" max="11" width="80.85546875" customWidth="1"/>
  </cols>
  <sheetData>
    <row r="1" spans="1:11">
      <c r="A1" s="383" t="s">
        <v>491</v>
      </c>
      <c r="B1" s="198"/>
      <c r="C1" s="198"/>
      <c r="D1" s="198"/>
      <c r="E1" s="198"/>
      <c r="F1" s="198"/>
      <c r="G1" s="198"/>
      <c r="H1" s="198"/>
      <c r="I1" s="198"/>
      <c r="J1" s="198"/>
      <c r="K1" s="199"/>
    </row>
    <row r="2" spans="1:11">
      <c r="A2" s="384"/>
      <c r="B2" s="43"/>
      <c r="C2" s="43"/>
      <c r="D2" s="43"/>
      <c r="E2" s="43"/>
      <c r="F2" s="43"/>
      <c r="G2" s="43"/>
      <c r="H2" s="43"/>
      <c r="I2" s="43"/>
      <c r="J2" s="43"/>
      <c r="K2" s="96"/>
    </row>
    <row r="3" spans="1:11">
      <c r="A3" s="384" t="s">
        <v>509</v>
      </c>
      <c r="B3" s="49">
        <f ca="1">IF(ISERROR('SEAP template'!C23),0,'SEAP template'!C23)</f>
        <v>171779.97838218126</v>
      </c>
      <c r="C3" s="43" t="s">
        <v>170</v>
      </c>
      <c r="D3" s="43"/>
      <c r="E3" s="154"/>
      <c r="F3" s="43"/>
      <c r="G3" s="43"/>
      <c r="H3" s="43"/>
      <c r="I3" s="43"/>
      <c r="J3" s="43"/>
      <c r="K3" s="96"/>
    </row>
    <row r="4" spans="1:11">
      <c r="A4" s="384" t="s">
        <v>171</v>
      </c>
      <c r="B4" s="49">
        <f>IF(ISERROR('SEAP template'!B69),0,'SEAP template'!B69)</f>
        <v>11330.171981783897</v>
      </c>
      <c r="C4" s="43" t="s">
        <v>170</v>
      </c>
      <c r="D4" s="43"/>
      <c r="E4" s="43"/>
      <c r="F4" s="43"/>
      <c r="G4" s="43"/>
      <c r="H4" s="43"/>
      <c r="I4" s="43"/>
      <c r="J4" s="43"/>
      <c r="K4" s="96"/>
    </row>
    <row r="5" spans="1:11">
      <c r="A5" s="384" t="s">
        <v>546</v>
      </c>
      <c r="B5" s="49">
        <f>IF(ISERROR('Eigen informatie GS &amp; warmtenet'!B4),0,'Eigen informatie GS &amp; warmtenet'!B4)</f>
        <v>0</v>
      </c>
      <c r="C5" s="43" t="s">
        <v>170</v>
      </c>
      <c r="D5" s="43"/>
      <c r="E5" s="43"/>
      <c r="F5" s="43"/>
      <c r="G5" s="43"/>
      <c r="H5" s="43"/>
      <c r="I5" s="43"/>
      <c r="J5" s="43"/>
      <c r="K5" s="96"/>
    </row>
    <row r="6" spans="1:11">
      <c r="A6" s="384" t="s">
        <v>172</v>
      </c>
      <c r="B6" s="560">
        <f>E6</f>
        <v>0.221</v>
      </c>
      <c r="C6" s="43" t="s">
        <v>173</v>
      </c>
      <c r="D6" s="43"/>
      <c r="E6" s="1026">
        <v>0.221</v>
      </c>
      <c r="F6" s="43" t="s">
        <v>798</v>
      </c>
      <c r="G6" s="43"/>
      <c r="H6" s="43"/>
      <c r="I6" s="43"/>
      <c r="J6" s="43"/>
      <c r="K6" s="96"/>
    </row>
    <row r="7" spans="1:11">
      <c r="A7" s="384"/>
      <c r="B7" s="479"/>
      <c r="C7" s="43"/>
      <c r="D7" s="43"/>
      <c r="E7" s="43"/>
      <c r="F7" s="48"/>
      <c r="G7" s="43"/>
      <c r="H7" s="43"/>
      <c r="I7" s="43"/>
      <c r="J7" s="43"/>
      <c r="K7" s="96"/>
    </row>
    <row r="8" spans="1:11">
      <c r="A8" s="384"/>
      <c r="B8" s="479"/>
      <c r="C8" s="43"/>
      <c r="D8" s="43"/>
      <c r="E8" s="43"/>
      <c r="F8" s="48"/>
      <c r="G8" s="43"/>
      <c r="H8" s="1025"/>
      <c r="I8" s="155"/>
      <c r="J8" s="43"/>
      <c r="K8" s="96"/>
    </row>
    <row r="9" spans="1:11">
      <c r="A9" s="384" t="s">
        <v>175</v>
      </c>
      <c r="B9" s="49">
        <f>IF(ISERROR('SEAP template'!O69),0,'SEAP template'!O69)</f>
        <v>0</v>
      </c>
      <c r="C9" s="43" t="s">
        <v>174</v>
      </c>
      <c r="D9" s="43"/>
      <c r="E9" s="43"/>
      <c r="F9" s="43"/>
      <c r="G9" s="43"/>
      <c r="H9" s="43"/>
      <c r="I9" s="43"/>
      <c r="J9" s="43"/>
      <c r="K9" s="96"/>
    </row>
    <row r="10" spans="1:11">
      <c r="A10" s="384" t="s">
        <v>414</v>
      </c>
      <c r="B10" s="48">
        <v>0</v>
      </c>
      <c r="C10" s="43" t="s">
        <v>174</v>
      </c>
      <c r="D10" s="154"/>
      <c r="E10" s="43"/>
      <c r="F10" s="43"/>
      <c r="G10" s="43"/>
      <c r="H10" s="43"/>
      <c r="I10" s="43"/>
      <c r="J10" s="43"/>
      <c r="K10" s="96"/>
    </row>
    <row r="11" spans="1:11">
      <c r="A11" s="384"/>
      <c r="B11" s="479"/>
      <c r="C11" s="43"/>
      <c r="D11" s="43"/>
      <c r="E11" s="43"/>
      <c r="F11" s="43"/>
      <c r="G11" s="43"/>
      <c r="H11" s="43"/>
      <c r="I11" s="43"/>
      <c r="J11" s="43"/>
      <c r="K11" s="96"/>
    </row>
    <row r="12" spans="1:11">
      <c r="A12" s="385" t="s">
        <v>176</v>
      </c>
      <c r="B12" s="559">
        <f ca="1">IF((B4+B5)&gt;B3,(B9+B10)/(B4+B5),((B3-B4-B5)*B6+B9+B10)/B3)</f>
        <v>0.20642340014501959</v>
      </c>
      <c r="C12" s="43" t="s">
        <v>173</v>
      </c>
      <c r="D12" s="43"/>
      <c r="E12" s="154"/>
      <c r="F12" s="43"/>
      <c r="G12" s="43"/>
      <c r="H12" s="43"/>
      <c r="I12" s="43"/>
      <c r="J12" s="43"/>
      <c r="K12" s="96"/>
    </row>
    <row r="13" spans="1:11" ht="15.75" thickBot="1">
      <c r="A13" s="386"/>
      <c r="B13" s="108"/>
      <c r="C13" s="108"/>
      <c r="D13" s="108"/>
      <c r="E13" s="108"/>
      <c r="F13" s="108"/>
      <c r="G13" s="108"/>
      <c r="H13" s="108"/>
      <c r="I13" s="108"/>
      <c r="J13" s="108"/>
      <c r="K13" s="109"/>
    </row>
    <row r="14" spans="1:11" s="43" customFormat="1" ht="15.75" thickBot="1">
      <c r="A14" s="356"/>
    </row>
    <row r="15" spans="1:11">
      <c r="A15" s="387" t="s">
        <v>492</v>
      </c>
      <c r="B15" s="200"/>
      <c r="C15" s="200"/>
      <c r="D15" s="200"/>
      <c r="E15" s="200"/>
      <c r="F15" s="200"/>
      <c r="G15" s="200"/>
      <c r="H15" s="200"/>
      <c r="I15" s="200"/>
      <c r="J15" s="200"/>
      <c r="K15" s="201"/>
    </row>
    <row r="16" spans="1:11">
      <c r="A16" s="384"/>
      <c r="B16" s="43"/>
      <c r="C16" s="43"/>
      <c r="D16" s="43"/>
      <c r="E16" s="43"/>
      <c r="F16" s="43"/>
      <c r="G16" s="43"/>
      <c r="H16" s="43"/>
      <c r="I16" s="43"/>
      <c r="J16" s="43"/>
      <c r="K16" s="96"/>
    </row>
    <row r="17" spans="1:11">
      <c r="A17" s="384" t="s">
        <v>177</v>
      </c>
      <c r="B17" s="49">
        <f>IF(ISERROR('SEAP template'!O81),0,'SEAP template'!O81)</f>
        <v>0</v>
      </c>
      <c r="C17" s="43" t="s">
        <v>174</v>
      </c>
      <c r="D17" s="43"/>
      <c r="E17" s="43"/>
      <c r="F17" s="43"/>
      <c r="G17" s="43"/>
      <c r="H17" s="43"/>
      <c r="I17" s="43"/>
      <c r="J17" s="43"/>
      <c r="K17" s="96"/>
    </row>
    <row r="18" spans="1:11">
      <c r="A18" s="384" t="s">
        <v>178</v>
      </c>
      <c r="B18" s="49">
        <f>IF(ISERROR('Eigen informatie GS &amp; warmtenet'!B50),0,'Eigen informatie GS &amp; warmtenet'!B50)</f>
        <v>0</v>
      </c>
      <c r="C18" s="43" t="s">
        <v>174</v>
      </c>
      <c r="D18" s="43"/>
      <c r="E18" s="43"/>
      <c r="F18" s="43"/>
      <c r="G18" s="43"/>
      <c r="H18" s="43"/>
      <c r="I18" s="43"/>
      <c r="J18" s="43"/>
      <c r="K18" s="96"/>
    </row>
    <row r="19" spans="1:11">
      <c r="A19" s="384" t="s">
        <v>302</v>
      </c>
      <c r="B19" s="49">
        <f>IF(ISERROR('Eigen informatie GS &amp; warmtenet'!B51),0,'Eigen informatie GS &amp; warmtenet'!B51)</f>
        <v>0</v>
      </c>
      <c r="C19" s="43" t="s">
        <v>174</v>
      </c>
      <c r="D19" s="43"/>
      <c r="E19" s="43"/>
      <c r="F19" s="43"/>
      <c r="G19" s="43"/>
      <c r="H19" s="43"/>
      <c r="I19" s="43"/>
      <c r="J19" s="43"/>
      <c r="K19" s="96"/>
    </row>
    <row r="20" spans="1:11">
      <c r="A20" s="384" t="s">
        <v>510</v>
      </c>
      <c r="B20" s="49">
        <f ca="1">IF(ISERROR('SEAP template'!D23),0,('SEAP template'!D23))</f>
        <v>0</v>
      </c>
      <c r="C20" s="43" t="s">
        <v>170</v>
      </c>
      <c r="D20" s="43"/>
      <c r="E20" s="154"/>
      <c r="F20" s="154"/>
      <c r="G20" s="43"/>
      <c r="H20" s="43"/>
      <c r="I20" s="43"/>
      <c r="J20" s="43"/>
      <c r="K20" s="96"/>
    </row>
    <row r="21" spans="1:11">
      <c r="A21" s="384"/>
      <c r="B21" s="43"/>
      <c r="C21" s="43"/>
      <c r="D21" s="43"/>
      <c r="E21" s="43"/>
      <c r="F21" s="43"/>
      <c r="G21" s="43"/>
      <c r="H21" s="43"/>
      <c r="I21" s="43"/>
      <c r="J21" s="43"/>
      <c r="K21" s="96"/>
    </row>
    <row r="22" spans="1:11" s="43" customFormat="1">
      <c r="A22" s="385" t="s">
        <v>179</v>
      </c>
      <c r="B22" s="561">
        <f ca="1">IF(B20=0,0,(B17+B18-B19)/B20)</f>
        <v>0</v>
      </c>
      <c r="C22" s="43" t="s">
        <v>173</v>
      </c>
      <c r="K22" s="96"/>
    </row>
    <row r="23" spans="1:11" ht="15.75" thickBot="1">
      <c r="A23" s="386"/>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960"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60" t="s">
        <v>731</v>
      </c>
      <c r="B1" s="960" t="s">
        <v>308</v>
      </c>
      <c r="C1" s="960" t="s">
        <v>312</v>
      </c>
      <c r="D1" s="960" t="s">
        <v>313</v>
      </c>
      <c r="E1" s="960" t="s">
        <v>314</v>
      </c>
      <c r="F1" s="960" t="s">
        <v>315</v>
      </c>
      <c r="H1" s="1004" t="s">
        <v>747</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729</v>
      </c>
      <c r="C3" s="316" t="s">
        <v>64</v>
      </c>
      <c r="D3" s="316" t="s">
        <v>202</v>
      </c>
      <c r="E3" s="316" t="s">
        <v>202</v>
      </c>
      <c r="F3" s="316">
        <v>9.6310484814393071E-9</v>
      </c>
    </row>
    <row r="4" spans="1:8">
      <c r="A4" s="316" t="str">
        <f>CONCATENATE(TableECFTransport[[#This Row],[Voertuigtype]],"_",TableECFTransport[[#This Row],[Wegtype]],"_",TableECFTransport[[#This Row],[Brandstoftechnologie]],"_",TableECFTransport[[#This Row],[Brandstof]])</f>
        <v>BUS_Niet-genummerde wegen_Diesel_Diesel</v>
      </c>
      <c r="B4" s="316" t="s">
        <v>729</v>
      </c>
      <c r="C4" s="316" t="s">
        <v>65</v>
      </c>
      <c r="D4" s="316" t="s">
        <v>202</v>
      </c>
      <c r="E4" s="316" t="s">
        <v>202</v>
      </c>
      <c r="F4" s="316">
        <v>1.7333504154097487E-8</v>
      </c>
    </row>
    <row r="5" spans="1:8">
      <c r="A5" s="316" t="str">
        <f>CONCATENATE(TableECFTransport[[#This Row],[Voertuigtype]],"_",TableECFTransport[[#This Row],[Wegtype]],"_",TableECFTransport[[#This Row],[Brandstoftechnologie]],"_",TableECFTransport[[#This Row],[Brandstof]])</f>
        <v>BUS_Genummerde wegen_Diesel Hybrid CS_Diesel</v>
      </c>
      <c r="B5" s="316" t="s">
        <v>729</v>
      </c>
      <c r="C5" s="316" t="s">
        <v>64</v>
      </c>
      <c r="D5" s="316" t="s">
        <v>317</v>
      </c>
      <c r="E5" s="316" t="s">
        <v>202</v>
      </c>
      <c r="F5" s="316">
        <v>9.6310484814393071E-9</v>
      </c>
    </row>
    <row r="6" spans="1:8" s="960" customFormat="1">
      <c r="A6" s="316" t="str">
        <f>CONCATENATE(TableECFTransport[[#This Row],[Voertuigtype]],"_",TableECFTransport[[#This Row],[Wegtype]],"_",TableECFTransport[[#This Row],[Brandstoftechnologie]],"_",TableECFTransport[[#This Row],[Brandstof]])</f>
        <v>BUS_Niet-genummerde wegen_Diesel Hybrid CS_Diesel</v>
      </c>
      <c r="B6" s="316" t="s">
        <v>729</v>
      </c>
      <c r="C6" s="316" t="s">
        <v>65</v>
      </c>
      <c r="D6" s="316" t="s">
        <v>317</v>
      </c>
      <c r="E6" s="316" t="s">
        <v>202</v>
      </c>
      <c r="F6" s="316">
        <v>1.7333504154097487E-8</v>
      </c>
    </row>
    <row r="7" spans="1:8">
      <c r="A7" s="316" t="str">
        <f>CONCATENATE(TableECFTransport[[#This Row],[Voertuigtype]],"_",TableECFTransport[[#This Row],[Wegtype]],"_",TableECFTransport[[#This Row],[Brandstoftechnologie]],"_",TableECFTransport[[#This Row],[Brandstof]])</f>
        <v>Lichte voertuigen_Genummerde wegen_CNG_CNG</v>
      </c>
      <c r="B7" s="316" t="s">
        <v>713</v>
      </c>
      <c r="C7" s="316" t="s">
        <v>64</v>
      </c>
      <c r="D7" s="316" t="s">
        <v>309</v>
      </c>
      <c r="E7" s="316" t="s">
        <v>309</v>
      </c>
      <c r="F7" s="316">
        <v>2.4211643710975745E-9</v>
      </c>
    </row>
    <row r="8" spans="1:8">
      <c r="A8" s="316" t="str">
        <f>CONCATENATE(TableECFTransport[[#This Row],[Voertuigtype]],"_",TableECFTransport[[#This Row],[Wegtype]],"_",TableECFTransport[[#This Row],[Brandstoftechnologie]],"_",TableECFTransport[[#This Row],[Brandstof]])</f>
        <v>Lichte voertuigen_Genummerde wegen_Diesel_Diesel</v>
      </c>
      <c r="B8" s="316" t="s">
        <v>713</v>
      </c>
      <c r="C8" s="316" t="s">
        <v>64</v>
      </c>
      <c r="D8" s="316" t="s">
        <v>202</v>
      </c>
      <c r="E8" s="316" t="s">
        <v>202</v>
      </c>
      <c r="F8" s="316">
        <v>2.0853498248206958E-9</v>
      </c>
    </row>
    <row r="9" spans="1:8">
      <c r="A9" s="316" t="str">
        <f>CONCATENATE(TableECFTransport[[#This Row],[Voertuigtype]],"_",TableECFTransport[[#This Row],[Wegtype]],"_",TableECFTransport[[#This Row],[Brandstoftechnologie]],"_",TableECFTransport[[#This Row],[Brandstof]])</f>
        <v>Lichte voertuigen_Genummerde wegen_E85_E85</v>
      </c>
      <c r="B9" s="316" t="s">
        <v>713</v>
      </c>
      <c r="C9" s="316" t="s">
        <v>64</v>
      </c>
      <c r="D9" s="316" t="s">
        <v>664</v>
      </c>
      <c r="E9" s="316" t="s">
        <v>664</v>
      </c>
      <c r="F9" s="316">
        <v>2.2248473074143505E-9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713</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713</v>
      </c>
      <c r="C11" s="316" t="s">
        <v>64</v>
      </c>
      <c r="D11" s="316" t="s">
        <v>119</v>
      </c>
      <c r="E11" s="316" t="s">
        <v>119</v>
      </c>
      <c r="F11" s="316">
        <v>2.1359422681972818E-9</v>
      </c>
    </row>
    <row r="12" spans="1:8">
      <c r="A12" s="316" t="str">
        <f>CONCATENATE(TableECFTransport[[#This Row],[Voertuigtype]],"_",TableECFTransport[[#This Row],[Wegtype]],"_",TableECFTransport[[#This Row],[Brandstoftechnologie]],"_",TableECFTransport[[#This Row],[Brandstof]])</f>
        <v>Lichte voertuigen_Genummerde wegen_Petrol_Petrol</v>
      </c>
      <c r="B12" s="316" t="s">
        <v>713</v>
      </c>
      <c r="C12" s="316" t="s">
        <v>64</v>
      </c>
      <c r="D12" s="316" t="s">
        <v>311</v>
      </c>
      <c r="E12" s="316" t="s">
        <v>311</v>
      </c>
      <c r="F12" s="316">
        <v>2.1432715960591659E-9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713</v>
      </c>
      <c r="C13" s="316" t="s">
        <v>64</v>
      </c>
      <c r="D13" s="316" t="s">
        <v>748</v>
      </c>
      <c r="E13" s="316" t="s">
        <v>311</v>
      </c>
      <c r="F13" s="316">
        <v>1.3507185593600061E-9</v>
      </c>
    </row>
    <row r="14" spans="1:8">
      <c r="A14" s="316" t="str">
        <f>CONCATENATE(TableECFTransport[[#This Row],[Voertuigtype]],"_",TableECFTransport[[#This Row],[Wegtype]],"_",TableECFTransport[[#This Row],[Brandstoftechnologie]],"_",TableECFTransport[[#This Row],[Brandstof]])</f>
        <v>Lichte voertuigen_Niet-genummerde wegen_CNG_CNG</v>
      </c>
      <c r="B14" s="316" t="s">
        <v>713</v>
      </c>
      <c r="C14" s="316" t="s">
        <v>65</v>
      </c>
      <c r="D14" s="316" t="s">
        <v>309</v>
      </c>
      <c r="E14" s="316" t="s">
        <v>309</v>
      </c>
      <c r="F14" s="316">
        <v>4.2823322018433636E-9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713</v>
      </c>
      <c r="C15" s="316" t="s">
        <v>65</v>
      </c>
      <c r="D15" s="316" t="s">
        <v>202</v>
      </c>
      <c r="E15" s="316" t="s">
        <v>202</v>
      </c>
      <c r="F15" s="316">
        <v>3.1820582089096682E-9</v>
      </c>
    </row>
    <row r="16" spans="1:8">
      <c r="A16" s="316" t="str">
        <f>CONCATENATE(TableECFTransport[[#This Row],[Voertuigtype]],"_",TableECFTransport[[#This Row],[Wegtype]],"_",TableECFTransport[[#This Row],[Brandstoftechnologie]],"_",TableECFTransport[[#This Row],[Brandstof]])</f>
        <v>Lichte voertuigen_Niet-genummerde wegen_E85_E85</v>
      </c>
      <c r="B16" s="316" t="s">
        <v>713</v>
      </c>
      <c r="C16" s="316" t="s">
        <v>65</v>
      </c>
      <c r="D16" s="316" t="s">
        <v>664</v>
      </c>
      <c r="E16" s="316" t="s">
        <v>664</v>
      </c>
      <c r="F16" s="316">
        <v>3.6444951849426912E-9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713</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713</v>
      </c>
      <c r="C18" s="316" t="s">
        <v>65</v>
      </c>
      <c r="D18" s="316" t="s">
        <v>119</v>
      </c>
      <c r="E18" s="316" t="s">
        <v>119</v>
      </c>
      <c r="F18" s="316">
        <v>3.4865695761954627E-9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713</v>
      </c>
      <c r="C19" s="316" t="s">
        <v>65</v>
      </c>
      <c r="D19" s="316" t="s">
        <v>311</v>
      </c>
      <c r="E19" s="316" t="s">
        <v>311</v>
      </c>
      <c r="F19" s="316">
        <v>3.6654564644635338E-9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713</v>
      </c>
      <c r="C20" s="316" t="s">
        <v>65</v>
      </c>
      <c r="D20" s="316" t="s">
        <v>748</v>
      </c>
      <c r="E20" s="316" t="s">
        <v>311</v>
      </c>
      <c r="F20" s="316">
        <v>1.3989990926600016E-9</v>
      </c>
    </row>
    <row r="21" spans="1:7">
      <c r="A21" s="316" t="str">
        <f>CONCATENATE(TableECFTransport[[#This Row],[Voertuigtype]],"_",TableECFTransport[[#This Row],[Wegtype]],"_",TableECFTransport[[#This Row],[Brandstoftechnologie]],"_",TableECFTransport[[#This Row],[Brandstof]])</f>
        <v>Lichte voertuigen_snelwegen_CNG_CNG</v>
      </c>
      <c r="B21" s="316" t="s">
        <v>713</v>
      </c>
      <c r="C21" s="316" t="s">
        <v>730</v>
      </c>
      <c r="D21" s="316" t="s">
        <v>309</v>
      </c>
      <c r="E21" s="316" t="s">
        <v>309</v>
      </c>
      <c r="F21" s="316">
        <v>2.5385992132813778E-9</v>
      </c>
    </row>
    <row r="22" spans="1:7">
      <c r="A22" s="316" t="str">
        <f>CONCATENATE(TableECFTransport[[#This Row],[Voertuigtype]],"_",TableECFTransport[[#This Row],[Wegtype]],"_",TableECFTransport[[#This Row],[Brandstoftechnologie]],"_",TableECFTransport[[#This Row],[Brandstof]])</f>
        <v>Lichte voertuigen_snelwegen_Diesel_Diesel</v>
      </c>
      <c r="B22" s="316" t="s">
        <v>713</v>
      </c>
      <c r="C22" s="316" t="s">
        <v>730</v>
      </c>
      <c r="D22" s="316" t="s">
        <v>202</v>
      </c>
      <c r="E22" s="316" t="s">
        <v>202</v>
      </c>
      <c r="F22" s="316">
        <v>2.4541947769849974E-9</v>
      </c>
    </row>
    <row r="23" spans="1:7">
      <c r="A23" s="316" t="str">
        <f>CONCATENATE(TableECFTransport[[#This Row],[Voertuigtype]],"_",TableECFTransport[[#This Row],[Wegtype]],"_",TableECFTransport[[#This Row],[Brandstoftechnologie]],"_",TableECFTransport[[#This Row],[Brandstof]])</f>
        <v>Lichte voertuigen_snelwegen_E85_E85</v>
      </c>
      <c r="B23" s="316" t="s">
        <v>713</v>
      </c>
      <c r="C23" s="316" t="s">
        <v>730</v>
      </c>
      <c r="D23" s="316" t="s">
        <v>664</v>
      </c>
      <c r="E23" s="316" t="s">
        <v>664</v>
      </c>
      <c r="F23" s="316">
        <v>2.3333594623506086E-9</v>
      </c>
    </row>
    <row r="24" spans="1:7">
      <c r="A24" s="316" t="str">
        <f>CONCATENATE(TableECFTransport[[#This Row],[Voertuigtype]],"_",TableECFTransport[[#This Row],[Wegtype]],"_",TableECFTransport[[#This Row],[Brandstoftechnologie]],"_",TableECFTransport[[#This Row],[Brandstof]])</f>
        <v>Lichte voertuigen_snelwegen_Electric_Electric</v>
      </c>
      <c r="B24" s="316" t="s">
        <v>713</v>
      </c>
      <c r="C24" s="316" t="s">
        <v>730</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713</v>
      </c>
      <c r="C25" s="316" t="s">
        <v>730</v>
      </c>
      <c r="D25" s="316" t="s">
        <v>119</v>
      </c>
      <c r="E25" s="316" t="s">
        <v>119</v>
      </c>
      <c r="F25" s="316">
        <v>2.7921381327553704E-9</v>
      </c>
    </row>
    <row r="26" spans="1:7">
      <c r="A26" s="316" t="str">
        <f>CONCATENATE(TableECFTransport[[#This Row],[Voertuigtype]],"_",TableECFTransport[[#This Row],[Wegtype]],"_",TableECFTransport[[#This Row],[Brandstoftechnologie]],"_",TableECFTransport[[#This Row],[Brandstof]])</f>
        <v>Lichte voertuigen_snelwegen_Petrol_Petrol</v>
      </c>
      <c r="B26" s="316" t="s">
        <v>713</v>
      </c>
      <c r="C26" s="316" t="s">
        <v>730</v>
      </c>
      <c r="D26" s="316" t="s">
        <v>311</v>
      </c>
      <c r="E26" s="316" t="s">
        <v>311</v>
      </c>
      <c r="F26" s="316">
        <v>2.3413447370297025E-9</v>
      </c>
    </row>
    <row r="27" spans="1:7">
      <c r="A27" s="316" t="str">
        <f>CONCATENATE(TableECFTransport[[#This Row],[Voertuigtype]],"_",TableECFTransport[[#This Row],[Wegtype]],"_",TableECFTransport[[#This Row],[Brandstoftechnologie]],"_",TableECFTransport[[#This Row],[Brandstof]])</f>
        <v>Lichte voertuigen_snelwegen_Petrol Hybrid_Petrol</v>
      </c>
      <c r="B27" s="316" t="s">
        <v>713</v>
      </c>
      <c r="C27" s="316" t="s">
        <v>730</v>
      </c>
      <c r="D27" s="316" t="s">
        <v>748</v>
      </c>
      <c r="E27" s="316" t="s">
        <v>311</v>
      </c>
      <c r="F27" s="316">
        <v>1.8266452460000029E-9</v>
      </c>
      <c r="G27" s="984"/>
    </row>
    <row r="28" spans="1:7">
      <c r="A28" s="316" t="str">
        <f>CONCATENATE(TableECFTransport[[#This Row],[Voertuigtype]],"_",TableECFTransport[[#This Row],[Wegtype]],"_",TableECFTransport[[#This Row],[Brandstoftechnologie]],"_",TableECFTransport[[#This Row],[Brandstof]])</f>
        <v>Zware voertuigen_Genummerde wegen_Diesel_Diesel</v>
      </c>
      <c r="B28" s="316" t="s">
        <v>714</v>
      </c>
      <c r="C28" s="316" t="s">
        <v>64</v>
      </c>
      <c r="D28" s="316" t="s">
        <v>202</v>
      </c>
      <c r="E28" s="316" t="s">
        <v>202</v>
      </c>
      <c r="F28" s="316">
        <v>9.8735858636476487E-9</v>
      </c>
    </row>
    <row r="29" spans="1:7">
      <c r="A29" s="316" t="str">
        <f>CONCATENATE(TableECFTransport[[#This Row],[Voertuigtype]],"_",TableECFTransport[[#This Row],[Wegtype]],"_",TableECFTransport[[#This Row],[Brandstoftechnologie]],"_",TableECFTransport[[#This Row],[Brandstof]])</f>
        <v>Zware voertuigen_Genummerde wegen_Petrol_Petrol</v>
      </c>
      <c r="B29" s="316" t="s">
        <v>714</v>
      </c>
      <c r="C29" s="316" t="s">
        <v>64</v>
      </c>
      <c r="D29" s="316" t="s">
        <v>311</v>
      </c>
      <c r="E29" s="316" t="s">
        <v>311</v>
      </c>
      <c r="F29" s="316">
        <v>6.3502624751300968E-9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714</v>
      </c>
      <c r="C30" s="316" t="s">
        <v>65</v>
      </c>
      <c r="D30" s="316" t="s">
        <v>202</v>
      </c>
      <c r="E30" s="316" t="s">
        <v>202</v>
      </c>
      <c r="F30" s="316">
        <v>1.2596099914726491E-8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714</v>
      </c>
      <c r="C31" s="316" t="s">
        <v>65</v>
      </c>
      <c r="D31" s="316" t="s">
        <v>311</v>
      </c>
      <c r="E31" s="316" t="s">
        <v>311</v>
      </c>
      <c r="F31" s="1010">
        <v>7.6655390724065196E-9</v>
      </c>
    </row>
    <row r="32" spans="1:7">
      <c r="A32" s="316" t="str">
        <f>CONCATENATE(TableECFTransport[[#This Row],[Voertuigtype]],"_",TableECFTransport[[#This Row],[Wegtype]],"_",TableECFTransport[[#This Row],[Brandstoftechnologie]],"_",TableECFTransport[[#This Row],[Brandstof]])</f>
        <v>Zware voertuigen_snelwegen_Diesel_Diesel</v>
      </c>
      <c r="B32" s="316" t="s">
        <v>714</v>
      </c>
      <c r="C32" s="316" t="s">
        <v>730</v>
      </c>
      <c r="D32" s="316" t="s">
        <v>202</v>
      </c>
      <c r="E32" s="316" t="s">
        <v>202</v>
      </c>
      <c r="F32" s="1010">
        <v>9.4288593656145596E-9</v>
      </c>
    </row>
    <row r="33" spans="1:6">
      <c r="A33" s="316" t="str">
        <f>CONCATENATE(TableECFTransport[[#This Row],[Voertuigtype]],"_",TableECFTransport[[#This Row],[Wegtype]],"_",TableECFTransport[[#This Row],[Brandstoftechnologie]],"_",TableECFTransport[[#This Row],[Brandstof]])</f>
        <v>Zware voertuigen_snelwegen_Petrol_Petrol</v>
      </c>
      <c r="B33" s="316" t="s">
        <v>714</v>
      </c>
      <c r="C33" s="316" t="s">
        <v>730</v>
      </c>
      <c r="D33" s="316" t="s">
        <v>311</v>
      </c>
      <c r="E33" s="316" t="s">
        <v>311</v>
      </c>
      <c r="F33" s="1010">
        <v>6.5355741912209466E-9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407" customFormat="1" ht="55.5" customHeight="1" thickBot="1">
      <c r="A2" s="436" t="s">
        <v>384</v>
      </c>
      <c r="B2" s="854"/>
      <c r="C2" s="435"/>
    </row>
    <row r="3" spans="1:3" s="15" customFormat="1" ht="15.75">
      <c r="A3" s="98"/>
      <c r="B3" s="70"/>
      <c r="C3" s="99"/>
    </row>
    <row r="4" spans="1:3" s="334" customFormat="1">
      <c r="A4" s="415" t="s">
        <v>363</v>
      </c>
      <c r="B4" s="437" t="s">
        <v>375</v>
      </c>
      <c r="C4" s="438" t="s">
        <v>374</v>
      </c>
    </row>
    <row r="5" spans="1:3" s="334" customFormat="1">
      <c r="A5" s="439"/>
      <c r="B5" s="356"/>
      <c r="C5" s="391"/>
    </row>
    <row r="6" spans="1:3" s="334" customFormat="1">
      <c r="A6" s="994" t="s">
        <v>701</v>
      </c>
      <c r="B6" s="440" t="s">
        <v>700</v>
      </c>
      <c r="C6" s="441" t="s">
        <v>358</v>
      </c>
    </row>
    <row r="7" spans="1:3" s="334" customFormat="1">
      <c r="A7" s="994" t="s">
        <v>699</v>
      </c>
      <c r="B7" s="442" t="s">
        <v>612</v>
      </c>
      <c r="C7" s="443" t="s">
        <v>611</v>
      </c>
    </row>
    <row r="8" spans="1:3" s="334" customFormat="1">
      <c r="A8" s="472"/>
      <c r="B8" s="442"/>
      <c r="C8" s="443"/>
    </row>
    <row r="9" spans="1:3" ht="21">
      <c r="A9" s="126" t="s">
        <v>475</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8">
        <v>2014</v>
      </c>
      <c r="B1" s="1189"/>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0"/>
      <c r="B2" s="1191"/>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0"/>
      <c r="B3" s="1191"/>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2"/>
      <c r="B4" s="1193"/>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3" t="s">
        <v>745</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2">
        <v>0</v>
      </c>
      <c r="D7" s="932">
        <v>1.8018969387317698</v>
      </c>
      <c r="E7" s="932">
        <v>0</v>
      </c>
      <c r="F7" s="933">
        <v>1.8018969387317698</v>
      </c>
      <c r="G7" s="932">
        <v>0</v>
      </c>
      <c r="H7" s="932">
        <v>0</v>
      </c>
      <c r="I7" s="932">
        <v>1.4544188625769157</v>
      </c>
      <c r="J7" s="932">
        <v>0.64249392195859678</v>
      </c>
      <c r="K7" s="932">
        <v>0</v>
      </c>
      <c r="L7" s="932">
        <v>65.847309356287937</v>
      </c>
      <c r="M7" s="932">
        <v>0</v>
      </c>
      <c r="N7" s="932">
        <v>0</v>
      </c>
      <c r="O7" s="932">
        <v>0</v>
      </c>
      <c r="P7" s="932">
        <v>0</v>
      </c>
      <c r="Q7" s="932">
        <v>0</v>
      </c>
      <c r="R7" s="933">
        <v>67.944222140823456</v>
      </c>
      <c r="S7" s="932">
        <v>77.259963703713566</v>
      </c>
      <c r="T7" s="932">
        <v>0</v>
      </c>
      <c r="U7" s="932">
        <v>0</v>
      </c>
      <c r="V7" s="933">
        <v>77.259963703713566</v>
      </c>
      <c r="W7" s="933">
        <v>147.00608278326879</v>
      </c>
      <c r="X7" s="932">
        <v>0</v>
      </c>
      <c r="Y7" s="932">
        <v>10.980456101172695</v>
      </c>
      <c r="Z7" s="932">
        <v>39.784373392967233</v>
      </c>
      <c r="AA7" s="934">
        <v>0</v>
      </c>
      <c r="AB7" s="934">
        <v>0</v>
      </c>
      <c r="AC7" s="933">
        <v>197.77091227740874</v>
      </c>
    </row>
    <row r="8" spans="1:29">
      <c r="A8" s="216" t="s">
        <v>156</v>
      </c>
      <c r="B8" s="217"/>
      <c r="C8" s="935">
        <v>0</v>
      </c>
      <c r="D8" s="935">
        <v>0</v>
      </c>
      <c r="E8" s="935">
        <v>0</v>
      </c>
      <c r="F8" s="936">
        <v>0</v>
      </c>
      <c r="G8" s="935">
        <v>0</v>
      </c>
      <c r="H8" s="935">
        <v>0</v>
      </c>
      <c r="I8" s="935">
        <v>0.38635506316567747</v>
      </c>
      <c r="J8" s="935">
        <v>2.4877382136960411E-3</v>
      </c>
      <c r="K8" s="935">
        <v>0</v>
      </c>
      <c r="L8" s="935">
        <v>5.9740046491093821</v>
      </c>
      <c r="M8" s="935">
        <v>0</v>
      </c>
      <c r="N8" s="935">
        <v>0.32517674669033059</v>
      </c>
      <c r="O8" s="935">
        <v>0</v>
      </c>
      <c r="P8" s="935">
        <v>0</v>
      </c>
      <c r="Q8" s="935">
        <v>0</v>
      </c>
      <c r="R8" s="936">
        <v>6.6880241971790868</v>
      </c>
      <c r="S8" s="935">
        <v>39.19797319198959</v>
      </c>
      <c r="T8" s="935">
        <v>0</v>
      </c>
      <c r="U8" s="935">
        <v>0</v>
      </c>
      <c r="V8" s="936">
        <v>39.19797319198959</v>
      </c>
      <c r="W8" s="936">
        <v>45.885997389168679</v>
      </c>
      <c r="X8" s="935">
        <v>1.5626139999999999</v>
      </c>
      <c r="Y8" s="935">
        <v>3.6445493694070867</v>
      </c>
      <c r="Z8" s="935">
        <v>42.732954177521805</v>
      </c>
      <c r="AA8" s="937">
        <v>0</v>
      </c>
      <c r="AB8" s="937">
        <v>0</v>
      </c>
      <c r="AC8" s="936">
        <v>93.826114936097568</v>
      </c>
    </row>
    <row r="9" spans="1:29">
      <c r="A9" s="3"/>
      <c r="B9" s="6" t="s">
        <v>157</v>
      </c>
      <c r="C9" s="938">
        <v>0</v>
      </c>
      <c r="D9" s="938">
        <v>0</v>
      </c>
      <c r="E9" s="938">
        <v>0</v>
      </c>
      <c r="F9" s="939">
        <v>0</v>
      </c>
      <c r="G9" s="938">
        <v>0</v>
      </c>
      <c r="H9" s="938">
        <v>0</v>
      </c>
      <c r="I9" s="938">
        <v>0.18805127147062564</v>
      </c>
      <c r="J9" s="938">
        <v>0</v>
      </c>
      <c r="K9" s="938">
        <v>0</v>
      </c>
      <c r="L9" s="938">
        <v>0.96258602768452872</v>
      </c>
      <c r="M9" s="938">
        <v>0</v>
      </c>
      <c r="N9" s="938">
        <v>0</v>
      </c>
      <c r="O9" s="938">
        <v>0</v>
      </c>
      <c r="P9" s="938">
        <v>0</v>
      </c>
      <c r="Q9" s="938">
        <v>0</v>
      </c>
      <c r="R9" s="939">
        <v>1.1506372991551543</v>
      </c>
      <c r="S9" s="938">
        <v>4.6060123715387284</v>
      </c>
      <c r="T9" s="938">
        <v>0</v>
      </c>
      <c r="U9" s="938">
        <v>0</v>
      </c>
      <c r="V9" s="939">
        <v>4.6060123715387284</v>
      </c>
      <c r="W9" s="939">
        <v>5.756649670693883</v>
      </c>
      <c r="X9" s="938">
        <v>0</v>
      </c>
      <c r="Y9" s="938">
        <v>1.1544162330910002E-3</v>
      </c>
      <c r="Z9" s="938">
        <v>4.4798424941205699</v>
      </c>
      <c r="AA9" s="940">
        <v>0</v>
      </c>
      <c r="AB9" s="940">
        <v>0</v>
      </c>
      <c r="AC9" s="939">
        <v>10.237646581047544</v>
      </c>
    </row>
    <row r="10" spans="1:29">
      <c r="A10" s="3"/>
      <c r="B10" s="6" t="s">
        <v>158</v>
      </c>
      <c r="C10" s="938">
        <v>0</v>
      </c>
      <c r="D10" s="938">
        <v>0</v>
      </c>
      <c r="E10" s="938">
        <v>0</v>
      </c>
      <c r="F10" s="939">
        <v>0</v>
      </c>
      <c r="G10" s="938">
        <v>0</v>
      </c>
      <c r="H10" s="938">
        <v>0</v>
      </c>
      <c r="I10" s="938">
        <v>2.5434689508073175E-3</v>
      </c>
      <c r="J10" s="938">
        <v>0</v>
      </c>
      <c r="K10" s="938">
        <v>0</v>
      </c>
      <c r="L10" s="938">
        <v>0.38840488197599315</v>
      </c>
      <c r="M10" s="938">
        <v>0</v>
      </c>
      <c r="N10" s="938">
        <v>0</v>
      </c>
      <c r="O10" s="938">
        <v>0</v>
      </c>
      <c r="P10" s="938">
        <v>0</v>
      </c>
      <c r="Q10" s="938">
        <v>0</v>
      </c>
      <c r="R10" s="939">
        <v>0.39094835092680047</v>
      </c>
      <c r="S10" s="938">
        <v>4.9827726545172037</v>
      </c>
      <c r="T10" s="938">
        <v>0</v>
      </c>
      <c r="U10" s="938">
        <v>0</v>
      </c>
      <c r="V10" s="939">
        <v>4.9827726545172037</v>
      </c>
      <c r="W10" s="939">
        <v>5.3737210054440041</v>
      </c>
      <c r="X10" s="938">
        <v>0</v>
      </c>
      <c r="Y10" s="938">
        <v>2.5808792800000001E-2</v>
      </c>
      <c r="Z10" s="938">
        <v>3.1950531410885459</v>
      </c>
      <c r="AA10" s="940">
        <v>0</v>
      </c>
      <c r="AB10" s="940">
        <v>0</v>
      </c>
      <c r="AC10" s="939">
        <v>8.5945829393325504</v>
      </c>
    </row>
    <row r="11" spans="1:29">
      <c r="A11" s="3"/>
      <c r="B11" s="6" t="s">
        <v>159</v>
      </c>
      <c r="C11" s="938">
        <v>0</v>
      </c>
      <c r="D11" s="938">
        <v>0</v>
      </c>
      <c r="E11" s="938">
        <v>0</v>
      </c>
      <c r="F11" s="939">
        <v>0</v>
      </c>
      <c r="G11" s="938">
        <v>0</v>
      </c>
      <c r="H11" s="938">
        <v>0</v>
      </c>
      <c r="I11" s="938">
        <v>1.1988667792392855E-3</v>
      </c>
      <c r="J11" s="938">
        <v>0</v>
      </c>
      <c r="K11" s="938">
        <v>0</v>
      </c>
      <c r="L11" s="938">
        <v>0.45398883240775129</v>
      </c>
      <c r="M11" s="938">
        <v>0</v>
      </c>
      <c r="N11" s="938">
        <v>0</v>
      </c>
      <c r="O11" s="938">
        <v>0</v>
      </c>
      <c r="P11" s="938">
        <v>0</v>
      </c>
      <c r="Q11" s="938">
        <v>0</v>
      </c>
      <c r="R11" s="939">
        <v>0.45518769918699059</v>
      </c>
      <c r="S11" s="938">
        <v>5.2543792692141817</v>
      </c>
      <c r="T11" s="938">
        <v>0</v>
      </c>
      <c r="U11" s="938">
        <v>0</v>
      </c>
      <c r="V11" s="939">
        <v>5.2543792692141817</v>
      </c>
      <c r="W11" s="939">
        <v>5.7095669684011723</v>
      </c>
      <c r="X11" s="938">
        <v>0</v>
      </c>
      <c r="Y11" s="938">
        <v>1.72634592E-3</v>
      </c>
      <c r="Z11" s="938">
        <v>1.734297976874539</v>
      </c>
      <c r="AA11" s="940">
        <v>0</v>
      </c>
      <c r="AB11" s="940">
        <v>0</v>
      </c>
      <c r="AC11" s="939">
        <v>7.4455912911957114</v>
      </c>
    </row>
    <row r="12" spans="1:29">
      <c r="A12" s="3"/>
      <c r="B12" s="6" t="s">
        <v>160</v>
      </c>
      <c r="C12" s="938">
        <v>0</v>
      </c>
      <c r="D12" s="938">
        <v>0</v>
      </c>
      <c r="E12" s="938">
        <v>0</v>
      </c>
      <c r="F12" s="939">
        <v>0</v>
      </c>
      <c r="G12" s="938">
        <v>0</v>
      </c>
      <c r="H12" s="938">
        <v>0</v>
      </c>
      <c r="I12" s="938">
        <v>4.7480898068489423E-2</v>
      </c>
      <c r="J12" s="938">
        <v>2.4877382136960411E-3</v>
      </c>
      <c r="K12" s="938">
        <v>0</v>
      </c>
      <c r="L12" s="938">
        <v>1.8548565516115612</v>
      </c>
      <c r="M12" s="938">
        <v>0</v>
      </c>
      <c r="N12" s="938">
        <v>0</v>
      </c>
      <c r="O12" s="938">
        <v>0</v>
      </c>
      <c r="P12" s="938">
        <v>0</v>
      </c>
      <c r="Q12" s="938">
        <v>0</v>
      </c>
      <c r="R12" s="939">
        <v>1.9048251878937466</v>
      </c>
      <c r="S12" s="938">
        <v>13.249669542869039</v>
      </c>
      <c r="T12" s="938">
        <v>0</v>
      </c>
      <c r="U12" s="938">
        <v>0</v>
      </c>
      <c r="V12" s="939">
        <v>13.249669542869039</v>
      </c>
      <c r="W12" s="939">
        <v>15.154494730762785</v>
      </c>
      <c r="X12" s="938">
        <v>0</v>
      </c>
      <c r="Y12" s="938">
        <v>0.164040295496649</v>
      </c>
      <c r="Z12" s="938">
        <v>16.388848285638097</v>
      </c>
      <c r="AA12" s="940">
        <v>0</v>
      </c>
      <c r="AB12" s="940">
        <v>0</v>
      </c>
      <c r="AC12" s="939">
        <v>31.70738331189753</v>
      </c>
    </row>
    <row r="13" spans="1:29">
      <c r="A13" s="3"/>
      <c r="B13" s="6" t="s">
        <v>161</v>
      </c>
      <c r="C13" s="938">
        <v>0</v>
      </c>
      <c r="D13" s="938">
        <v>0</v>
      </c>
      <c r="E13" s="938">
        <v>0</v>
      </c>
      <c r="F13" s="939">
        <v>0</v>
      </c>
      <c r="G13" s="938">
        <v>0</v>
      </c>
      <c r="H13" s="938">
        <v>0</v>
      </c>
      <c r="I13" s="938">
        <v>0.13076736474406536</v>
      </c>
      <c r="J13" s="938">
        <v>0</v>
      </c>
      <c r="K13" s="938">
        <v>0</v>
      </c>
      <c r="L13" s="938">
        <v>1.5760537564738728</v>
      </c>
      <c r="M13" s="938">
        <v>0</v>
      </c>
      <c r="N13" s="938">
        <v>7.3193953011374245E-5</v>
      </c>
      <c r="O13" s="938">
        <v>0</v>
      </c>
      <c r="P13" s="938">
        <v>0</v>
      </c>
      <c r="Q13" s="938">
        <v>0</v>
      </c>
      <c r="R13" s="939">
        <v>1.7068943151709495</v>
      </c>
      <c r="S13" s="938">
        <v>7.5150473511522025</v>
      </c>
      <c r="T13" s="938">
        <v>0</v>
      </c>
      <c r="U13" s="938">
        <v>0</v>
      </c>
      <c r="V13" s="939">
        <v>7.5150473511522025</v>
      </c>
      <c r="W13" s="939">
        <v>9.2219416663231524</v>
      </c>
      <c r="X13" s="938">
        <v>0</v>
      </c>
      <c r="Y13" s="938">
        <v>9.8762551701792003E-2</v>
      </c>
      <c r="Z13" s="938">
        <v>12.174788822660046</v>
      </c>
      <c r="AA13" s="940">
        <v>0</v>
      </c>
      <c r="AB13" s="940">
        <v>0</v>
      </c>
      <c r="AC13" s="939">
        <v>21.495493040684991</v>
      </c>
    </row>
    <row r="14" spans="1:29">
      <c r="A14" s="218"/>
      <c r="B14" s="219" t="s">
        <v>162</v>
      </c>
      <c r="C14" s="941">
        <v>0</v>
      </c>
      <c r="D14" s="941">
        <v>0</v>
      </c>
      <c r="E14" s="941">
        <v>0</v>
      </c>
      <c r="F14" s="942">
        <v>0</v>
      </c>
      <c r="G14" s="938">
        <v>0</v>
      </c>
      <c r="H14" s="938">
        <v>0</v>
      </c>
      <c r="I14" s="938">
        <v>1.6313193152450424E-2</v>
      </c>
      <c r="J14" s="938">
        <v>0</v>
      </c>
      <c r="K14" s="938">
        <v>0</v>
      </c>
      <c r="L14" s="938">
        <v>0.73811459895567511</v>
      </c>
      <c r="M14" s="938">
        <v>0</v>
      </c>
      <c r="N14" s="938">
        <v>0.32510355273731922</v>
      </c>
      <c r="O14" s="938">
        <v>0</v>
      </c>
      <c r="P14" s="938">
        <v>0</v>
      </c>
      <c r="Q14" s="938">
        <v>0</v>
      </c>
      <c r="R14" s="942">
        <v>1.0795313448454447</v>
      </c>
      <c r="S14" s="938">
        <v>3.5900920026982375</v>
      </c>
      <c r="T14" s="941">
        <v>0</v>
      </c>
      <c r="U14" s="941">
        <v>0</v>
      </c>
      <c r="V14" s="942">
        <v>3.5900920026982375</v>
      </c>
      <c r="W14" s="942">
        <v>4.6696233475436824</v>
      </c>
      <c r="X14" s="938">
        <v>1.5626139999999999</v>
      </c>
      <c r="Y14" s="938">
        <v>3.3530569672555548</v>
      </c>
      <c r="Z14" s="938">
        <v>4.7601234571400015</v>
      </c>
      <c r="AA14" s="943">
        <v>0</v>
      </c>
      <c r="AB14" s="943">
        <v>0</v>
      </c>
      <c r="AC14" s="942">
        <v>14.345417771939239</v>
      </c>
    </row>
    <row r="15" spans="1:29">
      <c r="A15" s="216" t="s">
        <v>163</v>
      </c>
      <c r="B15" s="220"/>
      <c r="C15" s="944">
        <v>0</v>
      </c>
      <c r="D15" s="944">
        <v>3.6387030269999843E-2</v>
      </c>
      <c r="E15" s="944">
        <v>0.16730195192000002</v>
      </c>
      <c r="F15" s="944">
        <v>0.20368898218999987</v>
      </c>
      <c r="G15" s="944">
        <v>0</v>
      </c>
      <c r="H15" s="944">
        <v>0</v>
      </c>
      <c r="I15" s="944">
        <v>2.4699585435312246</v>
      </c>
      <c r="J15" s="944">
        <v>0.18076869619754402</v>
      </c>
      <c r="K15" s="944">
        <v>0</v>
      </c>
      <c r="L15" s="944">
        <v>10.48331928749155</v>
      </c>
      <c r="M15" s="944">
        <v>0</v>
      </c>
      <c r="N15" s="944">
        <v>0.58336168531888621</v>
      </c>
      <c r="O15" s="944">
        <v>0</v>
      </c>
      <c r="P15" s="944">
        <v>0</v>
      </c>
      <c r="Q15" s="944">
        <v>0</v>
      </c>
      <c r="R15" s="944">
        <v>13.717408212539207</v>
      </c>
      <c r="S15" s="944">
        <v>29.687273077981512</v>
      </c>
      <c r="T15" s="944">
        <v>0</v>
      </c>
      <c r="U15" s="944">
        <v>0</v>
      </c>
      <c r="V15" s="944">
        <v>29.687273077981512</v>
      </c>
      <c r="W15" s="944">
        <v>43.608370272710722</v>
      </c>
      <c r="X15" s="944">
        <v>0</v>
      </c>
      <c r="Y15" s="944">
        <v>9.1220173486147065</v>
      </c>
      <c r="Z15" s="944">
        <v>48.551357025498532</v>
      </c>
      <c r="AA15" s="946">
        <v>0</v>
      </c>
      <c r="AB15" s="946">
        <v>0</v>
      </c>
      <c r="AC15" s="945">
        <v>101.28174464682397</v>
      </c>
    </row>
    <row r="16" spans="1:29">
      <c r="A16" s="5"/>
      <c r="B16" s="6" t="s">
        <v>35</v>
      </c>
      <c r="C16" s="947">
        <v>0</v>
      </c>
      <c r="D16" s="947">
        <v>0</v>
      </c>
      <c r="E16" s="947">
        <v>0</v>
      </c>
      <c r="F16" s="939">
        <v>0</v>
      </c>
      <c r="G16" s="947">
        <v>0</v>
      </c>
      <c r="H16" s="947">
        <v>0</v>
      </c>
      <c r="I16" s="947">
        <v>1.8014999999999999E-3</v>
      </c>
      <c r="J16" s="947">
        <v>0</v>
      </c>
      <c r="K16" s="947">
        <v>0</v>
      </c>
      <c r="L16" s="947">
        <v>1.2682986835230003E-2</v>
      </c>
      <c r="M16" s="947">
        <v>0</v>
      </c>
      <c r="N16" s="947">
        <v>0</v>
      </c>
      <c r="O16" s="947">
        <v>0</v>
      </c>
      <c r="P16" s="947">
        <v>0</v>
      </c>
      <c r="Q16" s="947">
        <v>0</v>
      </c>
      <c r="R16" s="939">
        <v>1.4484486835230003E-2</v>
      </c>
      <c r="S16" s="947">
        <v>0.28289200612560084</v>
      </c>
      <c r="T16" s="947">
        <v>0</v>
      </c>
      <c r="U16" s="947">
        <v>0</v>
      </c>
      <c r="V16" s="948">
        <v>0.28289200612560084</v>
      </c>
      <c r="W16" s="939">
        <v>0.29737649296083085</v>
      </c>
      <c r="X16" s="947">
        <v>0</v>
      </c>
      <c r="Y16" s="947">
        <v>0</v>
      </c>
      <c r="Z16" s="947">
        <v>0.71840011679999893</v>
      </c>
      <c r="AA16" s="940">
        <v>0</v>
      </c>
      <c r="AB16" s="940">
        <v>0</v>
      </c>
      <c r="AC16" s="939">
        <v>1.0157766097608298</v>
      </c>
    </row>
    <row r="17" spans="1:31">
      <c r="A17" s="5"/>
      <c r="B17" s="6" t="s">
        <v>38</v>
      </c>
      <c r="C17" s="947">
        <v>0</v>
      </c>
      <c r="D17" s="947">
        <v>0</v>
      </c>
      <c r="E17" s="947">
        <v>0.15007461450000004</v>
      </c>
      <c r="F17" s="939">
        <v>0.15007461450000004</v>
      </c>
      <c r="G17" s="947">
        <v>0</v>
      </c>
      <c r="H17" s="947">
        <v>0</v>
      </c>
      <c r="I17" s="947">
        <v>1.3711180399999998E-3</v>
      </c>
      <c r="J17" s="947">
        <v>0</v>
      </c>
      <c r="K17" s="947">
        <v>0</v>
      </c>
      <c r="L17" s="947">
        <v>6.3396528591240023E-2</v>
      </c>
      <c r="M17" s="947">
        <v>0</v>
      </c>
      <c r="N17" s="947">
        <v>0</v>
      </c>
      <c r="O17" s="947">
        <v>0</v>
      </c>
      <c r="P17" s="947">
        <v>0</v>
      </c>
      <c r="Q17" s="947">
        <v>0</v>
      </c>
      <c r="R17" s="939">
        <v>6.4767646631240017E-2</v>
      </c>
      <c r="S17" s="947">
        <v>0.51127783694160023</v>
      </c>
      <c r="T17" s="947">
        <v>0</v>
      </c>
      <c r="U17" s="947">
        <v>0</v>
      </c>
      <c r="V17" s="948">
        <v>0.51127783694160023</v>
      </c>
      <c r="W17" s="939">
        <v>0.72612009807284028</v>
      </c>
      <c r="X17" s="947">
        <v>0</v>
      </c>
      <c r="Y17" s="947">
        <v>0</v>
      </c>
      <c r="Z17" s="947">
        <v>0.31973047919999953</v>
      </c>
      <c r="AA17" s="940">
        <v>0</v>
      </c>
      <c r="AB17" s="940">
        <v>0</v>
      </c>
      <c r="AC17" s="939">
        <v>1.0458505772728399</v>
      </c>
    </row>
    <row r="18" spans="1:31">
      <c r="A18" s="5"/>
      <c r="B18" s="6" t="s">
        <v>36</v>
      </c>
      <c r="C18" s="947">
        <v>0</v>
      </c>
      <c r="D18" s="947">
        <v>0</v>
      </c>
      <c r="E18" s="947">
        <v>0</v>
      </c>
      <c r="F18" s="939">
        <v>0</v>
      </c>
      <c r="G18" s="947">
        <v>0</v>
      </c>
      <c r="H18" s="947">
        <v>0</v>
      </c>
      <c r="I18" s="947">
        <v>6.436917966859633E-2</v>
      </c>
      <c r="J18" s="947">
        <v>0</v>
      </c>
      <c r="K18" s="947">
        <v>0</v>
      </c>
      <c r="L18" s="947">
        <v>0.79081834482437452</v>
      </c>
      <c r="M18" s="947">
        <v>0</v>
      </c>
      <c r="N18" s="947">
        <v>1.5272040825354818E-2</v>
      </c>
      <c r="O18" s="947">
        <v>0</v>
      </c>
      <c r="P18" s="947">
        <v>0</v>
      </c>
      <c r="Q18" s="947">
        <v>0</v>
      </c>
      <c r="R18" s="939">
        <v>0.87045956531832569</v>
      </c>
      <c r="S18" s="947">
        <v>3.662031461885543</v>
      </c>
      <c r="T18" s="947">
        <v>0</v>
      </c>
      <c r="U18" s="947">
        <v>0</v>
      </c>
      <c r="V18" s="948">
        <v>3.662031461885543</v>
      </c>
      <c r="W18" s="939">
        <v>4.5324910272038688</v>
      </c>
      <c r="X18" s="947">
        <v>0</v>
      </c>
      <c r="Y18" s="947">
        <v>6.4616340319999993E-2</v>
      </c>
      <c r="Z18" s="947">
        <v>2.5720408157649741</v>
      </c>
      <c r="AA18" s="940">
        <v>0</v>
      </c>
      <c r="AB18" s="940">
        <v>0</v>
      </c>
      <c r="AC18" s="939">
        <v>7.1691481832888426</v>
      </c>
    </row>
    <row r="19" spans="1:31">
      <c r="A19" s="5"/>
      <c r="B19" s="6" t="s">
        <v>33</v>
      </c>
      <c r="C19" s="947">
        <v>0</v>
      </c>
      <c r="D19" s="947">
        <v>0</v>
      </c>
      <c r="E19" s="947">
        <v>0</v>
      </c>
      <c r="F19" s="939">
        <v>0</v>
      </c>
      <c r="G19" s="947">
        <v>0</v>
      </c>
      <c r="H19" s="947">
        <v>0</v>
      </c>
      <c r="I19" s="947">
        <v>2.2614942071388806</v>
      </c>
      <c r="J19" s="947">
        <v>0.18076869619754402</v>
      </c>
      <c r="K19" s="947">
        <v>0</v>
      </c>
      <c r="L19" s="947">
        <v>6.2706681804894941</v>
      </c>
      <c r="M19" s="947">
        <v>0</v>
      </c>
      <c r="N19" s="947">
        <v>0.21193853931782766</v>
      </c>
      <c r="O19" s="947">
        <v>0</v>
      </c>
      <c r="P19" s="947">
        <v>0</v>
      </c>
      <c r="Q19" s="947">
        <v>0</v>
      </c>
      <c r="R19" s="939">
        <v>8.9248696231437457</v>
      </c>
      <c r="S19" s="947">
        <v>3.9377154094853708</v>
      </c>
      <c r="T19" s="947">
        <v>0</v>
      </c>
      <c r="U19" s="947">
        <v>0</v>
      </c>
      <c r="V19" s="948">
        <v>3.9377154094853708</v>
      </c>
      <c r="W19" s="939">
        <v>12.862585032629116</v>
      </c>
      <c r="X19" s="947">
        <v>0</v>
      </c>
      <c r="Y19" s="947">
        <v>2.6625984542999999</v>
      </c>
      <c r="Z19" s="947">
        <v>8.2248419981479568</v>
      </c>
      <c r="AA19" s="940">
        <v>0</v>
      </c>
      <c r="AB19" s="940">
        <v>0</v>
      </c>
      <c r="AC19" s="939">
        <v>23.750025485077074</v>
      </c>
    </row>
    <row r="20" spans="1:31">
      <c r="A20" s="5"/>
      <c r="B20" s="6" t="s">
        <v>41</v>
      </c>
      <c r="C20" s="947">
        <v>0</v>
      </c>
      <c r="D20" s="947">
        <v>3.4802639999999885E-2</v>
      </c>
      <c r="E20" s="947">
        <v>0</v>
      </c>
      <c r="F20" s="939">
        <v>3.4802639999999885E-2</v>
      </c>
      <c r="G20" s="947">
        <v>0</v>
      </c>
      <c r="H20" s="947">
        <v>0</v>
      </c>
      <c r="I20" s="947">
        <v>1.4824289035641225E-2</v>
      </c>
      <c r="J20" s="947">
        <v>0</v>
      </c>
      <c r="K20" s="947">
        <v>0</v>
      </c>
      <c r="L20" s="947">
        <v>2.686359855936808</v>
      </c>
      <c r="M20" s="947">
        <v>0</v>
      </c>
      <c r="N20" s="947">
        <v>6.0526121450941245E-2</v>
      </c>
      <c r="O20" s="947">
        <v>0</v>
      </c>
      <c r="P20" s="947">
        <v>0</v>
      </c>
      <c r="Q20" s="947">
        <v>0</v>
      </c>
      <c r="R20" s="939">
        <v>2.7617102664233903</v>
      </c>
      <c r="S20" s="947">
        <v>9.0088680128658041</v>
      </c>
      <c r="T20" s="947">
        <v>0</v>
      </c>
      <c r="U20" s="947">
        <v>0</v>
      </c>
      <c r="V20" s="948">
        <v>9.0088680128658041</v>
      </c>
      <c r="W20" s="939">
        <v>11.805380919289195</v>
      </c>
      <c r="X20" s="947">
        <v>0</v>
      </c>
      <c r="Y20" s="947">
        <v>0.76650614430000008</v>
      </c>
      <c r="Z20" s="947">
        <v>1.4541530292414042</v>
      </c>
      <c r="AA20" s="940">
        <v>0</v>
      </c>
      <c r="AB20" s="940">
        <v>0</v>
      </c>
      <c r="AC20" s="939">
        <v>14.026040092830598</v>
      </c>
    </row>
    <row r="21" spans="1:31">
      <c r="A21" s="5"/>
      <c r="B21" s="6" t="s">
        <v>40</v>
      </c>
      <c r="C21" s="947">
        <v>0</v>
      </c>
      <c r="D21" s="947">
        <v>0</v>
      </c>
      <c r="E21" s="947">
        <v>0</v>
      </c>
      <c r="F21" s="939">
        <v>0</v>
      </c>
      <c r="G21" s="947">
        <v>0</v>
      </c>
      <c r="H21" s="947">
        <v>0</v>
      </c>
      <c r="I21" s="947">
        <v>8.4678374501490523E-3</v>
      </c>
      <c r="J21" s="947">
        <v>0</v>
      </c>
      <c r="K21" s="947">
        <v>0</v>
      </c>
      <c r="L21" s="947">
        <v>6.7984835940642946E-2</v>
      </c>
      <c r="M21" s="947">
        <v>0</v>
      </c>
      <c r="N21" s="947">
        <v>7.4699146039404696E-2</v>
      </c>
      <c r="O21" s="947">
        <v>0</v>
      </c>
      <c r="P21" s="947">
        <v>0</v>
      </c>
      <c r="Q21" s="947">
        <v>0</v>
      </c>
      <c r="R21" s="939">
        <v>0.15115181943019668</v>
      </c>
      <c r="S21" s="947">
        <v>1.9894708457741683</v>
      </c>
      <c r="T21" s="947">
        <v>0</v>
      </c>
      <c r="U21" s="947">
        <v>0</v>
      </c>
      <c r="V21" s="948">
        <v>1.9894708457741683</v>
      </c>
      <c r="W21" s="939">
        <v>2.1406226652043649</v>
      </c>
      <c r="X21" s="947">
        <v>0</v>
      </c>
      <c r="Y21" s="947">
        <v>3.0108900000000001E-2</v>
      </c>
      <c r="Z21" s="947">
        <v>3.1948205615144181</v>
      </c>
      <c r="AA21" s="940">
        <v>0</v>
      </c>
      <c r="AB21" s="940">
        <v>0</v>
      </c>
      <c r="AC21" s="939">
        <v>5.3655521267187831</v>
      </c>
    </row>
    <row r="22" spans="1:31">
      <c r="A22" s="5"/>
      <c r="B22" s="6" t="s">
        <v>37</v>
      </c>
      <c r="C22" s="947">
        <v>0</v>
      </c>
      <c r="D22" s="947">
        <v>1.5843902699999579E-3</v>
      </c>
      <c r="E22" s="947">
        <v>1.7227337419999999E-2</v>
      </c>
      <c r="F22" s="939">
        <v>1.8811727689999957E-2</v>
      </c>
      <c r="G22" s="947">
        <v>0</v>
      </c>
      <c r="H22" s="947">
        <v>0</v>
      </c>
      <c r="I22" s="947">
        <v>3.8422618351031737E-2</v>
      </c>
      <c r="J22" s="947">
        <v>0</v>
      </c>
      <c r="K22" s="947">
        <v>0</v>
      </c>
      <c r="L22" s="947">
        <v>0.18921479680714254</v>
      </c>
      <c r="M22" s="947">
        <v>0</v>
      </c>
      <c r="N22" s="947">
        <v>0.20725902388535777</v>
      </c>
      <c r="O22" s="947">
        <v>0</v>
      </c>
      <c r="P22" s="947">
        <v>0</v>
      </c>
      <c r="Q22" s="947">
        <v>0</v>
      </c>
      <c r="R22" s="939">
        <v>0.43489643904353203</v>
      </c>
      <c r="S22" s="947">
        <v>0.97659961046980825</v>
      </c>
      <c r="T22" s="947">
        <v>0</v>
      </c>
      <c r="U22" s="947">
        <v>0</v>
      </c>
      <c r="V22" s="948">
        <v>0.97659961046980825</v>
      </c>
      <c r="W22" s="939">
        <v>1.4303077772033403</v>
      </c>
      <c r="X22" s="947">
        <v>0</v>
      </c>
      <c r="Y22" s="947">
        <v>0</v>
      </c>
      <c r="Z22" s="947">
        <v>12.68681322819554</v>
      </c>
      <c r="AA22" s="940">
        <v>0</v>
      </c>
      <c r="AB22" s="940">
        <v>0</v>
      </c>
      <c r="AC22" s="939">
        <v>14.11712100539888</v>
      </c>
    </row>
    <row r="23" spans="1:31">
      <c r="A23" s="5"/>
      <c r="B23" s="6" t="s">
        <v>39</v>
      </c>
      <c r="C23" s="947">
        <v>0</v>
      </c>
      <c r="D23" s="947">
        <v>0</v>
      </c>
      <c r="E23" s="947">
        <v>0</v>
      </c>
      <c r="F23" s="939">
        <v>0</v>
      </c>
      <c r="G23" s="947">
        <v>0</v>
      </c>
      <c r="H23" s="947">
        <v>0</v>
      </c>
      <c r="I23" s="947">
        <v>2.6275246534865578E-2</v>
      </c>
      <c r="J23" s="947">
        <v>0</v>
      </c>
      <c r="K23" s="947">
        <v>0</v>
      </c>
      <c r="L23" s="947">
        <v>0.25160670468093144</v>
      </c>
      <c r="M23" s="947">
        <v>0</v>
      </c>
      <c r="N23" s="947">
        <v>0</v>
      </c>
      <c r="O23" s="947">
        <v>0</v>
      </c>
      <c r="P23" s="947">
        <v>0</v>
      </c>
      <c r="Q23" s="947">
        <v>0</v>
      </c>
      <c r="R23" s="939">
        <v>0.27788195121579701</v>
      </c>
      <c r="S23" s="947">
        <v>1.8850822394960005</v>
      </c>
      <c r="T23" s="947">
        <v>0</v>
      </c>
      <c r="U23" s="947">
        <v>0</v>
      </c>
      <c r="V23" s="948">
        <v>1.8850822394960005</v>
      </c>
      <c r="W23" s="939">
        <v>2.1629641907117976</v>
      </c>
      <c r="X23" s="947">
        <v>0</v>
      </c>
      <c r="Y23" s="947">
        <v>5.3569798472187058</v>
      </c>
      <c r="Z23" s="947">
        <v>5.2620646564070412</v>
      </c>
      <c r="AA23" s="940">
        <v>0</v>
      </c>
      <c r="AB23" s="940">
        <v>0</v>
      </c>
      <c r="AC23" s="939">
        <v>12.782008694337545</v>
      </c>
    </row>
    <row r="24" spans="1:31">
      <c r="A24" s="221"/>
      <c r="B24" s="219" t="s">
        <v>34</v>
      </c>
      <c r="C24" s="947">
        <v>0</v>
      </c>
      <c r="D24" s="947">
        <v>0</v>
      </c>
      <c r="E24" s="947">
        <v>0</v>
      </c>
      <c r="F24" s="939">
        <v>0</v>
      </c>
      <c r="G24" s="947">
        <v>0</v>
      </c>
      <c r="H24" s="947">
        <v>0</v>
      </c>
      <c r="I24" s="947">
        <v>5.2932547312059999E-2</v>
      </c>
      <c r="J24" s="947">
        <v>0</v>
      </c>
      <c r="K24" s="947">
        <v>0</v>
      </c>
      <c r="L24" s="947">
        <v>0.15058705338568801</v>
      </c>
      <c r="M24" s="947">
        <v>0</v>
      </c>
      <c r="N24" s="947">
        <v>1.3666813800000011E-2</v>
      </c>
      <c r="O24" s="947">
        <v>0</v>
      </c>
      <c r="P24" s="947">
        <v>0</v>
      </c>
      <c r="Q24" s="947">
        <v>0</v>
      </c>
      <c r="R24" s="939">
        <v>0.217186414497748</v>
      </c>
      <c r="S24" s="947">
        <v>7.4333356549376184</v>
      </c>
      <c r="T24" s="947">
        <v>0</v>
      </c>
      <c r="U24" s="947">
        <v>0</v>
      </c>
      <c r="V24" s="948">
        <v>7.4333356549376184</v>
      </c>
      <c r="W24" s="939">
        <v>7.6505220694353664</v>
      </c>
      <c r="X24" s="947">
        <v>0</v>
      </c>
      <c r="Y24" s="947">
        <v>0.24120766247600001</v>
      </c>
      <c r="Z24" s="947">
        <v>14.1184921402272</v>
      </c>
      <c r="AA24" s="940">
        <v>0</v>
      </c>
      <c r="AB24" s="940">
        <v>0</v>
      </c>
      <c r="AC24" s="939">
        <v>22.010221872138565</v>
      </c>
    </row>
    <row r="25" spans="1:31">
      <c r="A25" s="5" t="s">
        <v>672</v>
      </c>
      <c r="B25" s="128"/>
      <c r="C25" s="944">
        <f>SUM(C27:C32)</f>
        <v>0</v>
      </c>
      <c r="D25" s="944">
        <f t="shared" ref="D25:AC25" si="0">SUM(D27:D32)</f>
        <v>0.38818740230221194</v>
      </c>
      <c r="E25" s="944">
        <f t="shared" si="0"/>
        <v>0</v>
      </c>
      <c r="F25" s="945">
        <f t="shared" si="0"/>
        <v>0.38818740230221194</v>
      </c>
      <c r="G25" s="935">
        <f t="shared" si="0"/>
        <v>0</v>
      </c>
      <c r="H25" s="935">
        <f t="shared" si="0"/>
        <v>0</v>
      </c>
      <c r="I25" s="935">
        <f t="shared" si="0"/>
        <v>2.3452658679176817E-2</v>
      </c>
      <c r="J25" s="935">
        <f t="shared" si="0"/>
        <v>9.5354955789076948E-2</v>
      </c>
      <c r="K25" s="935">
        <f t="shared" si="0"/>
        <v>0</v>
      </c>
      <c r="L25" s="935">
        <f t="shared" si="0"/>
        <v>6.1635194848544224</v>
      </c>
      <c r="M25" s="935">
        <f t="shared" si="0"/>
        <v>0</v>
      </c>
      <c r="N25" s="935">
        <f t="shared" si="0"/>
        <v>0.2607055295262285</v>
      </c>
      <c r="O25" s="935">
        <f t="shared" si="0"/>
        <v>0</v>
      </c>
      <c r="P25" s="935">
        <f t="shared" si="0"/>
        <v>0</v>
      </c>
      <c r="Q25" s="935">
        <f t="shared" si="0"/>
        <v>0</v>
      </c>
      <c r="R25" s="945">
        <f t="shared" si="0"/>
        <v>6.5430326288489047</v>
      </c>
      <c r="S25" s="935">
        <f t="shared" si="0"/>
        <v>13.602642191268888</v>
      </c>
      <c r="T25" s="944">
        <f t="shared" si="0"/>
        <v>0</v>
      </c>
      <c r="U25" s="944">
        <f t="shared" si="0"/>
        <v>0</v>
      </c>
      <c r="V25" s="945">
        <f t="shared" si="0"/>
        <v>13.602642191268888</v>
      </c>
      <c r="W25" s="945">
        <f t="shared" si="0"/>
        <v>20.533862222420005</v>
      </c>
      <c r="X25" s="944">
        <f t="shared" si="0"/>
        <v>0</v>
      </c>
      <c r="Y25" s="935">
        <f t="shared" si="0"/>
        <v>3.34466469801735</v>
      </c>
      <c r="Z25" s="937">
        <f t="shared" si="0"/>
        <v>-1.6622817163402364</v>
      </c>
      <c r="AA25" s="946">
        <f t="shared" si="0"/>
        <v>0</v>
      </c>
      <c r="AB25" s="946">
        <f t="shared" si="0"/>
        <v>0</v>
      </c>
      <c r="AC25" s="936">
        <f t="shared" si="0"/>
        <v>22.216245204097117</v>
      </c>
      <c r="AE25" s="38"/>
    </row>
    <row r="26" spans="1:31">
      <c r="A26" s="5"/>
      <c r="B26" s="128"/>
      <c r="C26" s="949"/>
      <c r="D26" s="950"/>
      <c r="E26" s="949"/>
      <c r="F26" s="939"/>
      <c r="G26" s="950"/>
      <c r="H26" s="950"/>
      <c r="I26" s="950"/>
      <c r="J26" s="950"/>
      <c r="K26" s="950"/>
      <c r="L26" s="950"/>
      <c r="M26" s="950"/>
      <c r="N26" s="950"/>
      <c r="O26" s="950"/>
      <c r="P26" s="950"/>
      <c r="Q26" s="950"/>
      <c r="R26" s="939"/>
      <c r="S26" s="950"/>
      <c r="T26" s="949"/>
      <c r="U26" s="949"/>
      <c r="V26" s="939"/>
      <c r="W26" s="939"/>
      <c r="X26" s="949"/>
      <c r="Y26" s="953"/>
      <c r="Z26" s="953">
        <v>2.5320231235595623</v>
      </c>
      <c r="AA26" s="954"/>
      <c r="AB26" s="951"/>
      <c r="AC26" s="952"/>
      <c r="AE26" s="38"/>
    </row>
    <row r="27" spans="1:31">
      <c r="A27" s="3"/>
      <c r="B27" s="6" t="s">
        <v>164</v>
      </c>
      <c r="C27" s="938">
        <v>0</v>
      </c>
      <c r="D27" s="938">
        <v>9.4745424270655746E-3</v>
      </c>
      <c r="E27" s="938">
        <v>0</v>
      </c>
      <c r="F27" s="939">
        <v>9.4745424270655746E-3</v>
      </c>
      <c r="G27" s="938">
        <v>0</v>
      </c>
      <c r="H27" s="938">
        <v>0</v>
      </c>
      <c r="I27" s="938">
        <v>9.6199478427351458E-3</v>
      </c>
      <c r="J27" s="938">
        <v>2.0312438871418172E-4</v>
      </c>
      <c r="K27" s="938">
        <v>0</v>
      </c>
      <c r="L27" s="938">
        <v>3.7838334905316673</v>
      </c>
      <c r="M27" s="938">
        <v>0</v>
      </c>
      <c r="N27" s="938">
        <v>0</v>
      </c>
      <c r="O27" s="938">
        <v>0</v>
      </c>
      <c r="P27" s="938">
        <v>0</v>
      </c>
      <c r="Q27" s="938">
        <v>0</v>
      </c>
      <c r="R27" s="939">
        <v>3.7936565627631165</v>
      </c>
      <c r="S27" s="938">
        <v>6.3914674787559994E-2</v>
      </c>
      <c r="T27" s="938">
        <v>0</v>
      </c>
      <c r="U27" s="938">
        <v>0</v>
      </c>
      <c r="V27" s="939">
        <v>6.3914674787559994E-2</v>
      </c>
      <c r="W27" s="939">
        <v>3.867045779977742</v>
      </c>
      <c r="X27" s="938">
        <v>0</v>
      </c>
      <c r="Y27" s="938">
        <v>1.1258794240529042</v>
      </c>
      <c r="Z27" s="938">
        <v>1.8457960174978298</v>
      </c>
      <c r="AA27" s="940">
        <v>0</v>
      </c>
      <c r="AB27" s="940">
        <v>0</v>
      </c>
      <c r="AC27" s="939">
        <v>6.8387212215284761</v>
      </c>
    </row>
    <row r="28" spans="1:31">
      <c r="A28" s="3"/>
      <c r="B28" s="6" t="s">
        <v>165</v>
      </c>
      <c r="C28" s="938">
        <v>0</v>
      </c>
      <c r="D28" s="938">
        <v>3.9067787030746496E-4</v>
      </c>
      <c r="E28" s="938">
        <v>0</v>
      </c>
      <c r="F28" s="939">
        <v>3.9067787030746496E-4</v>
      </c>
      <c r="G28" s="938">
        <v>0</v>
      </c>
      <c r="H28" s="938">
        <v>0</v>
      </c>
      <c r="I28" s="938">
        <v>2.8618549947438698E-3</v>
      </c>
      <c r="J28" s="938">
        <v>1.7081429587443027E-4</v>
      </c>
      <c r="K28" s="938">
        <v>0</v>
      </c>
      <c r="L28" s="938">
        <v>1.093013556141802</v>
      </c>
      <c r="M28" s="938">
        <v>0</v>
      </c>
      <c r="N28" s="938">
        <v>0</v>
      </c>
      <c r="O28" s="938">
        <v>0</v>
      </c>
      <c r="P28" s="938">
        <v>0</v>
      </c>
      <c r="Q28" s="938">
        <v>0</v>
      </c>
      <c r="R28" s="939">
        <v>1.0960462254324204</v>
      </c>
      <c r="S28" s="938">
        <v>0.22900849645020005</v>
      </c>
      <c r="T28" s="938">
        <v>0</v>
      </c>
      <c r="U28" s="938">
        <v>0</v>
      </c>
      <c r="V28" s="939">
        <v>0.22900849645020005</v>
      </c>
      <c r="W28" s="939">
        <v>1.3254453997529279</v>
      </c>
      <c r="X28" s="938">
        <v>0</v>
      </c>
      <c r="Y28" s="938">
        <v>1.8627878903041739</v>
      </c>
      <c r="Z28" s="938">
        <v>0.12709273506601643</v>
      </c>
      <c r="AA28" s="940">
        <v>0</v>
      </c>
      <c r="AB28" s="940">
        <v>0</v>
      </c>
      <c r="AC28" s="939">
        <v>3.315326025123118</v>
      </c>
    </row>
    <row r="29" spans="1:31">
      <c r="A29" s="3"/>
      <c r="B29" s="6" t="s">
        <v>166</v>
      </c>
      <c r="C29" s="938">
        <v>0</v>
      </c>
      <c r="D29" s="938">
        <v>0.2048901255029934</v>
      </c>
      <c r="E29" s="938">
        <v>0</v>
      </c>
      <c r="F29" s="939">
        <v>0.2048901255029934</v>
      </c>
      <c r="G29" s="938">
        <v>0</v>
      </c>
      <c r="H29" s="938">
        <v>0</v>
      </c>
      <c r="I29" s="938">
        <v>4.5449460986004726E-3</v>
      </c>
      <c r="J29" s="938">
        <v>9.7582854017812595E-4</v>
      </c>
      <c r="K29" s="938">
        <v>0</v>
      </c>
      <c r="L29" s="938">
        <v>0.45220226236886618</v>
      </c>
      <c r="M29" s="938">
        <v>0</v>
      </c>
      <c r="N29" s="938">
        <v>0.21925768068546872</v>
      </c>
      <c r="O29" s="938">
        <v>0</v>
      </c>
      <c r="P29" s="938">
        <v>0</v>
      </c>
      <c r="Q29" s="938">
        <v>0</v>
      </c>
      <c r="R29" s="939">
        <v>0.67698071769311352</v>
      </c>
      <c r="S29" s="938">
        <v>13.309719020031128</v>
      </c>
      <c r="T29" s="938">
        <v>0</v>
      </c>
      <c r="U29" s="938">
        <v>0</v>
      </c>
      <c r="V29" s="939">
        <v>13.309719020031128</v>
      </c>
      <c r="W29" s="939">
        <v>14.191589863227236</v>
      </c>
      <c r="X29" s="938">
        <v>0</v>
      </c>
      <c r="Y29" s="938">
        <v>0.35581227718027197</v>
      </c>
      <c r="Z29" s="938">
        <v>-4.4152627630714534</v>
      </c>
      <c r="AA29" s="940">
        <v>0</v>
      </c>
      <c r="AB29" s="940">
        <v>0</v>
      </c>
      <c r="AC29" s="939">
        <v>10.132139377336054</v>
      </c>
    </row>
    <row r="30" spans="1:31">
      <c r="A30" s="3"/>
      <c r="B30" s="6" t="s">
        <v>167</v>
      </c>
      <c r="C30" s="938">
        <v>0</v>
      </c>
      <c r="D30" s="938">
        <v>0.17343205650184546</v>
      </c>
      <c r="E30" s="938">
        <v>0</v>
      </c>
      <c r="F30" s="939">
        <v>0.17343205650184546</v>
      </c>
      <c r="G30" s="938">
        <v>0</v>
      </c>
      <c r="H30" s="938">
        <v>0</v>
      </c>
      <c r="I30" s="938">
        <v>6.4241520560003309E-3</v>
      </c>
      <c r="J30" s="938">
        <v>4.2097231406107204E-3</v>
      </c>
      <c r="K30" s="938">
        <v>0</v>
      </c>
      <c r="L30" s="938">
        <v>0.82423998608028826</v>
      </c>
      <c r="M30" s="938">
        <v>0</v>
      </c>
      <c r="N30" s="938">
        <v>4.1447848840759749E-2</v>
      </c>
      <c r="O30" s="938">
        <v>0</v>
      </c>
      <c r="P30" s="938">
        <v>0</v>
      </c>
      <c r="Q30" s="938">
        <v>0</v>
      </c>
      <c r="R30" s="939">
        <v>0.87632171011765903</v>
      </c>
      <c r="S30" s="938">
        <v>0</v>
      </c>
      <c r="T30" s="938">
        <v>0</v>
      </c>
      <c r="U30" s="938">
        <v>0</v>
      </c>
      <c r="V30" s="939">
        <v>0</v>
      </c>
      <c r="W30" s="939">
        <v>1.0497537666195045</v>
      </c>
      <c r="X30" s="938">
        <v>0</v>
      </c>
      <c r="Y30" s="938">
        <v>1.8510647999999999E-4</v>
      </c>
      <c r="Z30" s="938">
        <v>0.78009229416737091</v>
      </c>
      <c r="AA30" s="940">
        <v>0</v>
      </c>
      <c r="AB30" s="940">
        <v>0</v>
      </c>
      <c r="AC30" s="939">
        <v>1.8300311672668754</v>
      </c>
    </row>
    <row r="31" spans="1:31">
      <c r="A31" s="3"/>
      <c r="B31" s="6" t="s">
        <v>168</v>
      </c>
      <c r="C31" s="938">
        <v>0</v>
      </c>
      <c r="D31" s="938">
        <v>0</v>
      </c>
      <c r="E31" s="938">
        <v>0</v>
      </c>
      <c r="F31" s="939">
        <v>0</v>
      </c>
      <c r="G31" s="938">
        <v>0</v>
      </c>
      <c r="H31" s="938">
        <v>0</v>
      </c>
      <c r="I31" s="938">
        <v>1.7576870969999996E-6</v>
      </c>
      <c r="J31" s="938">
        <v>8.6829831279295638E-2</v>
      </c>
      <c r="K31" s="938">
        <v>0</v>
      </c>
      <c r="L31" s="938">
        <v>6.8157765275399847E-3</v>
      </c>
      <c r="M31" s="938">
        <v>0</v>
      </c>
      <c r="N31" s="938">
        <v>0</v>
      </c>
      <c r="O31" s="938">
        <v>0</v>
      </c>
      <c r="P31" s="938">
        <v>0</v>
      </c>
      <c r="Q31" s="938">
        <v>0</v>
      </c>
      <c r="R31" s="939">
        <v>9.3647365493932613E-2</v>
      </c>
      <c r="S31" s="938">
        <v>0</v>
      </c>
      <c r="T31" s="938">
        <v>0</v>
      </c>
      <c r="U31" s="938">
        <v>0</v>
      </c>
      <c r="V31" s="939">
        <v>0</v>
      </c>
      <c r="W31" s="939">
        <v>9.3647365493932613E-2</v>
      </c>
      <c r="X31" s="938">
        <v>0</v>
      </c>
      <c r="Y31" s="938">
        <v>0</v>
      </c>
      <c r="Z31" s="938">
        <v>0</v>
      </c>
      <c r="AA31" s="940">
        <v>0</v>
      </c>
      <c r="AB31" s="940">
        <v>0</v>
      </c>
      <c r="AC31" s="939">
        <v>9.3647365493932613E-2</v>
      </c>
    </row>
    <row r="32" spans="1:31">
      <c r="A32" s="4"/>
      <c r="B32" s="127" t="s">
        <v>169</v>
      </c>
      <c r="C32" s="956">
        <v>0</v>
      </c>
      <c r="D32" s="956">
        <v>0</v>
      </c>
      <c r="E32" s="956">
        <v>0</v>
      </c>
      <c r="F32" s="955">
        <v>0</v>
      </c>
      <c r="G32" s="956">
        <v>0</v>
      </c>
      <c r="H32" s="956">
        <v>0</v>
      </c>
      <c r="I32" s="956">
        <v>0</v>
      </c>
      <c r="J32" s="956">
        <v>2.9656341444038409E-3</v>
      </c>
      <c r="K32" s="956">
        <v>0</v>
      </c>
      <c r="L32" s="956">
        <v>3.4144132042592998E-3</v>
      </c>
      <c r="M32" s="956">
        <v>0</v>
      </c>
      <c r="N32" s="956">
        <v>0</v>
      </c>
      <c r="O32" s="956">
        <v>0</v>
      </c>
      <c r="P32" s="956">
        <v>0</v>
      </c>
      <c r="Q32" s="956">
        <v>0</v>
      </c>
      <c r="R32" s="955">
        <v>6.3800473486631407E-3</v>
      </c>
      <c r="S32" s="956">
        <v>0</v>
      </c>
      <c r="T32" s="956">
        <v>0</v>
      </c>
      <c r="U32" s="956">
        <v>0</v>
      </c>
      <c r="V32" s="955">
        <v>0</v>
      </c>
      <c r="W32" s="955">
        <v>6.3800473486631407E-3</v>
      </c>
      <c r="X32" s="956">
        <v>0</v>
      </c>
      <c r="Y32" s="956">
        <v>0</v>
      </c>
      <c r="Z32" s="956">
        <v>0</v>
      </c>
      <c r="AA32" s="957">
        <v>0</v>
      </c>
      <c r="AB32" s="957">
        <v>0</v>
      </c>
      <c r="AC32" s="955">
        <v>6.3800473486631407E-3</v>
      </c>
    </row>
    <row r="35" spans="5:8">
      <c r="E35" s="999"/>
      <c r="F35" s="999"/>
      <c r="G35" s="999"/>
      <c r="H35" s="999"/>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4" t="s">
        <v>477</v>
      </c>
      <c r="B2" s="1195"/>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479</v>
      </c>
      <c r="C6" s="161" t="s">
        <v>495</v>
      </c>
    </row>
    <row r="7" spans="1:3" s="11" customFormat="1">
      <c r="A7" s="132"/>
      <c r="B7" s="133"/>
      <c r="C7" s="134"/>
    </row>
    <row r="8" spans="1:3" s="11" customFormat="1" ht="60">
      <c r="A8" s="113" t="s">
        <v>155</v>
      </c>
      <c r="B8" s="130" t="s">
        <v>479</v>
      </c>
      <c r="C8" s="313" t="s">
        <v>496</v>
      </c>
    </row>
    <row r="9" spans="1:3" s="11" customFormat="1">
      <c r="A9" s="132"/>
      <c r="B9" s="133"/>
      <c r="C9" s="134"/>
    </row>
    <row r="10" spans="1:3" s="11" customFormat="1" ht="60">
      <c r="A10" s="113" t="s">
        <v>156</v>
      </c>
      <c r="B10" s="130" t="s">
        <v>479</v>
      </c>
      <c r="C10" s="313" t="s">
        <v>496</v>
      </c>
    </row>
    <row r="11" spans="1:3" s="11" customFormat="1">
      <c r="A11" s="132"/>
      <c r="B11" s="133"/>
      <c r="C11" s="134"/>
    </row>
    <row r="12" spans="1:3" s="11" customFormat="1" ht="60">
      <c r="A12" s="113" t="s">
        <v>389</v>
      </c>
      <c r="B12" s="130" t="s">
        <v>479</v>
      </c>
      <c r="C12" s="313" t="s">
        <v>496</v>
      </c>
    </row>
    <row r="13" spans="1:3" s="11" customFormat="1">
      <c r="A13" s="132"/>
      <c r="B13" s="133"/>
      <c r="C13" s="134"/>
    </row>
    <row r="14" spans="1:3" s="11" customFormat="1" ht="60">
      <c r="A14" s="113" t="s">
        <v>112</v>
      </c>
      <c r="B14" s="130" t="s">
        <v>497</v>
      </c>
      <c r="C14" s="313" t="s">
        <v>496</v>
      </c>
    </row>
    <row r="15" spans="1:3" s="11" customFormat="1" ht="63">
      <c r="A15" s="123"/>
      <c r="B15" s="130" t="s">
        <v>498</v>
      </c>
      <c r="C15" s="313" t="s">
        <v>502</v>
      </c>
    </row>
    <row r="16" spans="1:3" s="11" customFormat="1">
      <c r="A16" s="132"/>
      <c r="B16" s="133"/>
      <c r="C16" s="134"/>
    </row>
    <row r="17" spans="1:3" s="11" customFormat="1" ht="45">
      <c r="A17" s="113" t="s">
        <v>478</v>
      </c>
      <c r="B17" s="130" t="s">
        <v>552</v>
      </c>
      <c r="C17" s="161" t="s">
        <v>553</v>
      </c>
    </row>
    <row r="18" spans="1:3" s="11" customFormat="1">
      <c r="A18" s="132"/>
      <c r="B18" s="133"/>
      <c r="C18" s="134"/>
    </row>
    <row r="19" spans="1:3" s="11" customFormat="1" ht="60">
      <c r="A19" s="113" t="s">
        <v>392</v>
      </c>
      <c r="B19" s="312" t="s">
        <v>550</v>
      </c>
      <c r="C19" s="161" t="s">
        <v>551</v>
      </c>
    </row>
    <row r="20" spans="1:3" s="11" customFormat="1">
      <c r="A20" s="113"/>
      <c r="B20" s="130"/>
      <c r="C20" s="131"/>
    </row>
    <row r="21" spans="1:3" ht="21">
      <c r="A21" s="126" t="s">
        <v>481</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96" t="s">
        <v>194</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547</v>
      </c>
      <c r="B5" s="30">
        <f>SUM(OV_ov_ele_kWh,OV_rest_ele_kWh)/1000</f>
        <v>2562.3310000000001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482</v>
      </c>
      <c r="B8" s="21">
        <f>MAX((B5+B6),0)</f>
        <v>2562.3310000000001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0.20642340014501959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528.92507731698822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10"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96" t="s">
        <v>155</v>
      </c>
      <c r="B1" s="1197" t="s">
        <v>195</v>
      </c>
      <c r="C1" s="1198"/>
      <c r="D1" s="1198"/>
      <c r="E1" s="1198"/>
      <c r="F1" s="1198"/>
      <c r="G1" s="1198"/>
      <c r="H1" s="1198"/>
      <c r="I1" s="1198"/>
      <c r="J1" s="1198"/>
      <c r="K1" s="1198"/>
      <c r="L1" s="1198"/>
      <c r="M1" s="1198"/>
      <c r="N1" s="1198"/>
      <c r="O1" s="1198"/>
      <c r="P1" s="1198"/>
    </row>
    <row r="2" spans="1:16" s="334"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6" s="334"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6" s="15" customFormat="1" ht="15.75">
      <c r="A4" s="13"/>
      <c r="B4" s="14"/>
      <c r="C4" s="14"/>
      <c r="D4" s="14"/>
      <c r="E4" s="14"/>
      <c r="F4" s="14"/>
      <c r="G4" s="14"/>
      <c r="H4" s="14"/>
      <c r="I4" s="14"/>
      <c r="J4" s="14"/>
      <c r="K4" s="14"/>
      <c r="L4" s="14"/>
      <c r="M4" s="14"/>
      <c r="N4" s="14"/>
      <c r="O4" s="14"/>
      <c r="P4" s="14"/>
    </row>
    <row r="5" spans="1:16">
      <c r="A5" s="16" t="s">
        <v>549</v>
      </c>
      <c r="B5" s="30">
        <f>IF(ISERROR(SUM(HH_hh_ele_kWh,HH_rest_kWh)/1000),0,SUM(HH_hh_ele_kWh,HH_rest_kWh)/1000)</f>
        <v>65315.677000000003</v>
      </c>
      <c r="C5" s="17">
        <f>IF(ISERROR('Eigen informatie GS &amp; warmtenet'!B57),0,'Eigen informatie GS &amp; warmtenet'!B57)</f>
        <v>0</v>
      </c>
      <c r="D5" s="30">
        <f>(SUM(HH_hh_gas_kWh,HH_rest_gas_kWh)/1000)*0.902</f>
        <v>99530.122274034569</v>
      </c>
      <c r="E5" s="17">
        <f>B46*B57</f>
        <v>6681.3406170126927</v>
      </c>
      <c r="F5" s="17">
        <f>B51*B62</f>
        <v>89155.988814448763</v>
      </c>
      <c r="G5" s="18"/>
      <c r="H5" s="17"/>
      <c r="I5" s="17"/>
      <c r="J5" s="17">
        <f>B50*B61+C50*C61</f>
        <v>4790.7292750665238</v>
      </c>
      <c r="K5" s="17"/>
      <c r="L5" s="17"/>
      <c r="M5" s="17"/>
      <c r="N5" s="17">
        <f>B48*B59+C48*C59</f>
        <v>28437.172040123252</v>
      </c>
      <c r="O5" s="17">
        <f>B69*B70*B71</f>
        <v>345.49666666666667</v>
      </c>
      <c r="P5" s="17">
        <f>B77*B78*B79/1000-B77*B78*B79/1000/B80</f>
        <v>991.4666666666667</v>
      </c>
    </row>
    <row r="6" spans="1:16">
      <c r="A6" s="16" t="s">
        <v>631</v>
      </c>
      <c r="B6" s="844">
        <f>kWh_PV_kleiner_dan_10kW</f>
        <v>5273.4590681557884</v>
      </c>
      <c r="C6" s="845"/>
      <c r="D6" s="845"/>
      <c r="E6" s="846"/>
      <c r="F6" s="846"/>
      <c r="G6" s="846"/>
      <c r="H6" s="846"/>
      <c r="I6" s="846"/>
      <c r="J6" s="846"/>
      <c r="K6" s="846"/>
      <c r="L6" s="846"/>
      <c r="M6" s="846"/>
      <c r="N6" s="846"/>
      <c r="O6" s="846"/>
      <c r="P6" s="846"/>
    </row>
    <row r="7" spans="1:16">
      <c r="B7" s="19"/>
      <c r="C7" s="19"/>
      <c r="D7" s="19"/>
      <c r="E7" s="19"/>
      <c r="F7" s="19"/>
      <c r="G7" s="19"/>
      <c r="H7" s="19"/>
      <c r="I7" s="19"/>
      <c r="J7" s="19"/>
      <c r="K7" s="19"/>
      <c r="L7" s="19"/>
      <c r="M7" s="19"/>
      <c r="N7" s="19"/>
      <c r="O7" s="19"/>
      <c r="P7" s="19"/>
    </row>
    <row r="8" spans="1:16" s="8" customFormat="1">
      <c r="A8" s="20" t="s">
        <v>212</v>
      </c>
      <c r="B8" s="21">
        <f>B5+B6</f>
        <v>70589.136068155785</v>
      </c>
      <c r="C8" s="21">
        <f>C5</f>
        <v>0</v>
      </c>
      <c r="D8" s="21">
        <f>D5</f>
        <v>99530.122274034569</v>
      </c>
      <c r="E8" s="21">
        <f>E5</f>
        <v>6681.3406170126927</v>
      </c>
      <c r="F8" s="21">
        <f>F5</f>
        <v>89155.988814448763</v>
      </c>
      <c r="G8" s="21"/>
      <c r="H8" s="21"/>
      <c r="I8" s="21"/>
      <c r="J8" s="21">
        <f>J5</f>
        <v>4790.7292750665238</v>
      </c>
      <c r="K8" s="21"/>
      <c r="L8" s="21">
        <f>L5</f>
        <v>0</v>
      </c>
      <c r="M8" s="21">
        <f>M5</f>
        <v>0</v>
      </c>
      <c r="N8" s="21">
        <f>N5</f>
        <v>28437.172040123252</v>
      </c>
      <c r="O8" s="21">
        <f>O5</f>
        <v>345.49666666666667</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0.20642340014501959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14571.249480488157</v>
      </c>
      <c r="C12" s="23">
        <f ca="1">C10*C8</f>
        <v>0</v>
      </c>
      <c r="D12" s="23">
        <f>D8*D10</f>
        <v>20105.084699354986</v>
      </c>
      <c r="E12" s="23">
        <f>E10*E8</f>
        <v>1516.6643200618812</v>
      </c>
      <c r="F12" s="23">
        <f>F10*F8</f>
        <v>23804.64901345782</v>
      </c>
      <c r="G12" s="23"/>
      <c r="H12" s="23"/>
      <c r="I12" s="23"/>
      <c r="J12" s="23">
        <f>J10*J8</f>
        <v>1695.9181633735493</v>
      </c>
      <c r="K12" s="23"/>
      <c r="L12" s="23">
        <f>L10*L8</f>
        <v>0</v>
      </c>
      <c r="M12" s="23">
        <f>M10*M8</f>
        <v>0</v>
      </c>
      <c r="N12" s="23">
        <f>N10*N8</f>
        <v>0</v>
      </c>
      <c r="O12" s="23">
        <f>O10*O8</f>
        <v>0</v>
      </c>
      <c r="P12" s="23">
        <f>P10*P8</f>
        <v>0</v>
      </c>
    </row>
    <row r="15" spans="1:16">
      <c r="A15" s="193" t="s">
        <v>493</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4030</v>
      </c>
      <c r="C18" s="166" t="s">
        <v>111</v>
      </c>
      <c r="D18" s="228"/>
      <c r="E18" s="15"/>
    </row>
    <row r="19" spans="1:7">
      <c r="A19" s="171" t="s">
        <v>72</v>
      </c>
      <c r="B19" s="37">
        <f>aantalw2001_ander</f>
        <v>2</v>
      </c>
      <c r="C19" s="166" t="s">
        <v>111</v>
      </c>
      <c r="D19" s="229"/>
      <c r="E19" s="15"/>
    </row>
    <row r="20" spans="1:7">
      <c r="A20" s="171" t="s">
        <v>73</v>
      </c>
      <c r="B20" s="37">
        <f>aantalw2001_propaan</f>
        <v>188</v>
      </c>
      <c r="C20" s="167">
        <f>IF(ISERROR(B20/SUM($B$20,$B$21,$B$22)*100),0,B20/SUM($B$20,$B$21,$B$22)*100)</f>
        <v>11.270983213429256</v>
      </c>
      <c r="D20" s="229"/>
      <c r="E20" s="15"/>
    </row>
    <row r="21" spans="1:7">
      <c r="A21" s="171" t="s">
        <v>74</v>
      </c>
      <c r="B21" s="37">
        <f>aantalw2001_elektriciteit</f>
        <v>1269</v>
      </c>
      <c r="C21" s="167">
        <f>IF(ISERROR(B21/SUM($B$20,$B$21,$B$22)*100),0,B21/SUM($B$20,$B$21,$B$22)*100)</f>
        <v>76.079136690647488</v>
      </c>
      <c r="D21" s="229"/>
      <c r="E21" s="15"/>
    </row>
    <row r="22" spans="1:7">
      <c r="A22" s="171" t="s">
        <v>75</v>
      </c>
      <c r="B22" s="37">
        <f>aantalw2001_hout</f>
        <v>211</v>
      </c>
      <c r="C22" s="167">
        <f>IF(ISERROR(B22/SUM($B$20,$B$21,$B$22)*100),0,B22/SUM($B$20,$B$21,$B$22)*100)</f>
        <v>12.64988009592326</v>
      </c>
      <c r="D22" s="229"/>
      <c r="E22" s="15"/>
    </row>
    <row r="23" spans="1:7">
      <c r="A23" s="171" t="s">
        <v>76</v>
      </c>
      <c r="B23" s="37">
        <f>aantalw2001_niet_gespec</f>
        <v>300</v>
      </c>
      <c r="C23" s="166" t="s">
        <v>111</v>
      </c>
      <c r="D23" s="228"/>
      <c r="E23" s="15"/>
    </row>
    <row r="24" spans="1:7">
      <c r="A24" s="171" t="s">
        <v>77</v>
      </c>
      <c r="B24" s="37">
        <f>aantalw2001_steenkool</f>
        <v>540</v>
      </c>
      <c r="C24" s="166" t="s">
        <v>111</v>
      </c>
      <c r="D24" s="229"/>
      <c r="E24" s="15"/>
    </row>
    <row r="25" spans="1:7">
      <c r="A25" s="171" t="s">
        <v>78</v>
      </c>
      <c r="B25" s="37">
        <f>aantalw2001_stookolie</f>
        <v>7256</v>
      </c>
      <c r="C25" s="166" t="s">
        <v>111</v>
      </c>
      <c r="D25" s="228"/>
      <c r="E25" s="52"/>
    </row>
    <row r="26" spans="1:7">
      <c r="A26" s="171" t="s">
        <v>79</v>
      </c>
      <c r="B26" s="37">
        <f>aantalw2001_WP</f>
        <v>9</v>
      </c>
      <c r="C26" s="166" t="s">
        <v>111</v>
      </c>
      <c r="D26" s="228"/>
      <c r="E26" s="15"/>
    </row>
    <row r="27" spans="1:7" s="15" customFormat="1">
      <c r="A27" s="171"/>
      <c r="B27" s="29"/>
      <c r="C27" s="36"/>
      <c r="D27" s="228"/>
    </row>
    <row r="28" spans="1:7" s="15" customFormat="1">
      <c r="A28" s="230" t="s">
        <v>740</v>
      </c>
      <c r="B28" s="37">
        <f>aantalHuishoudens2011</f>
        <v>15851</v>
      </c>
      <c r="C28" s="36"/>
      <c r="D28" s="228"/>
    </row>
    <row r="29" spans="1:7" s="15" customFormat="1">
      <c r="A29" s="230" t="s">
        <v>741</v>
      </c>
      <c r="B29" s="37">
        <f>SUM(HH_hh_gas_aantal,HH_rest_gas_aantal)</f>
        <v>8068</v>
      </c>
      <c r="C29" s="36"/>
      <c r="D29" s="228"/>
    </row>
    <row r="30" spans="1:7" s="15" customFormat="1">
      <c r="A30" s="231"/>
      <c r="B30" s="29"/>
      <c r="C30" s="36"/>
      <c r="D30" s="232"/>
    </row>
    <row r="31" spans="1:7">
      <c r="A31" s="172" t="s">
        <v>742</v>
      </c>
      <c r="B31" s="168" t="s">
        <v>216</v>
      </c>
      <c r="C31" s="165" t="s">
        <v>217</v>
      </c>
      <c r="D31" s="174"/>
      <c r="G31" s="15"/>
    </row>
    <row r="32" spans="1:7">
      <c r="A32" s="171" t="s">
        <v>71</v>
      </c>
      <c r="B32" s="37">
        <f>B29</f>
        <v>8068</v>
      </c>
      <c r="C32" s="167">
        <f>IF(ISERROR(B32/SUM($B$32,$B$34,$B$35,$B$36,$B$38,$B$39)*100),0,B32/SUM($B$32,$B$34,$B$35,$B$36,$B$38,$B$39)*100)</f>
        <v>51.066523197670733</v>
      </c>
      <c r="D32" s="233"/>
      <c r="G32" s="15"/>
    </row>
    <row r="33" spans="1:7">
      <c r="A33" s="171" t="s">
        <v>72</v>
      </c>
      <c r="B33" s="34" t="s">
        <v>111</v>
      </c>
      <c r="C33" s="167"/>
      <c r="D33" s="233"/>
      <c r="G33" s="15"/>
    </row>
    <row r="34" spans="1:7">
      <c r="A34" s="171" t="s">
        <v>73</v>
      </c>
      <c r="B34" s="33">
        <f>IF((($B$28-$B$32-$B$39-$B$77-$B$38)*C20/100)&lt;0,0,($B$28-$B$32-$B$39-$B$77-$B$38)*C20/100)</f>
        <v>447.79616306954443</v>
      </c>
      <c r="C34" s="167">
        <f>IF(ISERROR(B34/SUM($B$32,$B$34,$B$35,$B$36,$B$38,$B$39)*100),0,B34/SUM($B$32,$B$34,$B$35,$B$36,$B$38,$B$39)*100)</f>
        <v>2.8343323189413532</v>
      </c>
      <c r="D34" s="233"/>
      <c r="G34" s="15"/>
    </row>
    <row r="35" spans="1:7">
      <c r="A35" s="171" t="s">
        <v>74</v>
      </c>
      <c r="B35" s="33">
        <f>IF((($B$28-$B$32-$B$39-$B$77-$B$38)*C21/100)&lt;0,0,($B$28-$B$32-$B$39-$B$77-$B$38)*C21/100)</f>
        <v>3022.6241007194253</v>
      </c>
      <c r="C35" s="167">
        <f>IF(ISERROR(B35/SUM($B$32,$B$34,$B$35,$B$36,$B$38,$B$39)*100),0,B35/SUM($B$32,$B$34,$B$35,$B$36,$B$38,$B$39)*100)</f>
        <v>19.131743152854135</v>
      </c>
      <c r="D35" s="233"/>
      <c r="G35" s="15"/>
    </row>
    <row r="36" spans="1:7">
      <c r="A36" s="171" t="s">
        <v>75</v>
      </c>
      <c r="B36" s="33">
        <f>IF((($B$28-$B$32-$B$39-$B$77-$B$38)*C22/100)&lt;0,0,($B$28-$B$32-$B$39-$B$77-$B$38)*C22/100)</f>
        <v>502.57973621103127</v>
      </c>
      <c r="C36" s="167">
        <f>IF(ISERROR(B36/SUM($B$32,$B$34,$B$35,$B$36,$B$38,$B$39)*100),0,B36/SUM($B$32,$B$34,$B$35,$B$36,$B$38,$B$39)*100)</f>
        <v>3.1810857409394973</v>
      </c>
      <c r="D36" s="233"/>
      <c r="G36" s="15"/>
    </row>
    <row r="37" spans="1:7">
      <c r="A37" s="171" t="s">
        <v>76</v>
      </c>
      <c r="B37" s="34" t="s">
        <v>111</v>
      </c>
      <c r="C37" s="167"/>
      <c r="D37" s="173"/>
      <c r="G37" s="15"/>
    </row>
    <row r="38" spans="1:7">
      <c r="A38" s="171" t="s">
        <v>77</v>
      </c>
      <c r="B38" s="33">
        <f>IF((B24-(B29-B18)*0.1)&lt;0,0,B24-(B29-B18)*0.1)</f>
        <v>136.19999999999999</v>
      </c>
      <c r="C38" s="167">
        <f>IF(ISERROR(B38/SUM($B$32,$B$34,$B$35,$B$36,$B$38,$B$39)*100),0,B38/SUM($B$32,$B$34,$B$35,$B$36,$B$38,$B$39)*100)</f>
        <v>0.86207987847332102</v>
      </c>
      <c r="D38" s="234"/>
      <c r="G38" s="15"/>
    </row>
    <row r="39" spans="1:7">
      <c r="A39" s="171" t="s">
        <v>78</v>
      </c>
      <c r="B39" s="33">
        <f>IF((B25-(B29-B18))&lt;0,0,B25-(B29-B18)*0.9)</f>
        <v>3621.7999999999997</v>
      </c>
      <c r="C39" s="167">
        <f>IF(ISERROR(B39/SUM($B$32,$B$34,$B$35,$B$36,$B$38,$B$39)*100),0,B39/SUM($B$32,$B$34,$B$35,$B$36,$B$38,$B$39)*100)</f>
        <v>22.924235711120954</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485</v>
      </c>
      <c r="B43" s="169" t="s">
        <v>695</v>
      </c>
      <c r="C43" s="169" t="s">
        <v>696</v>
      </c>
      <c r="D43" s="174"/>
    </row>
    <row r="44" spans="1:7">
      <c r="A44" s="171" t="s">
        <v>71</v>
      </c>
      <c r="B44" s="33">
        <f t="shared" ref="B44:B52" si="0">B32</f>
        <v>8068</v>
      </c>
      <c r="C44" s="34" t="s">
        <v>111</v>
      </c>
      <c r="D44" s="174"/>
    </row>
    <row r="45" spans="1:7">
      <c r="A45" s="171" t="s">
        <v>72</v>
      </c>
      <c r="B45" s="33" t="str">
        <f t="shared" si="0"/>
        <v>-</v>
      </c>
      <c r="C45" s="34" t="s">
        <v>111</v>
      </c>
      <c r="D45" s="174"/>
    </row>
    <row r="46" spans="1:7">
      <c r="A46" s="171" t="s">
        <v>73</v>
      </c>
      <c r="B46" s="33">
        <f t="shared" si="0"/>
        <v>447.79616306954443</v>
      </c>
      <c r="C46" s="34" t="s">
        <v>111</v>
      </c>
      <c r="D46" s="174"/>
    </row>
    <row r="47" spans="1:7">
      <c r="A47" s="171" t="s">
        <v>74</v>
      </c>
      <c r="B47" s="33">
        <f t="shared" si="0"/>
        <v>3022.6241007194253</v>
      </c>
      <c r="C47" s="34" t="s">
        <v>111</v>
      </c>
      <c r="D47" s="174"/>
    </row>
    <row r="48" spans="1:7">
      <c r="A48" s="171" t="s">
        <v>75</v>
      </c>
      <c r="B48" s="33">
        <f t="shared" si="0"/>
        <v>502.57973621103127</v>
      </c>
      <c r="C48" s="33">
        <f>B48*10</f>
        <v>5025.7973621103129</v>
      </c>
      <c r="D48" s="234"/>
    </row>
    <row r="49" spans="1:6">
      <c r="A49" s="171" t="s">
        <v>76</v>
      </c>
      <c r="B49" s="33" t="str">
        <f t="shared" si="0"/>
        <v>-</v>
      </c>
      <c r="C49" s="34" t="s">
        <v>111</v>
      </c>
      <c r="D49" s="234"/>
    </row>
    <row r="50" spans="1:6">
      <c r="A50" s="171" t="s">
        <v>77</v>
      </c>
      <c r="B50" s="33">
        <f t="shared" si="0"/>
        <v>136.19999999999999</v>
      </c>
      <c r="C50" s="33">
        <f>B50*2</f>
        <v>272.39999999999998</v>
      </c>
      <c r="D50" s="234"/>
    </row>
    <row r="51" spans="1:6">
      <c r="A51" s="171" t="s">
        <v>78</v>
      </c>
      <c r="B51" s="33">
        <f t="shared" si="0"/>
        <v>3621.7999999999997</v>
      </c>
      <c r="C51" s="34" t="s">
        <v>111</v>
      </c>
      <c r="D51" s="174"/>
    </row>
    <row r="52" spans="1:6">
      <c r="A52" s="171" t="s">
        <v>79</v>
      </c>
      <c r="B52" s="33" t="str">
        <f t="shared" si="0"/>
        <v>zie verder</v>
      </c>
      <c r="C52" s="34" t="s">
        <v>111</v>
      </c>
      <c r="D52" s="174"/>
    </row>
    <row r="53" spans="1:6">
      <c r="A53" s="3"/>
      <c r="B53" s="43"/>
      <c r="C53" s="43"/>
      <c r="D53" s="174"/>
    </row>
    <row r="54" spans="1:6">
      <c r="A54" s="172" t="s">
        <v>488</v>
      </c>
      <c r="B54" s="165" t="s">
        <v>693</v>
      </c>
      <c r="C54" s="165" t="s">
        <v>694</v>
      </c>
      <c r="D54" s="301" t="s">
        <v>692</v>
      </c>
      <c r="E54" s="162"/>
      <c r="F54" s="162"/>
    </row>
    <row r="55" spans="1:6">
      <c r="A55" s="171" t="s">
        <v>71</v>
      </c>
      <c r="B55" s="163">
        <v>12.805116383233845</v>
      </c>
      <c r="C55" s="170" t="s">
        <v>111</v>
      </c>
      <c r="D55" s="173"/>
      <c r="E55" s="163"/>
      <c r="F55" s="163"/>
    </row>
    <row r="56" spans="1:6">
      <c r="A56" s="171" t="s">
        <v>72</v>
      </c>
      <c r="B56" s="170" t="s">
        <v>111</v>
      </c>
      <c r="C56" s="170" t="s">
        <v>111</v>
      </c>
      <c r="D56" s="173"/>
      <c r="E56" s="163"/>
      <c r="F56" s="163"/>
    </row>
    <row r="57" spans="1:6">
      <c r="A57" s="171" t="s">
        <v>73</v>
      </c>
      <c r="B57" s="163">
        <v>14.920495457606355</v>
      </c>
      <c r="C57" s="170" t="s">
        <v>111</v>
      </c>
      <c r="D57" s="173"/>
      <c r="E57" s="163"/>
      <c r="F57" s="163"/>
    </row>
    <row r="58" spans="1:6">
      <c r="A58" s="171" t="s">
        <v>74</v>
      </c>
      <c r="B58" s="163">
        <v>12.827171742296379</v>
      </c>
      <c r="C58" s="170" t="s">
        <v>111</v>
      </c>
      <c r="D58" s="173"/>
      <c r="E58" s="163"/>
      <c r="F58" s="163"/>
    </row>
    <row r="59" spans="1:6">
      <c r="A59" s="171" t="s">
        <v>75</v>
      </c>
      <c r="B59" s="170">
        <v>8.1546290411096809</v>
      </c>
      <c r="C59" s="170">
        <v>4.8427779661859978</v>
      </c>
      <c r="D59" s="173"/>
      <c r="E59" s="163"/>
      <c r="F59" s="163"/>
    </row>
    <row r="60" spans="1:6">
      <c r="A60" s="171" t="s">
        <v>76</v>
      </c>
      <c r="B60" s="170" t="s">
        <v>111</v>
      </c>
      <c r="C60" s="170" t="s">
        <v>111</v>
      </c>
      <c r="D60" s="173"/>
      <c r="E60" s="163"/>
      <c r="F60" s="163"/>
    </row>
    <row r="61" spans="1:6">
      <c r="A61" s="171" t="s">
        <v>77</v>
      </c>
      <c r="B61" s="163">
        <v>12.922165983626325</v>
      </c>
      <c r="C61" s="170">
        <v>11.126028884348822</v>
      </c>
      <c r="D61" s="173"/>
      <c r="E61" s="163"/>
      <c r="F61" s="163"/>
    </row>
    <row r="62" spans="1:6">
      <c r="A62" s="171" t="s">
        <v>78</v>
      </c>
      <c r="B62" s="170">
        <v>24.616485950203977</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486</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221</v>
      </c>
      <c r="C69" s="43"/>
      <c r="D69" s="173"/>
    </row>
    <row r="70" spans="1:6">
      <c r="A70" s="171" t="s">
        <v>483</v>
      </c>
      <c r="B70" s="315">
        <v>4.2</v>
      </c>
      <c r="C70" s="43"/>
      <c r="D70" s="309" t="s">
        <v>517</v>
      </c>
    </row>
    <row r="71" spans="1:6">
      <c r="A71" s="245" t="s">
        <v>484</v>
      </c>
      <c r="B71" s="320">
        <f>1.34/3.6</f>
        <v>0.37222222222222223</v>
      </c>
      <c r="C71" s="43" t="s">
        <v>218</v>
      </c>
      <c r="D71" s="309" t="s">
        <v>517</v>
      </c>
    </row>
    <row r="72" spans="1:6">
      <c r="A72" s="175"/>
      <c r="B72" s="246"/>
      <c r="C72" s="178"/>
      <c r="D72" s="179"/>
    </row>
    <row r="73" spans="1:6">
      <c r="D73" s="164"/>
    </row>
    <row r="74" spans="1:6">
      <c r="A74" s="194" t="s">
        <v>487</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453</v>
      </c>
      <c r="B78" s="315">
        <v>13</v>
      </c>
      <c r="C78" s="32" t="s">
        <v>263</v>
      </c>
      <c r="D78" s="309" t="s">
        <v>517</v>
      </c>
    </row>
    <row r="79" spans="1:6">
      <c r="A79" s="171" t="s">
        <v>454</v>
      </c>
      <c r="B79" s="315">
        <v>2000</v>
      </c>
      <c r="C79" s="32" t="s">
        <v>265</v>
      </c>
      <c r="D79" s="309" t="s">
        <v>517</v>
      </c>
    </row>
    <row r="80" spans="1:6">
      <c r="A80" s="171" t="s">
        <v>415</v>
      </c>
      <c r="B80" s="315">
        <v>3.75</v>
      </c>
      <c r="C80" s="43"/>
      <c r="D80" s="309" t="s">
        <v>517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156</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251"/>
      <c r="G4" s="14"/>
      <c r="H4" s="14"/>
      <c r="I4" s="14"/>
      <c r="J4" s="14"/>
      <c r="K4" s="14"/>
      <c r="L4" s="14"/>
      <c r="M4" s="14"/>
      <c r="N4" s="14"/>
      <c r="O4" s="14"/>
      <c r="P4" s="14"/>
      <c r="R4" s="6"/>
    </row>
    <row r="5" spans="1:18">
      <c r="A5" s="16" t="s">
        <v>259</v>
      </c>
      <c r="B5" s="30">
        <f>SUM(B6:B12)</f>
        <v>46707.059199999989</v>
      </c>
      <c r="C5" s="17">
        <f>IF(ISERROR('Eigen informatie GS &amp; warmtenet'!B58),0,'Eigen informatie GS &amp; warmtenet'!B58)</f>
        <v>0</v>
      </c>
      <c r="D5" s="30">
        <f>SUM(D6:D12)</f>
        <v>40476.795683557204</v>
      </c>
      <c r="E5" s="17">
        <f>SUM(E6:E12)</f>
        <v>527.57795435049798</v>
      </c>
      <c r="F5" s="17">
        <f>SUM(F6:F12)</f>
        <v>6914.6787545671541</v>
      </c>
      <c r="G5" s="18"/>
      <c r="H5" s="17"/>
      <c r="I5" s="17"/>
      <c r="J5" s="17">
        <f>SUM(J6:J12)</f>
        <v>0</v>
      </c>
      <c r="K5" s="17"/>
      <c r="L5" s="17"/>
      <c r="M5" s="17"/>
      <c r="N5" s="17">
        <f>SUM(N6:N12)</f>
        <v>3603.1545868260077</v>
      </c>
      <c r="O5" s="17">
        <f>B38*B39*B40</f>
        <v>3.1266666666666669</v>
      </c>
      <c r="P5" s="17">
        <f>B46*B47*B48/1000-B46*B47*B48/1000/B49</f>
        <v>38.133333333333333</v>
      </c>
      <c r="R5" s="32"/>
    </row>
    <row r="6" spans="1:18">
      <c r="A6" s="32" t="s">
        <v>54</v>
      </c>
      <c r="B6" s="37">
        <f>B26</f>
        <v>8211.3330000000005</v>
      </c>
      <c r="C6" s="33"/>
      <c r="D6" s="37">
        <f>IF(ISERROR(TER_kantoor_gas_kWh/1000),0,TER_kantoor_gas_kWh/1000)*0.902</f>
        <v>5742.8132570005864</v>
      </c>
      <c r="E6" s="33">
        <f>$C$26*'E Balans VL '!I12/100/3.6*1000000</f>
        <v>23.789436474379045</v>
      </c>
      <c r="F6" s="33">
        <f>$C$26*('E Balans VL '!L12+'E Balans VL '!N12)/100/3.6*1000000</f>
        <v>929.34198590765732</v>
      </c>
      <c r="G6" s="34"/>
      <c r="H6" s="33"/>
      <c r="I6" s="33"/>
      <c r="J6" s="33">
        <f>$C$26*('E Balans VL '!D12+'E Balans VL '!E12)/100/3.6*1000000</f>
        <v>0</v>
      </c>
      <c r="K6" s="33"/>
      <c r="L6" s="33"/>
      <c r="M6" s="33"/>
      <c r="N6" s="33">
        <f>$C$26*'E Balans VL '!Y12/100/3.6*1000000</f>
        <v>82.189392949703574</v>
      </c>
      <c r="O6" s="33"/>
      <c r="P6" s="33"/>
      <c r="R6" s="32"/>
    </row>
    <row r="7" spans="1:18">
      <c r="A7" s="32" t="s">
        <v>53</v>
      </c>
      <c r="B7" s="37">
        <f t="shared" ref="B7:B12" si="0">B27</f>
        <v>4636.067</v>
      </c>
      <c r="C7" s="33"/>
      <c r="D7" s="37">
        <f>IF(ISERROR(TER_horeca_gas_kWh/1000),0,TER_horeca_gas_kWh/1000)*0.902</f>
        <v>4385.9473073457775</v>
      </c>
      <c r="E7" s="33">
        <f>$C$27*'E Balans VL '!I9/100/3.6*1000000</f>
        <v>194.60913974480124</v>
      </c>
      <c r="F7" s="33">
        <f>$C$27*('E Balans VL '!L9+'E Balans VL '!N9)/100/3.6*1000000</f>
        <v>996.15406645794974</v>
      </c>
      <c r="G7" s="34"/>
      <c r="H7" s="33"/>
      <c r="I7" s="33"/>
      <c r="J7" s="33">
        <f>$C$27*('E Balans VL '!D9+'E Balans VL '!E9)/100/3.6*1000000</f>
        <v>0</v>
      </c>
      <c r="K7" s="33"/>
      <c r="L7" s="33"/>
      <c r="M7" s="33"/>
      <c r="N7" s="33">
        <f>$C$27*'E Balans VL '!Y9/100/3.6*1000000</f>
        <v>1.1946739220232623</v>
      </c>
      <c r="O7" s="33"/>
      <c r="P7" s="33"/>
      <c r="R7" s="32"/>
    </row>
    <row r="8" spans="1:18">
      <c r="A8" s="6" t="s">
        <v>52</v>
      </c>
      <c r="B8" s="37">
        <f t="shared" si="0"/>
        <v>21201.218000000001</v>
      </c>
      <c r="C8" s="33"/>
      <c r="D8" s="37">
        <f>IF(ISERROR(TER_handel_gas_kWh/1000),0,TER_handel_gas_kWh/1000)*0.902</f>
        <v>12645.672017898514</v>
      </c>
      <c r="E8" s="33">
        <f>$C$28*'E Balans VL '!I13/100/3.6*1000000</f>
        <v>227.71872659214645</v>
      </c>
      <c r="F8" s="33">
        <f>$C$28*('E Balans VL '!L13+'E Balans VL '!N13)/100/3.6*1000000</f>
        <v>2744.6727461490868</v>
      </c>
      <c r="G8" s="34"/>
      <c r="H8" s="33"/>
      <c r="I8" s="33"/>
      <c r="J8" s="33">
        <f>$C$28*('E Balans VL '!D13+'E Balans VL '!E13)/100/3.6*1000000</f>
        <v>0</v>
      </c>
      <c r="K8" s="33"/>
      <c r="L8" s="33"/>
      <c r="M8" s="33"/>
      <c r="N8" s="33">
        <f>$C$28*'E Balans VL '!Y13/100/3.6*1000000</f>
        <v>171.98543805283632</v>
      </c>
      <c r="O8" s="33"/>
      <c r="P8" s="33"/>
      <c r="R8" s="32"/>
    </row>
    <row r="9" spans="1:18">
      <c r="A9" s="32" t="s">
        <v>51</v>
      </c>
      <c r="B9" s="37">
        <f t="shared" si="0"/>
        <v>501.67409999999995</v>
      </c>
      <c r="C9" s="33"/>
      <c r="D9" s="37">
        <f>IF(ISERROR(TER_gezond_gas_kWh/1000),0,TER_gezond_gas_kWh/1000)*0.902</f>
        <v>864.51438077443993</v>
      </c>
      <c r="E9" s="33">
        <f>$C$29*'E Balans VL '!I10/100/3.6*1000000</f>
        <v>0.39936503101149617</v>
      </c>
      <c r="F9" s="33">
        <f>$C$29*('E Balans VL '!L10+'E Balans VL '!N10)/100/3.6*1000000</f>
        <v>60.985736698741356</v>
      </c>
      <c r="G9" s="34"/>
      <c r="H9" s="33"/>
      <c r="I9" s="33"/>
      <c r="J9" s="33">
        <f>$C$29*('E Balans VL '!D10+'E Balans VL '!E10)/100/3.6*1000000</f>
        <v>0</v>
      </c>
      <c r="K9" s="33"/>
      <c r="L9" s="33"/>
      <c r="M9" s="33"/>
      <c r="N9" s="33">
        <f>$C$29*'E Balans VL '!Y10/100/3.6*1000000</f>
        <v>4.0523904699798727</v>
      </c>
      <c r="O9" s="33"/>
      <c r="P9" s="33"/>
      <c r="R9" s="32"/>
    </row>
    <row r="10" spans="1:18">
      <c r="A10" s="32" t="s">
        <v>50</v>
      </c>
      <c r="B10" s="37">
        <f t="shared" si="0"/>
        <v>3844.6109999999999</v>
      </c>
      <c r="C10" s="33"/>
      <c r="D10" s="37">
        <f>IF(ISERROR(TER_ander_gas_kWh/1000),0,TER_ander_gas_kWh/1000)*0.902</f>
        <v>2742.536740464996</v>
      </c>
      <c r="E10" s="33">
        <f>$C$30*'E Balans VL '!I14/100/3.6*1000000</f>
        <v>13.175683866972225</v>
      </c>
      <c r="F10" s="33">
        <f>$C$30*('E Balans VL '!L14+'E Balans VL '!N14)/100/3.6*1000000</f>
        <v>858.72987081190547</v>
      </c>
      <c r="G10" s="34"/>
      <c r="H10" s="33"/>
      <c r="I10" s="33"/>
      <c r="J10" s="33">
        <f>$C$30*('E Balans VL '!D14+'E Balans VL '!E14)/100/3.6*1000000</f>
        <v>0</v>
      </c>
      <c r="K10" s="33"/>
      <c r="L10" s="33"/>
      <c r="M10" s="33"/>
      <c r="N10" s="33">
        <f>$C$30*'E Balans VL '!Y14/100/3.6*1000000</f>
        <v>2708.1649910993465</v>
      </c>
      <c r="O10" s="33"/>
      <c r="P10" s="33"/>
      <c r="R10" s="32"/>
    </row>
    <row r="11" spans="1:18">
      <c r="A11" s="32" t="s">
        <v>55</v>
      </c>
      <c r="B11" s="37">
        <f t="shared" si="0"/>
        <v>870.17409999999995</v>
      </c>
      <c r="C11" s="33"/>
      <c r="D11" s="37">
        <f>IF(ISERROR(TER_onderwijs_gas_kWh/1000),0,TER_onderwijs_gas_kWh/1000)*0.902</f>
        <v>5047.3461825201121</v>
      </c>
      <c r="E11" s="33">
        <f>$C$31*'E Balans VL '!I11/100/3.6*1000000</f>
        <v>0.60152455607685451</v>
      </c>
      <c r="F11" s="33">
        <f>$C$31*('E Balans VL '!L11+'E Balans VL '!N11)/100/3.6*1000000</f>
        <v>227.78630253746994</v>
      </c>
      <c r="G11" s="34"/>
      <c r="H11" s="33"/>
      <c r="I11" s="33"/>
      <c r="J11" s="33">
        <f>$C$31*('E Balans VL '!D11+'E Balans VL '!E11)/100/3.6*1000000</f>
        <v>0</v>
      </c>
      <c r="K11" s="33"/>
      <c r="L11" s="33"/>
      <c r="M11" s="33"/>
      <c r="N11" s="33">
        <f>$C$31*'E Balans VL '!Y11/100/3.6*1000000</f>
        <v>0.8661842009017946</v>
      </c>
      <c r="O11" s="33"/>
      <c r="P11" s="33"/>
      <c r="R11" s="32"/>
    </row>
    <row r="12" spans="1:18">
      <c r="A12" s="32" t="s">
        <v>260</v>
      </c>
      <c r="B12" s="37">
        <f t="shared" si="0"/>
        <v>7441.982</v>
      </c>
      <c r="C12" s="33"/>
      <c r="D12" s="37">
        <f>IF(ISERROR(TER_rest_gas_kWh/1000),0,TER_rest_gas_kWh/1000)*0.902</f>
        <v>9047.9657975527753</v>
      </c>
      <c r="E12" s="33">
        <f>$C$32*'E Balans VL '!I8/100/3.6*1000000</f>
        <v>67.284078085110707</v>
      </c>
      <c r="F12" s="33">
        <f>$C$32*('E Balans VL '!L8+'E Balans VL '!N8)/100/3.6*1000000</f>
        <v>1097.0080460043437</v>
      </c>
      <c r="G12" s="34"/>
      <c r="H12" s="33"/>
      <c r="I12" s="33"/>
      <c r="J12" s="33">
        <f>$C$32*('E Balans VL '!D8+'E Balans VL '!E8)/100/3.6*1000000</f>
        <v>0</v>
      </c>
      <c r="K12" s="33"/>
      <c r="L12" s="33"/>
      <c r="M12" s="33"/>
      <c r="N12" s="33">
        <f>$C$32*'E Balans VL '!Y8/100/3.6*1000000</f>
        <v>634.70151613121641</v>
      </c>
      <c r="O12" s="33"/>
      <c r="P12" s="33"/>
      <c r="R12" s="32"/>
    </row>
    <row r="13" spans="1:18">
      <c r="A13" s="16" t="s">
        <v>494</v>
      </c>
      <c r="B13" s="247">
        <f ca="1">'lokale energieproductie'!N90+'lokale energieproductie'!N59</f>
        <v>2187</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-6248.5714285714294</v>
      </c>
      <c r="O13" s="248"/>
      <c r="P13" s="248"/>
      <c r="R13" s="32"/>
    </row>
    <row r="14" spans="1:18">
      <c r="A14" s="16" t="s">
        <v>508</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48894.059199999989</v>
      </c>
      <c r="C16" s="21">
        <f t="shared" ca="1" si="1"/>
        <v>0</v>
      </c>
      <c r="D16" s="21">
        <f t="shared" ca="1" si="1"/>
        <v>40476.795683557204</v>
      </c>
      <c r="E16" s="21">
        <f t="shared" si="1"/>
        <v>527.57795435049798</v>
      </c>
      <c r="F16" s="21">
        <f t="shared" ca="1" si="1"/>
        <v>6914.6787545671541</v>
      </c>
      <c r="G16" s="21">
        <f t="shared" si="1"/>
        <v>0</v>
      </c>
      <c r="H16" s="21">
        <f t="shared" si="1"/>
        <v>0</v>
      </c>
      <c r="I16" s="21">
        <f t="shared" si="1"/>
        <v>0</v>
      </c>
      <c r="J16" s="21">
        <f t="shared" si="1"/>
        <v>0</v>
      </c>
      <c r="K16" s="21">
        <f t="shared" si="1"/>
        <v>0</v>
      </c>
      <c r="L16" s="21">
        <f t="shared" ca="1" si="1"/>
        <v>0</v>
      </c>
      <c r="M16" s="21">
        <f t="shared" si="1"/>
        <v>0</v>
      </c>
      <c r="N16" s="21">
        <f t="shared" ca="1" si="1"/>
        <v>0</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0.20642340014501959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10092.877946955874</v>
      </c>
      <c r="C20" s="23">
        <f t="shared" ref="C20:P20" ca="1" si="2">C16*C18</f>
        <v>0</v>
      </c>
      <c r="D20" s="23">
        <f t="shared" ca="1" si="2"/>
        <v>8176.3127280785557</v>
      </c>
      <c r="E20" s="23">
        <f t="shared" si="2"/>
        <v>119.76019563756304</v>
      </c>
      <c r="F20" s="23">
        <f t="shared" ca="1" si="2"/>
        <v>1846.2192274694303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493</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8211.3330000000005</v>
      </c>
      <c r="C26" s="39">
        <f>IF(ISERROR(B26*3.6/1000000/'E Balans VL '!Z12*100),0,B26*3.6/1000000/'E Balans VL '!Z12*100)</f>
        <v>0.18037142259657604</v>
      </c>
      <c r="D26" s="237" t="s">
        <v>692</v>
      </c>
      <c r="F26" s="6"/>
    </row>
    <row r="27" spans="1:18">
      <c r="A27" s="231" t="s">
        <v>53</v>
      </c>
      <c r="B27" s="33">
        <f>IF(ISERROR(TER_horeca_ele_kWh/1000),0,TER_horeca_ele_kWh/1000)</f>
        <v>4636.067</v>
      </c>
      <c r="C27" s="39">
        <f>IF(ISERROR(B27*3.6/1000000/'E Balans VL '!Z9*100),0,B27*3.6/1000000/'E Balans VL '!Z9*100)</f>
        <v>0.3725541963116798</v>
      </c>
      <c r="D27" s="237" t="s">
        <v>692</v>
      </c>
      <c r="F27" s="6"/>
    </row>
    <row r="28" spans="1:18">
      <c r="A28" s="171" t="s">
        <v>52</v>
      </c>
      <c r="B28" s="33">
        <f>IF(ISERROR(TER_handel_ele_kWh/1000),0,TER_handel_ele_kWh/1000)</f>
        <v>21201.218000000001</v>
      </c>
      <c r="C28" s="39">
        <f>IF(ISERROR(B28*3.6/1000000/'E Balans VL '!Z13*100),0,B28*3.6/1000000/'E Balans VL '!Z13*100)</f>
        <v>0.62690520477811484</v>
      </c>
      <c r="D28" s="237" t="s">
        <v>692</v>
      </c>
      <c r="F28" s="6"/>
    </row>
    <row r="29" spans="1:18">
      <c r="A29" s="231" t="s">
        <v>51</v>
      </c>
      <c r="B29" s="33">
        <f>IF(ISERROR(TER_gezond_ele_kWh/1000),0,TER_gezond_ele_kWh/1000)</f>
        <v>501.67409999999995</v>
      </c>
      <c r="C29" s="39">
        <f>IF(ISERROR(B29*3.6/1000000/'E Balans VL '!Z10*100),0,B29*3.6/1000000/'E Balans VL '!Z10*100)</f>
        <v>5.6525718986467056E-2</v>
      </c>
      <c r="D29" s="237" t="s">
        <v>692</v>
      </c>
      <c r="F29" s="6"/>
    </row>
    <row r="30" spans="1:18">
      <c r="A30" s="231" t="s">
        <v>50</v>
      </c>
      <c r="B30" s="33">
        <f>IF(ISERROR(TER_ander_ele_kWh/1000),0,TER_ander_ele_kWh/1000)</f>
        <v>3844.6109999999999</v>
      </c>
      <c r="C30" s="39">
        <f>IF(ISERROR(B30*3.6/1000000/'E Balans VL '!Z14*100),0,B30*3.6/1000000/'E Balans VL '!Z14*100)</f>
        <v>0.29076135786435608</v>
      </c>
      <c r="D30" s="237" t="s">
        <v>692</v>
      </c>
      <c r="F30" s="6"/>
    </row>
    <row r="31" spans="1:18">
      <c r="A31" s="231" t="s">
        <v>55</v>
      </c>
      <c r="B31" s="33">
        <f>IF(ISERROR(TER_onderwijs_ele_kWh/1000),0,TER_onderwijs_ele_kWh/1000)</f>
        <v>870.17409999999995</v>
      </c>
      <c r="C31" s="39">
        <f>IF(ISERROR(B31*3.6/1000000/'E Balans VL '!Z11*100),0,B31*3.6/1000000/'E Balans VL '!Z11*100)</f>
        <v>0.18062794293547269</v>
      </c>
      <c r="D31" s="237" t="s">
        <v>692</v>
      </c>
    </row>
    <row r="32" spans="1:18">
      <c r="A32" s="231" t="s">
        <v>260</v>
      </c>
      <c r="B32" s="33">
        <f>IF(ISERROR(TER_rest_ele_kWh/1000),0,TER_rest_ele_kWh/1000)</f>
        <v>7441.982</v>
      </c>
      <c r="C32" s="39">
        <f>IF(ISERROR(B32*3.6/1000000/'E Balans VL '!Z8*100),0,B32*3.6/1000000/'E Balans VL '!Z8*100)</f>
        <v>6.2694320380247789E-2</v>
      </c>
      <c r="D32" s="237" t="s">
        <v>692</v>
      </c>
    </row>
    <row r="33" spans="1:4">
      <c r="A33" s="240"/>
      <c r="B33" s="180"/>
      <c r="C33" s="180"/>
      <c r="D33" s="241"/>
    </row>
    <row r="34" spans="1:4">
      <c r="A34" s="32"/>
      <c r="B34" s="32"/>
      <c r="C34" s="32"/>
    </row>
    <row r="35" spans="1:4">
      <c r="A35" s="193" t="s">
        <v>486</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483</v>
      </c>
      <c r="B39" s="315">
        <v>4.2</v>
      </c>
      <c r="C39" s="43"/>
      <c r="D39" s="309" t="s">
        <v>517</v>
      </c>
    </row>
    <row r="40" spans="1:4">
      <c r="A40" s="6" t="s">
        <v>484</v>
      </c>
      <c r="B40" s="320">
        <f>1.34/3.6</f>
        <v>0.37222222222222223</v>
      </c>
      <c r="C40" s="43" t="s">
        <v>218</v>
      </c>
      <c r="D40" s="309" t="s">
        <v>517</v>
      </c>
    </row>
    <row r="41" spans="1:4">
      <c r="A41" s="240"/>
      <c r="B41" s="180"/>
      <c r="C41" s="180"/>
      <c r="D41" s="241"/>
    </row>
    <row r="43" spans="1:4">
      <c r="A43" s="194" t="s">
        <v>487</v>
      </c>
      <c r="B43" s="203"/>
      <c r="C43" s="203"/>
      <c r="D43" s="225"/>
    </row>
    <row r="44" spans="1:4">
      <c r="A44" s="230"/>
      <c r="B44" s="32"/>
      <c r="C44" s="32"/>
      <c r="D44" s="232"/>
    </row>
    <row r="45" spans="1:4">
      <c r="A45" s="242"/>
      <c r="B45" s="243"/>
      <c r="C45" s="224" t="s">
        <v>377</v>
      </c>
      <c r="D45" s="244" t="s">
        <v>182</v>
      </c>
    </row>
    <row r="46" spans="1:4">
      <c r="A46" s="171" t="s">
        <v>266</v>
      </c>
      <c r="B46" s="562">
        <f>aantalWP_NB_ander+antalWP_NB_ander_met_kantoor+aantalWP_NB_kantoor+aantalWP_NB_school+WP_NHH_bestaande_bouw</f>
        <v>2</v>
      </c>
      <c r="C46" s="32"/>
      <c r="D46" s="232"/>
    </row>
    <row r="47" spans="1:4">
      <c r="A47" s="171" t="s">
        <v>453</v>
      </c>
      <c r="B47" s="563">
        <v>13</v>
      </c>
      <c r="C47" s="32" t="s">
        <v>263</v>
      </c>
      <c r="D47" s="309" t="s">
        <v>517</v>
      </c>
    </row>
    <row r="48" spans="1:4">
      <c r="A48" s="171" t="s">
        <v>454</v>
      </c>
      <c r="B48" s="563">
        <v>2000</v>
      </c>
      <c r="C48" s="32" t="s">
        <v>265</v>
      </c>
      <c r="D48" s="309" t="s">
        <v>517</v>
      </c>
    </row>
    <row r="49" spans="1:4">
      <c r="A49" s="171" t="s">
        <v>415</v>
      </c>
      <c r="B49" s="563">
        <v>3.75</v>
      </c>
      <c r="C49" s="32"/>
      <c r="D49" s="309" t="s">
        <v>517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163</v>
      </c>
      <c r="B1" s="1197" t="s">
        <v>195</v>
      </c>
      <c r="C1" s="1198"/>
      <c r="D1" s="1198"/>
      <c r="E1" s="1198"/>
      <c r="F1" s="1198"/>
      <c r="G1" s="1198"/>
      <c r="H1" s="1198"/>
      <c r="I1" s="1198"/>
      <c r="J1" s="1198"/>
      <c r="K1" s="1198"/>
      <c r="L1" s="1198"/>
      <c r="M1" s="1198"/>
      <c r="N1" s="1198"/>
      <c r="O1" s="1198"/>
      <c r="P1" s="1198"/>
      <c r="R1" s="826"/>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c r="R2" s="826"/>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c r="R3" s="826"/>
    </row>
    <row r="4" spans="1:18" ht="15.75">
      <c r="A4" s="13"/>
      <c r="B4" s="14"/>
      <c r="C4" s="14"/>
      <c r="D4" s="14"/>
      <c r="E4" s="14"/>
      <c r="F4" s="14"/>
      <c r="G4" s="14"/>
      <c r="H4" s="14"/>
      <c r="I4" s="14"/>
      <c r="J4" s="14"/>
      <c r="K4" s="14"/>
      <c r="L4" s="14"/>
      <c r="M4" s="14"/>
      <c r="N4" s="14"/>
      <c r="O4" s="14"/>
      <c r="P4" s="14"/>
      <c r="R4" s="6"/>
    </row>
    <row r="5" spans="1:18">
      <c r="A5" s="16" t="s">
        <v>269</v>
      </c>
      <c r="B5" s="30">
        <f>SUM(B6:B15)</f>
        <v>48487.308199999999</v>
      </c>
      <c r="C5" s="17">
        <f>IF(ISERROR('Eigen informatie GS &amp; warmtenet'!B59),0,'Eigen informatie GS &amp; warmtenet'!B59)</f>
        <v>0</v>
      </c>
      <c r="D5" s="30">
        <f>SUM(D6:D15)</f>
        <v>50947.502040572392</v>
      </c>
      <c r="E5" s="17">
        <f>SUM(E6:E15)</f>
        <v>2327.7749981210227</v>
      </c>
      <c r="F5" s="17">
        <f>SUM(F6:F15)</f>
        <v>37456.152532902684</v>
      </c>
      <c r="G5" s="18"/>
      <c r="H5" s="17"/>
      <c r="I5" s="17"/>
      <c r="J5" s="17">
        <f>SUM(J6:J15)</f>
        <v>473.69467849118979</v>
      </c>
      <c r="K5" s="17"/>
      <c r="L5" s="17"/>
      <c r="M5" s="17"/>
      <c r="N5" s="17">
        <f>SUM(N6:N15)</f>
        <v>14047.740359325067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2828.009</v>
      </c>
      <c r="C8" s="33"/>
      <c r="D8" s="37">
        <f>IF( ISERROR(IND_metaal_Gas_kWH/1000),0,IND_metaal_Gas_kWH/1000)*0.902</f>
        <v>363.3768789090268</v>
      </c>
      <c r="E8" s="33">
        <f>C30*'E Balans VL '!I18/100/3.6*1000000</f>
        <v>70.775167450546959</v>
      </c>
      <c r="F8" s="33">
        <f>C30*'E Balans VL '!L18/100/3.6*1000000+C30*'E Balans VL '!N18/100/3.6*1000000</f>
        <v>886.31208784021555</v>
      </c>
      <c r="G8" s="34"/>
      <c r="H8" s="33"/>
      <c r="I8" s="33"/>
      <c r="J8" s="40">
        <f>C30*'E Balans VL '!D18/100/3.6*1000000+C30*'E Balans VL '!E18/100/3.6*1000000</f>
        <v>0</v>
      </c>
      <c r="K8" s="33"/>
      <c r="L8" s="33"/>
      <c r="M8" s="33"/>
      <c r="N8" s="33">
        <f>C30*'E Balans VL '!Y18/100/3.6*1000000</f>
        <v>71.046925403348951</v>
      </c>
      <c r="O8" s="33"/>
      <c r="P8" s="33"/>
      <c r="R8" s="32"/>
    </row>
    <row r="9" spans="1:18">
      <c r="A9" s="6" t="s">
        <v>33</v>
      </c>
      <c r="B9" s="37">
        <f t="shared" si="0"/>
        <v>2588.875</v>
      </c>
      <c r="C9" s="33"/>
      <c r="D9" s="37">
        <f>IF( ISERROR(IND_andere_gas_kWh/1000),0,IND_andere_gas_kWh/1000)*0.902</f>
        <v>1364.4041527272313</v>
      </c>
      <c r="E9" s="33">
        <f>C31*'E Balans VL '!I19/100/3.6*1000000</f>
        <v>711.83444214794861</v>
      </c>
      <c r="F9" s="33">
        <f>C31*'E Balans VL '!L19/100/3.6*1000000+C31*'E Balans VL '!N19/100/3.6*1000000</f>
        <v>2040.4839965947363</v>
      </c>
      <c r="G9" s="34"/>
      <c r="H9" s="33"/>
      <c r="I9" s="33"/>
      <c r="J9" s="40">
        <f>C31*'E Balans VL '!D19/100/3.6*1000000+C31*'E Balans VL '!E19/100/3.6*1000000</f>
        <v>0</v>
      </c>
      <c r="K9" s="33"/>
      <c r="L9" s="33"/>
      <c r="M9" s="33"/>
      <c r="N9" s="33">
        <f>C31*'E Balans VL '!Y19/100/3.6*1000000</f>
        <v>838.0871723649019</v>
      </c>
      <c r="O9" s="33"/>
      <c r="P9" s="33"/>
      <c r="R9" s="32"/>
    </row>
    <row r="10" spans="1:18">
      <c r="A10" s="6" t="s">
        <v>41</v>
      </c>
      <c r="B10" s="37">
        <f t="shared" si="0"/>
        <v>14970.043</v>
      </c>
      <c r="C10" s="33"/>
      <c r="D10" s="37">
        <f>IF( ISERROR(IND_voed_gas_kWh/1000),0,IND_voed_gas_kWh/1000)*0.902</f>
        <v>24529.265721031126</v>
      </c>
      <c r="E10" s="33">
        <f>C32*'E Balans VL '!I20/100/3.6*1000000</f>
        <v>152.61134134125345</v>
      </c>
      <c r="F10" s="33">
        <f>C32*'E Balans VL '!L20/100/3.6*1000000+C32*'E Balans VL '!N20/100/3.6*1000000</f>
        <v>28278.317598419089</v>
      </c>
      <c r="G10" s="34"/>
      <c r="H10" s="33"/>
      <c r="I10" s="33"/>
      <c r="J10" s="40">
        <f>C32*'E Balans VL '!D20/100/3.6*1000000+C32*'E Balans VL '!E20/100/3.6*1000000</f>
        <v>358.28211119245793</v>
      </c>
      <c r="K10" s="33"/>
      <c r="L10" s="33"/>
      <c r="M10" s="33"/>
      <c r="N10" s="33">
        <f>C32*'E Balans VL '!Y20/100/3.6*1000000</f>
        <v>7890.9369985091844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501.91520000000003</v>
      </c>
      <c r="C12" s="33"/>
      <c r="D12" s="37">
        <f>IF( ISERROR(IND_min_gas_kWh/1000),0,IND_min_gas_kWh/1000)*0.902</f>
        <v>0</v>
      </c>
      <c r="E12" s="33">
        <f>C34*'E Balans VL '!I22/100/3.6*1000000</f>
        <v>1.520074097987228</v>
      </c>
      <c r="F12" s="33">
        <f>C34*'E Balans VL '!L22/100/3.6*1000000+C34*'E Balans VL '!N22/100/3.6*1000000</f>
        <v>15.685281514619092</v>
      </c>
      <c r="G12" s="34"/>
      <c r="H12" s="33"/>
      <c r="I12" s="33"/>
      <c r="J12" s="40">
        <f>C34*'E Balans VL '!D22/100/3.6*1000000+C34*'E Balans VL '!E22/100/3.6*1000000</f>
        <v>0.74422882216693564</v>
      </c>
      <c r="K12" s="33"/>
      <c r="L12" s="33"/>
      <c r="M12" s="33"/>
      <c r="N12" s="33">
        <f>C34*'E Balans VL '!Y22/100/3.6*1000000</f>
        <v>0</v>
      </c>
      <c r="O12" s="33"/>
      <c r="P12" s="33"/>
      <c r="R12" s="32"/>
    </row>
    <row r="13" spans="1:18">
      <c r="A13" s="6" t="s">
        <v>39</v>
      </c>
      <c r="B13" s="37">
        <f t="shared" si="0"/>
        <v>266.09199999999998</v>
      </c>
      <c r="C13" s="33"/>
      <c r="D13" s="37">
        <f>IF( ISERROR(IND_papier_gas_kWh/1000),0,IND_papier_gas_kWh/1000)*0.902</f>
        <v>0</v>
      </c>
      <c r="E13" s="33">
        <f>C35*'E Balans VL '!I23/100/3.6*1000000</f>
        <v>0.5510944927775121</v>
      </c>
      <c r="F13" s="33">
        <f>C35*'E Balans VL '!L23/100/3.6*1000000+C35*'E Balans VL '!N23/100/3.6*1000000</f>
        <v>5.2771748159077196</v>
      </c>
      <c r="G13" s="34"/>
      <c r="H13" s="33"/>
      <c r="I13" s="33"/>
      <c r="J13" s="40">
        <f>C35*'E Balans VL '!D23/100/3.6*1000000+C35*'E Balans VL '!E23/100/3.6*1000000</f>
        <v>0</v>
      </c>
      <c r="K13" s="33"/>
      <c r="L13" s="33"/>
      <c r="M13" s="33"/>
      <c r="N13" s="33">
        <f>C35*'E Balans VL '!Y23/100/3.6*1000000</f>
        <v>112.35677989947547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27332.374</v>
      </c>
      <c r="C15" s="33"/>
      <c r="D15" s="37">
        <f>IF( ISERROR(IND_rest_gas_kWh/1000),0,IND_rest_gas_kWh/1000)*0.902</f>
        <v>24690.455287905002</v>
      </c>
      <c r="E15" s="33">
        <f>C37*'E Balans VL '!I15/100/3.6*1000000</f>
        <v>1390.4828785905086</v>
      </c>
      <c r="F15" s="33">
        <f>C37*'E Balans VL '!L15/100/3.6*1000000+C37*'E Balans VL '!N15/100/3.6*1000000</f>
        <v>6230.0763937181182</v>
      </c>
      <c r="G15" s="34"/>
      <c r="H15" s="33"/>
      <c r="I15" s="33"/>
      <c r="J15" s="40">
        <f>C37*'E Balans VL '!D15/100/3.6*1000000+C37*'E Balans VL '!E15/100/3.6*1000000</f>
        <v>114.66833847656495</v>
      </c>
      <c r="K15" s="33"/>
      <c r="L15" s="33"/>
      <c r="M15" s="33"/>
      <c r="N15" s="33">
        <f>C37*'E Balans VL '!Y15/100/3.6*1000000</f>
        <v>5135.3124831481573</v>
      </c>
      <c r="O15" s="33"/>
      <c r="P15" s="33"/>
      <c r="R15" s="32"/>
    </row>
    <row r="16" spans="1:18">
      <c r="A16" s="16" t="s">
        <v>494</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48487.308199999999</v>
      </c>
      <c r="C18" s="21">
        <f>C5+C16</f>
        <v>0</v>
      </c>
      <c r="D18" s="21">
        <f>MAX((D5+D16),0)</f>
        <v>50947.502040572392</v>
      </c>
      <c r="E18" s="21">
        <f>MAX((E5+E16),0)</f>
        <v>2327.7749981210227</v>
      </c>
      <c r="F18" s="21">
        <f>MAX((F5+F16),0)</f>
        <v>37456.152532902684</v>
      </c>
      <c r="G18" s="21"/>
      <c r="H18" s="21"/>
      <c r="I18" s="21"/>
      <c r="J18" s="21">
        <f>MAX((J5+J16),0)</f>
        <v>473.69467849118979</v>
      </c>
      <c r="K18" s="21"/>
      <c r="L18" s="21">
        <f>MAX((L5+L16),0)</f>
        <v>0</v>
      </c>
      <c r="M18" s="21"/>
      <c r="N18" s="21">
        <f>MAX((N5+N16),0)</f>
        <v>14047.740359325067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0.20642340014501959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10008.91502252349</v>
      </c>
      <c r="C22" s="23">
        <f ca="1">C18*C20</f>
        <v>0</v>
      </c>
      <c r="D22" s="23">
        <f>D18*D20</f>
        <v>10291.395412195623</v>
      </c>
      <c r="E22" s="23">
        <f>E18*E20</f>
        <v>528.40492457347216</v>
      </c>
      <c r="F22" s="23">
        <f>F18*F20</f>
        <v>10000.792726285017</v>
      </c>
      <c r="G22" s="23"/>
      <c r="H22" s="23"/>
      <c r="I22" s="23"/>
      <c r="J22" s="23">
        <f>J18*J20</f>
        <v>167.68791618588116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493</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692</v>
      </c>
    </row>
    <row r="29" spans="1:18">
      <c r="A29" s="171" t="s">
        <v>38</v>
      </c>
      <c r="B29" s="37">
        <f>IF( ISERROR(IND_nonf_ele_kWh/1000),0,IND_nonf_ele_kWh/1000)</f>
        <v>0</v>
      </c>
      <c r="C29" s="39">
        <f>IF(ISERROR(B29*3.6/1000000/'E Balans VL '!Z17*100),0,B29*3.6/1000000/'E Balans VL '!Z17*100)</f>
        <v>0</v>
      </c>
      <c r="D29" s="237" t="s">
        <v>692</v>
      </c>
    </row>
    <row r="30" spans="1:18">
      <c r="A30" s="171" t="s">
        <v>36</v>
      </c>
      <c r="B30" s="37">
        <f>IF( ISERROR(IND_metaal_ele_kWh/1000),0,IND_metaal_ele_kWh/1000)</f>
        <v>2828.009</v>
      </c>
      <c r="C30" s="39">
        <f>IF(ISERROR(B30*3.6/1000000/'E Balans VL '!Z18*100),0,B30*3.6/1000000/'E Balans VL '!Z18*100)</f>
        <v>0.39582701555892791</v>
      </c>
      <c r="D30" s="237" t="s">
        <v>692</v>
      </c>
    </row>
    <row r="31" spans="1:18">
      <c r="A31" s="6" t="s">
        <v>33</v>
      </c>
      <c r="B31" s="37">
        <f>IF( ISERROR(IND_ander_ele_kWh/1000),0,IND_ander_ele_kWh/1000)</f>
        <v>2588.875</v>
      </c>
      <c r="C31" s="39">
        <f>IF(ISERROR(B31*3.6/1000000/'E Balans VL '!Z19*100),0,B31*3.6/1000000/'E Balans VL '!Z19*100)</f>
        <v>0.1133146387748073</v>
      </c>
      <c r="D31" s="237" t="s">
        <v>692</v>
      </c>
    </row>
    <row r="32" spans="1:18">
      <c r="A32" s="171" t="s">
        <v>41</v>
      </c>
      <c r="B32" s="37">
        <f>IF( ISERROR(IND_voed_ele_kWh/1000),0,IND_voed_ele_kWh/1000)</f>
        <v>14970.043</v>
      </c>
      <c r="C32" s="39">
        <f>IF(ISERROR(B32*3.6/1000000/'E Balans VL '!Z20*100),0,B32*3.6/1000000/'E Balans VL '!Z20*100)</f>
        <v>3.7060855161931756</v>
      </c>
      <c r="D32" s="237" t="s">
        <v>692</v>
      </c>
    </row>
    <row r="33" spans="1:5">
      <c r="A33" s="171" t="s">
        <v>40</v>
      </c>
      <c r="B33" s="37">
        <f>IF( ISERROR(IND_textiel_ele_kWh/1000),0,IND_textiel_ele_kWh/1000)</f>
        <v>0</v>
      </c>
      <c r="C33" s="39">
        <f>IF(ISERROR(B33*3.6/1000000/'E Balans VL '!Z21*100),0,B33*3.6/1000000/'E Balans VL '!Z21*100)</f>
        <v>0</v>
      </c>
      <c r="D33" s="237" t="s">
        <v>692</v>
      </c>
    </row>
    <row r="34" spans="1:5">
      <c r="A34" s="171" t="s">
        <v>37</v>
      </c>
      <c r="B34" s="37">
        <f>IF( ISERROR(IND_min_ele_kWh/1000),0,IND_min_ele_kWh/1000)</f>
        <v>501.91520000000003</v>
      </c>
      <c r="C34" s="39">
        <f>IF(ISERROR(B34*3.6/1000000/'E Balans VL '!Z22*100),0,B34*3.6/1000000/'E Balans VL '!Z22*100)</f>
        <v>1.4242305672036736E-2</v>
      </c>
      <c r="D34" s="237" t="s">
        <v>692</v>
      </c>
    </row>
    <row r="35" spans="1:5">
      <c r="A35" s="171" t="s">
        <v>39</v>
      </c>
      <c r="B35" s="37">
        <f>IF( ISERROR(IND_papier_ele_kWh/1000),0,IND_papier_ele_kWh/1000)</f>
        <v>266.09199999999998</v>
      </c>
      <c r="C35" s="39">
        <f>IF(ISERROR(B35*3.6/1000000/'E Balans VL '!Z22*100),0,B35*3.6/1000000/'E Balans VL '!Z22*100)</f>
        <v>7.5506053629848212E-3</v>
      </c>
      <c r="D35" s="237" t="s">
        <v>692</v>
      </c>
    </row>
    <row r="36" spans="1:5">
      <c r="A36" s="171" t="s">
        <v>34</v>
      </c>
      <c r="B36" s="37">
        <f>IF( ISERROR(IND_chemie_ele_kWh/1000),0,IND_chemie_ele_kWh/1000)</f>
        <v>0</v>
      </c>
      <c r="C36" s="39">
        <f>IF(ISERROR(B36*3.6/1000000/'E Balans VL '!Z24*100),0,B36*3.6/1000000/'E Balans VL '!Z24*100)</f>
        <v>0</v>
      </c>
      <c r="D36" s="237" t="s">
        <v>692</v>
      </c>
    </row>
    <row r="37" spans="1:5">
      <c r="A37" s="171" t="s">
        <v>270</v>
      </c>
      <c r="B37" s="37">
        <f>IF( ISERROR(IND_rest_ele_kWh/1000),0,IND_rest_ele_kWh/1000)</f>
        <v>27332.374</v>
      </c>
      <c r="C37" s="39">
        <f>IF(ISERROR(B37*3.6/1000000/'E Balans VL '!Z15*100),0,B37*3.6/1000000/'E Balans VL '!Z15*100)</f>
        <v>0.20266487370955139</v>
      </c>
      <c r="D37" s="237" t="s">
        <v>692</v>
      </c>
    </row>
    <row r="38" spans="1:5">
      <c r="A38" s="240"/>
      <c r="B38" s="180"/>
      <c r="C38" s="180"/>
      <c r="D38" s="241"/>
    </row>
    <row r="39" spans="1:5">
      <c r="A39" s="231"/>
      <c r="B39" s="32"/>
      <c r="C39" s="32"/>
      <c r="D39" s="32"/>
      <c r="E39" s="32"/>
    </row>
    <row r="40" spans="1:5">
      <c r="A40" s="193" t="s">
        <v>486</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483</v>
      </c>
      <c r="B44" s="315">
        <v>4.2</v>
      </c>
      <c r="C44" s="43"/>
      <c r="D44" s="309" t="s">
        <v>517</v>
      </c>
    </row>
    <row r="45" spans="1:5">
      <c r="A45" s="6" t="s">
        <v>484</v>
      </c>
      <c r="B45" s="320">
        <f>1.34/3.6</f>
        <v>0.37222222222222223</v>
      </c>
      <c r="C45" s="43" t="s">
        <v>218</v>
      </c>
      <c r="D45" s="309" t="s">
        <v>517</v>
      </c>
    </row>
    <row r="46" spans="1:5" s="32" customFormat="1">
      <c r="A46" s="175"/>
      <c r="B46" s="246"/>
      <c r="C46" s="180"/>
      <c r="D46" s="241"/>
    </row>
    <row r="48" spans="1:5">
      <c r="A48" s="194" t="s">
        <v>487</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517</v>
      </c>
    </row>
    <row r="53" spans="1:4">
      <c r="A53" s="171" t="s">
        <v>264</v>
      </c>
      <c r="B53" s="315">
        <v>2000</v>
      </c>
      <c r="C53" s="32" t="s">
        <v>265</v>
      </c>
      <c r="D53" s="309" t="s">
        <v>517</v>
      </c>
    </row>
    <row r="54" spans="1:4">
      <c r="A54" s="171" t="s">
        <v>415</v>
      </c>
      <c r="B54" s="315">
        <v>3.75</v>
      </c>
      <c r="C54" s="32"/>
      <c r="D54" s="309" t="s">
        <v>517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96" t="s">
        <v>271</v>
      </c>
      <c r="B1" s="1197" t="s">
        <v>195</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1220.7645</v>
      </c>
      <c r="C5" s="17">
        <f>'Eigen informatie GS &amp; warmtenet'!B60</f>
        <v>0</v>
      </c>
      <c r="D5" s="30">
        <f>IF(ISERROR(SUM(LB_lb_gas_kWh,LB_rest_gas_kWh,onbekend_gas_kWh)/1000),0,SUM(LB_lb_gas_kWh,LB_rest_gas_kWh,onbekend_gas_kWh)/1000)*0.902</f>
        <v>4489.5136417382491</v>
      </c>
      <c r="E5" s="17">
        <f>B17*'E Balans VL '!I25/3.6*1000000/100</f>
        <v>11.307232102172572</v>
      </c>
      <c r="F5" s="17">
        <f>B17*('E Balans VL '!L25/3.6*1000000+'E Balans VL '!N25/3.6*1000000)/100</f>
        <v>3097.3120918985969</v>
      </c>
      <c r="G5" s="18"/>
      <c r="H5" s="17"/>
      <c r="I5" s="17"/>
      <c r="J5" s="17">
        <f>('E Balans VL '!D25+'E Balans VL '!E25)/3.6*1000000*landbouw!B17/100</f>
        <v>187.15682162158228</v>
      </c>
      <c r="K5" s="17"/>
      <c r="L5" s="17">
        <f>L6*(-1)</f>
        <v>0</v>
      </c>
      <c r="M5" s="17"/>
      <c r="N5" s="17">
        <f>N6*(-1)</f>
        <v>0</v>
      </c>
      <c r="O5" s="17"/>
      <c r="P5" s="17"/>
      <c r="R5" s="32"/>
    </row>
    <row r="6" spans="1:18">
      <c r="A6" s="16" t="s">
        <v>494</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1220.7645</v>
      </c>
      <c r="C8" s="21">
        <f>C5+C6</f>
        <v>0</v>
      </c>
      <c r="D8" s="21">
        <f>MAX((D5+D6),0)</f>
        <v>4489.5136417382491</v>
      </c>
      <c r="E8" s="21">
        <f>MAX((E5+E6),0)</f>
        <v>11.307232102172572</v>
      </c>
      <c r="F8" s="21">
        <f>MAX((F5+F6),0)</f>
        <v>3097.3120918985969</v>
      </c>
      <c r="G8" s="21"/>
      <c r="H8" s="21"/>
      <c r="I8" s="21"/>
      <c r="J8" s="21">
        <f>MAX((J5+J6),0)</f>
        <v>187.15682162158228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0.20642340014501959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251.99435886633475</v>
      </c>
      <c r="C12" s="23">
        <f ca="1">C8*C10</f>
        <v>0</v>
      </c>
      <c r="D12" s="23">
        <f>D8*D10</f>
        <v>906.88175563112634</v>
      </c>
      <c r="E12" s="23">
        <f>E8*E10</f>
        <v>2.5667416871931739</v>
      </c>
      <c r="F12" s="23">
        <f>F8*F10</f>
        <v>826.98232853692548</v>
      </c>
      <c r="G12" s="23"/>
      <c r="H12" s="23"/>
      <c r="I12" s="23"/>
      <c r="J12" s="23">
        <f>J8*J10</f>
        <v>66.25351485404012</v>
      </c>
      <c r="K12" s="23"/>
      <c r="L12" s="23">
        <f>L8*L10</f>
        <v>0</v>
      </c>
      <c r="M12" s="23">
        <f>M8*M10</f>
        <v>0</v>
      </c>
      <c r="N12" s="23">
        <f>N8*N10</f>
        <v>0</v>
      </c>
      <c r="O12" s="23"/>
      <c r="P12" s="23"/>
    </row>
    <row r="14" spans="1:18">
      <c r="A14" s="193" t="s">
        <v>500</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0.17356682721845687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04" t="s">
        <v>303</v>
      </c>
      <c r="B22" s="1207" t="s">
        <v>304</v>
      </c>
      <c r="C22" s="1207" t="s">
        <v>499</v>
      </c>
    </row>
    <row r="23" spans="1:4">
      <c r="A23" s="1205"/>
      <c r="B23" s="1208"/>
      <c r="C23" s="1208"/>
    </row>
    <row r="24" spans="1:4" ht="15.75" thickBot="1">
      <c r="A24" s="1206"/>
      <c r="B24" s="1209"/>
      <c r="C24" s="1209"/>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561.68391542769086</v>
      </c>
      <c r="C26" s="247">
        <f>B26*'GWP N2O_CH4'!B5</f>
        <v>11795.362223981509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96.554877880949235</v>
      </c>
      <c r="C27" s="247">
        <f>B27*'GWP N2O_CH4'!B5</f>
        <v>2027.652435499934</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7.5855048843116819</v>
      </c>
      <c r="C28" s="247">
        <f>B28*'GWP N2O_CH4'!B4</f>
        <v>2351.5065141366213</v>
      </c>
      <c r="D28" s="50"/>
    </row>
    <row r="29" spans="1:4">
      <c r="A29" s="41" t="s">
        <v>277</v>
      </c>
      <c r="B29" s="247">
        <f>B34*'ha_N2O bodem landbouw'!B4</f>
        <v>25.790690727008219</v>
      </c>
      <c r="C29" s="247">
        <f>B29*'GWP N2O_CH4'!B4</f>
        <v>7995.1141253725482</v>
      </c>
      <c r="D29" s="50"/>
    </row>
    <row r="31" spans="1:4">
      <c r="A31" s="193" t="s">
        <v>501</v>
      </c>
      <c r="B31" s="203"/>
      <c r="C31" s="225"/>
    </row>
    <row r="32" spans="1:4">
      <c r="A32" s="236"/>
      <c r="B32" s="32"/>
      <c r="C32" s="237"/>
    </row>
    <row r="33" spans="1:5">
      <c r="A33" s="238"/>
      <c r="B33" s="224" t="s">
        <v>634</v>
      </c>
      <c r="C33" s="239" t="s">
        <v>182</v>
      </c>
    </row>
    <row r="34" spans="1:5">
      <c r="A34" s="257" t="s">
        <v>112</v>
      </c>
      <c r="B34" s="35">
        <f>IF(ISERROR(aantalCultuurgronden/'ha_N2O bodem landbouw'!B5),0,aantalCultuurgronden/'ha_N2O bodem landbouw'!B5)</f>
        <v>5.7843975674648426E-3</v>
      </c>
      <c r="C34" s="995" t="s">
        <v>669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A46" sqref="A46:A48"/>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96" t="s">
        <v>503</v>
      </c>
      <c r="B1" s="1197" t="s">
        <v>556</v>
      </c>
      <c r="C1" s="1198"/>
      <c r="D1" s="1198"/>
      <c r="E1" s="1198"/>
      <c r="F1" s="1198"/>
      <c r="G1" s="1198"/>
      <c r="H1" s="1198"/>
      <c r="I1" s="1198"/>
      <c r="J1" s="1198"/>
      <c r="K1" s="1198"/>
      <c r="L1" s="1198"/>
      <c r="M1" s="1198"/>
      <c r="N1" s="1198"/>
      <c r="O1" s="1198"/>
      <c r="P1" s="1198"/>
    </row>
    <row r="2" spans="1:18" s="316" customFormat="1" ht="15.75" thickTop="1">
      <c r="A2" s="1196"/>
      <c r="B2" s="1199" t="s">
        <v>21</v>
      </c>
      <c r="C2" s="1199" t="s">
        <v>196</v>
      </c>
      <c r="D2" s="1201" t="s">
        <v>197</v>
      </c>
      <c r="E2" s="1202"/>
      <c r="F2" s="1202"/>
      <c r="G2" s="1202"/>
      <c r="H2" s="1202"/>
      <c r="I2" s="1202"/>
      <c r="J2" s="1202"/>
      <c r="K2" s="1203"/>
      <c r="L2" s="1201" t="s">
        <v>198</v>
      </c>
      <c r="M2" s="1202"/>
      <c r="N2" s="1202"/>
      <c r="O2" s="1202"/>
      <c r="P2" s="1203"/>
    </row>
    <row r="3" spans="1:18" s="316" customFormat="1" ht="45">
      <c r="A3" s="1196"/>
      <c r="B3" s="1200"/>
      <c r="C3" s="1200"/>
      <c r="D3" s="382" t="s">
        <v>199</v>
      </c>
      <c r="E3" s="382" t="s">
        <v>200</v>
      </c>
      <c r="F3" s="382" t="s">
        <v>201</v>
      </c>
      <c r="G3" s="382" t="s">
        <v>202</v>
      </c>
      <c r="H3" s="382" t="s">
        <v>120</v>
      </c>
      <c r="I3" s="382" t="s">
        <v>203</v>
      </c>
      <c r="J3" s="382" t="s">
        <v>204</v>
      </c>
      <c r="K3" s="382" t="s">
        <v>205</v>
      </c>
      <c r="L3" s="382" t="s">
        <v>206</v>
      </c>
      <c r="M3" s="382" t="s">
        <v>207</v>
      </c>
      <c r="N3" s="382" t="s">
        <v>208</v>
      </c>
      <c r="O3" s="382" t="s">
        <v>209</v>
      </c>
      <c r="P3" s="382" t="s">
        <v>210</v>
      </c>
    </row>
    <row r="4" spans="1:18">
      <c r="C4" s="15"/>
    </row>
    <row r="5" spans="1:18" s="8" customFormat="1">
      <c r="A5" s="287" t="s">
        <v>329</v>
      </c>
      <c r="B5" s="449">
        <f>SUM(B6:B11)</f>
        <v>9.4965890491805291E-5</v>
      </c>
      <c r="C5" s="464" t="s">
        <v>211</v>
      </c>
      <c r="D5" s="449">
        <f>SUM(D6:D11)</f>
        <v>2.6532500597263147E-4</v>
      </c>
      <c r="E5" s="449">
        <f>SUM(E6:E11)</f>
        <v>1.6748929278410732E-3</v>
      </c>
      <c r="F5" s="462" t="s">
        <v>211</v>
      </c>
      <c r="G5" s="449">
        <f>SUM(G6:G11)</f>
        <v>0.55379049454610896</v>
      </c>
      <c r="H5" s="449">
        <f>SUM(H6:H11)</f>
        <v>9.9915603774277523E-2</v>
      </c>
      <c r="I5" s="464" t="s">
        <v>211</v>
      </c>
      <c r="J5" s="464" t="s">
        <v>211</v>
      </c>
      <c r="K5" s="464" t="s">
        <v>211</v>
      </c>
      <c r="L5" s="464" t="s">
        <v>211</v>
      </c>
      <c r="M5" s="449">
        <f>SUM(M6:M11)</f>
        <v>3.5110024967882278E-2</v>
      </c>
      <c r="N5" s="464" t="s">
        <v>211</v>
      </c>
      <c r="O5" s="464" t="s">
        <v>211</v>
      </c>
      <c r="P5" s="465" t="s">
        <v>211</v>
      </c>
    </row>
    <row r="6" spans="1:18">
      <c r="A6" s="261" t="s">
        <v>715</v>
      </c>
      <c r="B6" s="96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6.9287750716973763E-5</v>
      </c>
      <c r="C6" s="450"/>
      <c r="D6" s="963">
        <f>vkm_2011_GW_PW*SUMIFS(TableVerdeelsleutelVkm[CNG],TableVerdeelsleutelVkm[Voertuigtype],"Lichte voertuigen")*SUMIFS(TableECFTransport[EnergieConsumptieFactor (PJ per km)],TableECFTransport[Index],CONCATENATE($A6,"_CNG_CNG"))</f>
        <v>1.6027019567371571E-4</v>
      </c>
      <c r="E6" s="963">
        <f>vkm_2011_GW_PW*SUMIFS(TableVerdeelsleutelVkm[LPG],TableVerdeelsleutelVkm[Voertuigtype],"Lichte voertuigen")*SUMIFS(TableECFTransport[EnergieConsumptieFactor (PJ per km)],TableECFTransport[Index],CONCATENATE($A6,"_LPG_LPG"))</f>
        <v>1.0435827297670688E-3</v>
      </c>
      <c r="F6" s="452"/>
      <c r="G6" s="96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0.21679659140239854</v>
      </c>
      <c r="H6" s="96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6.1110478880917453E-2</v>
      </c>
      <c r="I6" s="450"/>
      <c r="J6" s="450"/>
      <c r="K6" s="450"/>
      <c r="L6" s="450"/>
      <c r="M6" s="450">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1.4421936296404076E-2</v>
      </c>
      <c r="N6" s="450"/>
      <c r="O6" s="450"/>
      <c r="P6" s="451"/>
    </row>
    <row r="7" spans="1:18">
      <c r="A7" s="261" t="s">
        <v>716</v>
      </c>
      <c r="B7" s="96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50"/>
      <c r="D7" s="963">
        <f>vkm_2011_GW_ZV*SUMIFS(TableVerdeelsleutelVkm[CNG],TableVerdeelsleutelVkm[Voertuigtype],"Zware voertuigen")*SUMIFS(TableECFTransport[EnergieConsumptieFactor (PJ per km)],TableECFTransport[Index],CONCATENATE($A7,"_CNG_CNG"))</f>
        <v>0</v>
      </c>
      <c r="E7" s="963">
        <f>vkm_2011_GW_ZV*SUMIFS(TableVerdeelsleutelVkm[LPG],TableVerdeelsleutelVkm[Voertuigtype],"Zware voertuigen")*SUMIFS(TableECFTransport[EnergieConsumptieFactor (PJ per km)],TableECFTransport[Index],CONCATENATE($A7,"_LPG_LPG"))</f>
        <v>0</v>
      </c>
      <c r="F7" s="452"/>
      <c r="G7" s="96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0.18582215936785068</v>
      </c>
      <c r="H7" s="96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6.3547803816190143E-5</v>
      </c>
      <c r="I7" s="450"/>
      <c r="J7" s="450"/>
      <c r="K7" s="450"/>
      <c r="L7" s="450"/>
      <c r="M7" s="450">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1.0750865207229069E-2</v>
      </c>
      <c r="N7" s="450"/>
      <c r="O7" s="450"/>
      <c r="P7" s="451"/>
      <c r="R7" s="959"/>
    </row>
    <row r="8" spans="1:18">
      <c r="A8" s="261" t="s">
        <v>717</v>
      </c>
      <c r="B8" s="450">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2.5678139774831521E-5</v>
      </c>
      <c r="C8" s="450"/>
      <c r="D8" s="452">
        <f>vkm_2011_NGW_PW*SUMIFS(TableVerdeelsleutelVkm[CNG],TableVerdeelsleutelVkm[Voertuigtype],"Lichte voertuigen")*SUMIFS(TableECFTransport[EnergieConsumptieFactor (PJ per km)],TableECFTransport[Index],CONCATENATE($A8,"_CNG_CNG"))</f>
        <v>1.0505481029891576E-4</v>
      </c>
      <c r="E8" s="452">
        <f>vkm_2011_NGW_PW*SUMIFS(TableVerdeelsleutelVkm[LPG],TableVerdeelsleutelVkm[Voertuigtype],"Lichte voertuigen")*SUMIFS(TableECFTransport[EnergieConsumptieFactor (PJ per km)],TableECFTransport[Index],CONCATENATE($A8,"_LPG_LPG"))</f>
        <v>6.3131019807400441E-4</v>
      </c>
      <c r="F8" s="452"/>
      <c r="G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0.12259951303055601</v>
      </c>
      <c r="H8" s="96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3.8732331448503618E-2</v>
      </c>
      <c r="I8" s="450"/>
      <c r="J8" s="450"/>
      <c r="K8" s="450"/>
      <c r="L8" s="450"/>
      <c r="M8" s="450">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8.2841741399006987E-3</v>
      </c>
      <c r="N8" s="450"/>
      <c r="O8" s="450"/>
      <c r="P8" s="451"/>
      <c r="R8" s="959"/>
    </row>
    <row r="9" spans="1:18">
      <c r="A9" s="261" t="s">
        <v>718</v>
      </c>
      <c r="B9" s="450">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50"/>
      <c r="D9" s="452">
        <f>vkm_2011_NGW_ZV*SUMIFS(TableVerdeelsleutelVkm[CNG],TableVerdeelsleutelVkm[Voertuigtype],"Zware voertuigen")*SUMIFS(TableECFTransport[EnergieConsumptieFactor (PJ per km)],TableECFTransport[Index],CONCATENATE($A9,"_CNG_CNG"))</f>
        <v>0</v>
      </c>
      <c r="E9" s="452">
        <f>vkm_2011_NGW_ZV*SUMIFS(TableVerdeelsleutelVkm[LPG],TableVerdeelsleutelVkm[Voertuigtype],"Zware voertuigen")*SUMIFS(TableECFTransport[EnergieConsumptieFactor (PJ per km)],TableECFTransport[Index],CONCATENATE($A9,"_LPG_LPG"))</f>
        <v>0</v>
      </c>
      <c r="F9" s="452"/>
      <c r="G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2.8572230745303656E-2</v>
      </c>
      <c r="H9" s="96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9.2456410402724361E-6</v>
      </c>
      <c r="I9" s="450"/>
      <c r="J9" s="450"/>
      <c r="K9" s="450"/>
      <c r="L9" s="450"/>
      <c r="M9" s="450">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1.6530493243484367E-3</v>
      </c>
      <c r="N9" s="450"/>
      <c r="O9" s="450"/>
      <c r="P9" s="451"/>
      <c r="R9" s="959"/>
    </row>
    <row r="10" spans="1:18">
      <c r="A10" s="261" t="s">
        <v>719</v>
      </c>
      <c r="B10" s="450">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50"/>
      <c r="D10" s="452">
        <f>vkm_2011_SW_PW*SUMIFS(TableVerdeelsleutelVkm[CNG],TableVerdeelsleutelVkm[Voertuigtype],"Lichte voertuigen")*SUMIFS(TableECFTransport[EnergieConsumptieFactor (PJ per km)],TableECFTransport[Index],CONCATENATE($A10,"_CNG_CNG"))</f>
        <v>0</v>
      </c>
      <c r="E10" s="452">
        <f>vkm_2011_SW_PW*SUMIFS(TableVerdeelsleutelVkm[LPG],TableVerdeelsleutelVkm[Voertuigtype],"Lichte voertuigen")*SUMIFS(TableECFTransport[EnergieConsumptieFactor (PJ per km)],TableECFTransport[Index],CONCATENATE($A10,"_LPG_LPG"))</f>
        <v>0</v>
      </c>
      <c r="F10" s="452"/>
      <c r="G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50"/>
      <c r="J10" s="450"/>
      <c r="K10" s="450"/>
      <c r="L10" s="450"/>
      <c r="M10" s="450">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50"/>
      <c r="O10" s="450"/>
      <c r="P10" s="451"/>
      <c r="R10" s="959"/>
    </row>
    <row r="11" spans="1:18">
      <c r="A11" s="4" t="s">
        <v>720</v>
      </c>
      <c r="B11" s="453">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3"/>
      <c r="D11" s="454">
        <f>vkm_2011_SW_ZV*SUMIFS(TableVerdeelsleutelVkm[CNG],TableVerdeelsleutelVkm[Voertuigtype],"Zware voertuigen")*SUMIFS(TableECFTransport[EnergieConsumptieFactor (PJ per km)],TableECFTransport[Index],CONCATENATE($A11,"_CNG_CNG"))</f>
        <v>0</v>
      </c>
      <c r="E11" s="454">
        <f>vkm_2011_SW_ZV*SUMIFS(TableVerdeelsleutelVkm[LPG],TableVerdeelsleutelVkm[Voertuigtype],"Zware voertuigen")*SUMIFS(TableECFTransport[EnergieConsumptieFactor (PJ per km)],TableECFTransport[Index],CONCATENATE($A11,"_LPG_LPG"))</f>
        <v>0</v>
      </c>
      <c r="F11" s="454"/>
      <c r="G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3"/>
      <c r="J11" s="453"/>
      <c r="K11" s="453"/>
      <c r="L11" s="453"/>
      <c r="M11" s="453">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3"/>
      <c r="O11" s="453"/>
      <c r="P11" s="455"/>
      <c r="R11" s="959"/>
    </row>
    <row r="12" spans="1:18">
      <c r="A12" s="331" t="s">
        <v>554</v>
      </c>
      <c r="B12" s="463">
        <f>('Eigen vloot'!B27)*(-1)</f>
        <v>0</v>
      </c>
      <c r="C12" s="463"/>
      <c r="D12" s="463">
        <f>('Eigen vloot'!D27)*(-1)</f>
        <v>0</v>
      </c>
      <c r="E12" s="463">
        <f>('Eigen vloot'!E27)*(-1)</f>
        <v>0</v>
      </c>
      <c r="F12" s="456"/>
      <c r="G12" s="463">
        <f>('Eigen vloot'!G27)*(-1)</f>
        <v>0</v>
      </c>
      <c r="H12" s="463">
        <f>('Eigen vloot'!H27)*(-1)</f>
        <v>0</v>
      </c>
      <c r="I12" s="463"/>
      <c r="J12" s="463"/>
      <c r="K12" s="463"/>
      <c r="L12" s="463"/>
      <c r="M12" s="463">
        <f>('Eigen vloot'!M27)*(-1)</f>
        <v>0</v>
      </c>
      <c r="N12" s="463"/>
      <c r="O12" s="463"/>
      <c r="P12" s="466"/>
    </row>
    <row r="13" spans="1:18">
      <c r="B13" s="11"/>
      <c r="C13" s="55"/>
      <c r="D13" s="55"/>
      <c r="E13" s="55"/>
      <c r="F13" s="55"/>
      <c r="G13" s="11"/>
      <c r="H13" s="11"/>
      <c r="I13" s="10"/>
      <c r="J13" s="11"/>
      <c r="K13" s="11"/>
      <c r="L13" s="11"/>
      <c r="M13" s="11"/>
      <c r="N13" s="11"/>
      <c r="O13" s="11"/>
      <c r="P13" s="11"/>
    </row>
    <row r="14" spans="1:18" s="15" customFormat="1">
      <c r="A14" s="20" t="s">
        <v>338</v>
      </c>
      <c r="B14" s="21">
        <f>((B5)*10^9/3600)+B12</f>
        <v>26.379414025501468</v>
      </c>
      <c r="C14" s="21"/>
      <c r="D14" s="21">
        <f t="shared" ref="D14:M14" si="0">((D5)*10^9/3600)+D12</f>
        <v>73.701390547953181</v>
      </c>
      <c r="E14" s="21">
        <f t="shared" si="0"/>
        <v>465.24803551140923</v>
      </c>
      <c r="F14" s="21"/>
      <c r="G14" s="21">
        <f t="shared" si="0"/>
        <v>153830.69292947472</v>
      </c>
      <c r="H14" s="21">
        <f t="shared" si="0"/>
        <v>27754.334381743756</v>
      </c>
      <c r="I14" s="21"/>
      <c r="J14" s="21"/>
      <c r="K14" s="21"/>
      <c r="L14" s="21"/>
      <c r="M14" s="21">
        <f t="shared" si="0"/>
        <v>9752.7847133006326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0.20642340014501959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5.4453283369772318</v>
      </c>
      <c r="C18" s="23"/>
      <c r="D18" s="23">
        <f t="shared" ref="D18:M18" si="1">D14*D16</f>
        <v>14.887680890686543</v>
      </c>
      <c r="E18" s="23">
        <f t="shared" si="1"/>
        <v>105.6113040610899</v>
      </c>
      <c r="F18" s="23"/>
      <c r="G18" s="23">
        <f t="shared" si="1"/>
        <v>41072.79501216975</v>
      </c>
      <c r="H18" s="23">
        <f t="shared" si="1"/>
        <v>6910.8292610541948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5"/>
    </row>
    <row r="21" spans="1:18">
      <c r="A21" s="262" t="s">
        <v>505</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1000" t="s">
        <v>309</v>
      </c>
      <c r="C23" s="1000" t="s">
        <v>721</v>
      </c>
      <c r="D23" s="1000" t="s">
        <v>722</v>
      </c>
      <c r="E23" s="1000" t="s">
        <v>723</v>
      </c>
      <c r="F23" s="1000" t="s">
        <v>664</v>
      </c>
      <c r="G23" s="1000" t="s">
        <v>724</v>
      </c>
      <c r="H23" s="1000" t="s">
        <v>725</v>
      </c>
      <c r="I23" s="1000" t="s">
        <v>119</v>
      </c>
      <c r="J23" s="1000" t="s">
        <v>726</v>
      </c>
      <c r="K23" s="1000" t="s">
        <v>727</v>
      </c>
      <c r="L23" s="1001" t="s">
        <v>728</v>
      </c>
      <c r="M23" s="129" t="s">
        <v>182</v>
      </c>
      <c r="N23" s="268" t="s">
        <v>316</v>
      </c>
    </row>
    <row r="24" spans="1:18">
      <c r="A24" s="32" t="s">
        <v>713</v>
      </c>
      <c r="B24" s="985">
        <v>4.7137302752526942E-4</v>
      </c>
      <c r="C24" s="985">
        <v>0.78312639218609637</v>
      </c>
      <c r="D24" s="961"/>
      <c r="E24" s="985"/>
      <c r="F24" s="985">
        <v>2.1362548972680221E-5</v>
      </c>
      <c r="G24" s="985">
        <v>5.8046197169815531E-4</v>
      </c>
      <c r="H24" s="961"/>
      <c r="I24" s="961">
        <v>3.4791536472286735E-3</v>
      </c>
      <c r="J24" s="961">
        <v>0.20928733532343941</v>
      </c>
      <c r="K24" s="961">
        <v>3.6143832667378199E-3</v>
      </c>
      <c r="M24" s="269" t="s">
        <v>749</v>
      </c>
      <c r="N24" s="962">
        <f>SUM(B24:K24)</f>
        <v>1.0005804619716985</v>
      </c>
      <c r="O24" s="959" t="s">
        <v>665</v>
      </c>
    </row>
    <row r="25" spans="1:18">
      <c r="A25" s="32" t="s">
        <v>714</v>
      </c>
      <c r="B25" s="961" t="s">
        <v>750</v>
      </c>
      <c r="C25" s="985">
        <v>0.99948214585770268</v>
      </c>
      <c r="D25" s="961"/>
      <c r="E25" s="961"/>
      <c r="F25" s="985" t="s">
        <v>750</v>
      </c>
      <c r="G25" s="961" t="s">
        <v>750</v>
      </c>
      <c r="H25" s="961"/>
      <c r="I25" s="961" t="s">
        <v>750</v>
      </c>
      <c r="J25" s="961">
        <v>5.1785414229734263E-4</v>
      </c>
      <c r="K25" s="961" t="s">
        <v>750</v>
      </c>
      <c r="M25" s="269" t="s">
        <v>749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506</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8" t="s">
        <v>202</v>
      </c>
      <c r="B30" s="274" t="s">
        <v>318</v>
      </c>
      <c r="C30" s="958">
        <v>2014</v>
      </c>
      <c r="D30" s="274" t="s">
        <v>319</v>
      </c>
      <c r="E30" s="243" t="s">
        <v>182</v>
      </c>
      <c r="F30" s="271"/>
      <c r="G30" s="243"/>
      <c r="H30" s="243"/>
      <c r="I30" s="243"/>
      <c r="J30" s="243"/>
      <c r="K30" s="243"/>
      <c r="L30" s="272"/>
    </row>
    <row r="31" spans="1:18">
      <c r="A31" s="275" t="s">
        <v>320</v>
      </c>
      <c r="B31" s="276"/>
      <c r="C31" s="277"/>
      <c r="D31" s="276">
        <v>4.2694999999999997E-2</v>
      </c>
      <c r="E31" s="997" t="s">
        <v>764</v>
      </c>
      <c r="F31" s="53"/>
      <c r="G31" s="43"/>
      <c r="H31" s="43"/>
      <c r="I31" s="43"/>
      <c r="J31" s="43"/>
      <c r="K31" s="43"/>
      <c r="L31" s="174"/>
    </row>
    <row r="32" spans="1:18">
      <c r="A32" s="278" t="s">
        <v>321</v>
      </c>
      <c r="B32" s="279"/>
      <c r="C32" s="280"/>
      <c r="D32" s="279">
        <v>3.73E-2</v>
      </c>
      <c r="E32" s="997" t="s">
        <v>764</v>
      </c>
      <c r="F32" s="53"/>
      <c r="G32" s="43"/>
      <c r="H32" s="43"/>
      <c r="I32" s="43"/>
      <c r="J32" s="43"/>
      <c r="K32" s="43"/>
      <c r="L32" s="174"/>
    </row>
    <row r="33" spans="1:16">
      <c r="A33" s="278" t="s">
        <v>322</v>
      </c>
      <c r="B33" s="281"/>
      <c r="C33" s="282"/>
      <c r="D33" s="58"/>
      <c r="E33" s="996"/>
      <c r="F33" s="53"/>
      <c r="G33" s="43"/>
      <c r="H33" s="43"/>
      <c r="I33" s="43"/>
      <c r="J33" s="43"/>
      <c r="K33" s="43"/>
      <c r="L33" s="174"/>
    </row>
    <row r="34" spans="1:16">
      <c r="A34" s="278" t="s">
        <v>323</v>
      </c>
      <c r="B34" s="281"/>
      <c r="C34" s="283">
        <v>6.2100000000000002E-2</v>
      </c>
      <c r="D34" s="58"/>
      <c r="E34" s="997" t="s">
        <v>751</v>
      </c>
      <c r="F34" s="53"/>
      <c r="G34" s="43"/>
      <c r="H34" s="43"/>
      <c r="I34" s="43"/>
      <c r="J34" s="43"/>
      <c r="K34" s="43"/>
      <c r="L34" s="174"/>
    </row>
    <row r="35" spans="1:16">
      <c r="A35" s="278" t="s">
        <v>324</v>
      </c>
      <c r="B35" s="281"/>
      <c r="C35" s="283">
        <f>1/(1+((1/C34-1)*($D$31/$D$32)))</f>
        <v>5.4682049412664246E-2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8" t="s">
        <v>120</v>
      </c>
      <c r="B37" s="274" t="s">
        <v>318</v>
      </c>
      <c r="C37" s="958">
        <v>2014</v>
      </c>
      <c r="D37" s="274" t="s">
        <v>319</v>
      </c>
      <c r="E37" s="998" t="s">
        <v>182</v>
      </c>
      <c r="F37" s="286"/>
      <c r="G37" s="267"/>
      <c r="H37" s="267"/>
      <c r="I37" s="267"/>
      <c r="J37" s="267"/>
      <c r="K37" s="267"/>
      <c r="L37" s="268"/>
    </row>
    <row r="38" spans="1:16">
      <c r="A38" s="278" t="s">
        <v>325</v>
      </c>
      <c r="B38" s="279"/>
      <c r="C38" s="280"/>
      <c r="D38" s="279">
        <v>4.3774E-2</v>
      </c>
      <c r="E38" s="997" t="s">
        <v>764</v>
      </c>
      <c r="F38" s="282"/>
      <c r="G38" s="58"/>
      <c r="H38" s="58"/>
      <c r="I38" s="58"/>
      <c r="J38" s="58"/>
      <c r="K38" s="58"/>
      <c r="L38" s="284"/>
    </row>
    <row r="39" spans="1:16">
      <c r="A39" s="278" t="s">
        <v>326</v>
      </c>
      <c r="B39" s="279"/>
      <c r="C39" s="280"/>
      <c r="D39" s="279">
        <v>2.8799999999999999E-2</v>
      </c>
      <c r="E39" s="997" t="s">
        <v>764</v>
      </c>
      <c r="F39" s="282"/>
      <c r="G39" s="58"/>
      <c r="H39" s="58"/>
      <c r="I39" s="58"/>
      <c r="J39" s="58"/>
      <c r="K39" s="58"/>
      <c r="L39" s="284"/>
    </row>
    <row r="40" spans="1:16">
      <c r="A40" s="278" t="s">
        <v>322</v>
      </c>
      <c r="B40" s="281"/>
      <c r="C40" s="282"/>
      <c r="D40" s="282"/>
      <c r="E40" s="997"/>
      <c r="F40" s="58"/>
      <c r="G40" s="58"/>
      <c r="H40" s="58"/>
      <c r="I40" s="58"/>
      <c r="J40" s="58"/>
      <c r="K40" s="58"/>
      <c r="L40" s="284"/>
    </row>
    <row r="41" spans="1:16">
      <c r="A41" s="278" t="s">
        <v>327</v>
      </c>
      <c r="B41" s="281"/>
      <c r="C41" s="283">
        <v>4.4699999999999997E-2</v>
      </c>
      <c r="D41" s="282"/>
      <c r="E41" s="997" t="s">
        <v>751</v>
      </c>
      <c r="F41" s="58"/>
      <c r="G41" s="58"/>
      <c r="H41" s="58"/>
      <c r="I41" s="58"/>
      <c r="J41" s="58"/>
      <c r="K41" s="58"/>
      <c r="L41" s="284"/>
    </row>
    <row r="42" spans="1:16">
      <c r="A42" s="278" t="s">
        <v>324</v>
      </c>
      <c r="B42" s="281"/>
      <c r="C42" s="283">
        <f>1/(1+((1/C41-1)*($D$38/$D$39)))</f>
        <v>2.9865910885157106E-2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0" t="s">
        <v>504</v>
      </c>
      <c r="B46" s="1211" t="s">
        <v>555</v>
      </c>
      <c r="C46" s="1212"/>
      <c r="D46" s="1212"/>
      <c r="E46" s="1212"/>
      <c r="F46" s="1212"/>
      <c r="G46" s="1212"/>
      <c r="H46" s="1212"/>
      <c r="I46" s="1212"/>
      <c r="J46" s="1212"/>
      <c r="K46" s="1212"/>
      <c r="L46" s="1212"/>
      <c r="M46" s="1212"/>
      <c r="N46" s="1212"/>
      <c r="O46" s="1212"/>
      <c r="P46" s="1212"/>
    </row>
    <row r="47" spans="1:16" s="15" customFormat="1" ht="15.75" thickTop="1">
      <c r="A47" s="1210"/>
      <c r="B47" s="1213" t="s">
        <v>21</v>
      </c>
      <c r="C47" s="1213" t="s">
        <v>196</v>
      </c>
      <c r="D47" s="1215" t="s">
        <v>197</v>
      </c>
      <c r="E47" s="1216"/>
      <c r="F47" s="1216"/>
      <c r="G47" s="1216"/>
      <c r="H47" s="1216"/>
      <c r="I47" s="1216"/>
      <c r="J47" s="1216"/>
      <c r="K47" s="1217"/>
      <c r="L47" s="1215" t="s">
        <v>198</v>
      </c>
      <c r="M47" s="1216"/>
      <c r="N47" s="1216"/>
      <c r="O47" s="1216"/>
      <c r="P47" s="1217"/>
    </row>
    <row r="48" spans="1:16" s="15" customFormat="1" ht="45">
      <c r="A48" s="1210"/>
      <c r="B48" s="1214"/>
      <c r="C48" s="1214"/>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1.0165845970761842E-2</v>
      </c>
      <c r="H50" s="321">
        <f t="shared" si="2"/>
        <v>0</v>
      </c>
      <c r="I50" s="321">
        <f t="shared" si="2"/>
        <v>0</v>
      </c>
      <c r="J50" s="321">
        <f t="shared" si="2"/>
        <v>0</v>
      </c>
      <c r="K50" s="321">
        <f t="shared" si="2"/>
        <v>0</v>
      </c>
      <c r="L50" s="321">
        <f t="shared" si="2"/>
        <v>0</v>
      </c>
      <c r="M50" s="321">
        <f t="shared" si="2"/>
        <v>5.7972856067066566E-4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1.0165845970761842E-2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5.7972856067066566E-4</v>
      </c>
      <c r="N51" s="323"/>
      <c r="O51" s="323"/>
      <c r="P51" s="326"/>
    </row>
    <row r="52" spans="1:18">
      <c r="A52" s="4" t="s">
        <v>330</v>
      </c>
      <c r="B52" s="964">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2823.8461029894011</v>
      </c>
      <c r="H54" s="21">
        <f t="shared" si="3"/>
        <v>0</v>
      </c>
      <c r="I54" s="21">
        <f t="shared" si="3"/>
        <v>0</v>
      </c>
      <c r="J54" s="21">
        <f t="shared" si="3"/>
        <v>0</v>
      </c>
      <c r="K54" s="21">
        <f t="shared" si="3"/>
        <v>0</v>
      </c>
      <c r="L54" s="21">
        <f t="shared" si="3"/>
        <v>0</v>
      </c>
      <c r="M54" s="21">
        <f t="shared" si="3"/>
        <v>161.03571129740715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0.20642340014501959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753.96690949817014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569</v>
      </c>
      <c r="B61" s="264"/>
      <c r="C61" s="265"/>
    </row>
    <row r="62" spans="1:18" s="15" customFormat="1">
      <c r="A62" s="294"/>
      <c r="B62" s="290"/>
      <c r="C62" s="295"/>
    </row>
    <row r="63" spans="1:18">
      <c r="A63" s="296"/>
      <c r="B63" s="133"/>
      <c r="C63" s="297" t="s">
        <v>182</v>
      </c>
    </row>
    <row r="64" spans="1:18">
      <c r="A64" s="288" t="s">
        <v>202</v>
      </c>
      <c r="B64" s="291">
        <f>100%-B65</f>
        <v>0.97799999999999998</v>
      </c>
      <c r="C64" s="174"/>
    </row>
    <row r="65" spans="1:12">
      <c r="A65" s="288" t="s">
        <v>333</v>
      </c>
      <c r="B65" s="300">
        <v>2.1999999999999999E-2</v>
      </c>
      <c r="C65" s="174" t="s">
        <v>785</v>
      </c>
    </row>
    <row r="66" spans="1:12" s="15" customFormat="1">
      <c r="A66" s="289"/>
      <c r="B66" s="269"/>
      <c r="C66" s="232"/>
    </row>
    <row r="67" spans="1:12">
      <c r="A67" s="292" t="s">
        <v>316</v>
      </c>
      <c r="B67" s="293">
        <f>SUM(B64:B65)</f>
        <v>1</v>
      </c>
      <c r="C67" s="176"/>
    </row>
    <row r="70" spans="1:12">
      <c r="A70" s="262" t="s">
        <v>506</v>
      </c>
      <c r="B70" s="264"/>
      <c r="C70" s="264"/>
      <c r="D70" s="264"/>
      <c r="E70" s="264"/>
      <c r="F70" s="264"/>
      <c r="G70" s="264"/>
      <c r="H70" s="264"/>
      <c r="I70" s="264"/>
      <c r="J70" s="264"/>
      <c r="K70" s="264"/>
      <c r="L70" s="265"/>
    </row>
    <row r="71" spans="1:12">
      <c r="A71" s="446" t="s">
        <v>570</v>
      </c>
    </row>
    <row r="72" spans="1:12">
      <c r="A72" s="261"/>
      <c r="B72" s="266"/>
      <c r="C72" s="266"/>
      <c r="D72" s="266"/>
      <c r="E72" s="266"/>
    </row>
    <row r="73" spans="1:12">
      <c r="A73" s="273"/>
      <c r="B73" s="274" t="s">
        <v>318</v>
      </c>
      <c r="C73" s="958">
        <v>2014</v>
      </c>
      <c r="D73" s="274" t="s">
        <v>319</v>
      </c>
      <c r="E73" s="243" t="s">
        <v>182</v>
      </c>
    </row>
    <row r="74" spans="1:12">
      <c r="A74" t="str">
        <f t="shared" ref="A74:E77" si="5">A31</f>
        <v>diesel</v>
      </c>
      <c r="B74" s="444"/>
      <c r="C74" s="444"/>
      <c r="D74" s="444">
        <f t="shared" si="5"/>
        <v>4.2694999999999997E-2</v>
      </c>
      <c r="E74" s="11" t="str">
        <f t="shared" si="5"/>
        <v>COPERT 4.11</v>
      </c>
    </row>
    <row r="75" spans="1:12">
      <c r="A75" t="str">
        <f t="shared" si="5"/>
        <v>biodiesel</v>
      </c>
      <c r="B75" s="444"/>
      <c r="C75" s="444"/>
      <c r="D75" s="444">
        <f t="shared" si="5"/>
        <v>3.73E-2</v>
      </c>
      <c r="E75" s="11" t="str">
        <f t="shared" si="5"/>
        <v>COPERT 4.11</v>
      </c>
    </row>
    <row r="76" spans="1:12">
      <c r="A76" t="str">
        <f>A33</f>
        <v>vol% liter</v>
      </c>
      <c r="B76" s="444"/>
      <c r="C76" s="445"/>
      <c r="D76" s="444"/>
      <c r="E76" s="11"/>
    </row>
    <row r="77" spans="1:12">
      <c r="A77" t="str">
        <f>A34</f>
        <v>gew% kg</v>
      </c>
      <c r="B77" s="444"/>
      <c r="C77" s="447">
        <f>C34</f>
        <v>6.2100000000000002E-2</v>
      </c>
      <c r="D77" s="444"/>
      <c r="E77" s="11" t="str">
        <f t="shared" si="5"/>
        <v>Data VMM februari 2017</v>
      </c>
    </row>
    <row r="78" spans="1:12">
      <c r="A78" t="str">
        <f>A35</f>
        <v>J%</v>
      </c>
      <c r="B78" s="444"/>
      <c r="C78" s="447">
        <f>C35</f>
        <v>5.4682049412664246E-2</v>
      </c>
      <c r="D78" s="444"/>
    </row>
    <row r="79" spans="1:12">
      <c r="B79" s="444"/>
      <c r="C79" s="444"/>
      <c r="D79" s="444"/>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8" customWidth="1"/>
    <col min="2" max="2" width="27" style="648" customWidth="1"/>
    <col min="3" max="3" width="25.42578125" style="648" customWidth="1"/>
    <col min="4" max="4" width="41.28515625" style="648" customWidth="1"/>
    <col min="5" max="5" width="27.5703125" style="648" customWidth="1"/>
    <col min="6" max="7" width="18" style="648" customWidth="1"/>
    <col min="8" max="8" width="23.42578125" style="648" customWidth="1"/>
    <col min="9" max="9" width="28.5703125" style="648" customWidth="1"/>
    <col min="10" max="10" width="35.28515625" style="648" customWidth="1"/>
    <col min="11" max="11" width="32.7109375" style="648" customWidth="1"/>
    <col min="12" max="12" width="23.85546875" style="648" customWidth="1"/>
    <col min="13" max="13" width="21.140625" style="648" customWidth="1"/>
    <col min="14" max="14" width="17.5703125" style="648" customWidth="1"/>
    <col min="15" max="15" width="22.85546875" style="648" customWidth="1"/>
    <col min="16" max="16" width="19.140625" style="648" customWidth="1"/>
    <col min="17" max="17" width="24.7109375" style="648" customWidth="1"/>
    <col min="18" max="18" width="9.140625" style="648"/>
    <col min="19" max="19" width="21.140625" style="648" customWidth="1"/>
    <col min="20" max="20" width="14.85546875" style="648" customWidth="1"/>
    <col min="21" max="21" width="16.140625" style="648" customWidth="1"/>
    <col min="22" max="22" width="14.7109375" style="648" customWidth="1"/>
    <col min="23" max="24" width="16.140625" style="648" customWidth="1"/>
    <col min="25" max="25" width="17.28515625" style="648" customWidth="1"/>
    <col min="26" max="26" width="16.85546875" style="648" customWidth="1"/>
    <col min="27" max="16384" width="9.140625" style="648"/>
  </cols>
  <sheetData>
    <row r="1" spans="1:19" s="564" customFormat="1" ht="17.45" customHeight="1" thickTop="1" thickBot="1">
      <c r="A1" s="1236" t="s">
        <v>241</v>
      </c>
      <c r="B1" s="1236" t="s">
        <v>242</v>
      </c>
      <c r="C1" s="1243" t="s">
        <v>243</v>
      </c>
      <c r="D1" s="1244"/>
      <c r="E1" s="1244"/>
      <c r="F1" s="1244"/>
      <c r="G1" s="1244"/>
      <c r="H1" s="1244"/>
      <c r="I1" s="1244"/>
      <c r="J1" s="1244"/>
      <c r="K1" s="1244"/>
      <c r="L1" s="1245"/>
      <c r="M1" s="1240" t="s">
        <v>244</v>
      </c>
      <c r="N1" s="1257" t="s">
        <v>557</v>
      </c>
      <c r="O1" s="1240"/>
      <c r="Q1" s="1235"/>
      <c r="R1" s="1235"/>
      <c r="S1" s="1235"/>
    </row>
    <row r="2" spans="1:19" s="564" customFormat="1" ht="15.75" thickBot="1">
      <c r="A2" s="1237"/>
      <c r="B2" s="1237"/>
      <c r="C2" s="1246" t="s">
        <v>197</v>
      </c>
      <c r="D2" s="1247"/>
      <c r="E2" s="1247"/>
      <c r="F2" s="1247"/>
      <c r="G2" s="1248"/>
      <c r="H2" s="1249" t="s">
        <v>245</v>
      </c>
      <c r="I2" s="1251" t="s">
        <v>246</v>
      </c>
      <c r="J2" s="1251" t="s">
        <v>234</v>
      </c>
      <c r="K2" s="1251" t="s">
        <v>247</v>
      </c>
      <c r="L2" s="1233" t="s">
        <v>127</v>
      </c>
      <c r="M2" s="1241"/>
      <c r="N2" s="1258"/>
      <c r="O2" s="1241"/>
      <c r="Q2" s="1235"/>
      <c r="R2" s="1235"/>
      <c r="S2" s="1235"/>
    </row>
    <row r="3" spans="1:19" s="564" customFormat="1" ht="53.45" customHeight="1" thickBot="1">
      <c r="A3" s="1238"/>
      <c r="B3" s="1239"/>
      <c r="C3" s="565" t="s">
        <v>199</v>
      </c>
      <c r="D3" s="566" t="s">
        <v>200</v>
      </c>
      <c r="E3" s="567" t="s">
        <v>201</v>
      </c>
      <c r="F3" s="568" t="s">
        <v>203</v>
      </c>
      <c r="G3" s="569" t="s">
        <v>204</v>
      </c>
      <c r="H3" s="1250"/>
      <c r="I3" s="1252"/>
      <c r="J3" s="1252"/>
      <c r="K3" s="1252"/>
      <c r="L3" s="1234"/>
      <c r="M3" s="1242"/>
      <c r="N3" s="1239"/>
      <c r="O3" s="1242"/>
      <c r="Q3" s="1235"/>
      <c r="R3" s="1235"/>
      <c r="S3" s="1235"/>
    </row>
    <row r="4" spans="1:19" s="564" customFormat="1" ht="15.75" thickTop="1">
      <c r="A4" s="570" t="s">
        <v>249</v>
      </c>
      <c r="B4" s="571">
        <f>IF(ISERROR(kWh_wind_land),0,kWh_wind_land)</f>
        <v>0</v>
      </c>
      <c r="C4" s="1221"/>
      <c r="D4" s="1224"/>
      <c r="E4" s="1224"/>
      <c r="F4" s="1227"/>
      <c r="G4" s="1230"/>
      <c r="H4" s="1218"/>
      <c r="I4" s="1224"/>
      <c r="J4" s="1224"/>
      <c r="K4" s="572"/>
      <c r="L4" s="1254"/>
      <c r="M4" s="573"/>
      <c r="N4" s="1266"/>
      <c r="O4" s="1267"/>
      <c r="Q4" s="574"/>
      <c r="R4" s="1253"/>
      <c r="S4" s="1253"/>
    </row>
    <row r="5" spans="1:19" s="564" customFormat="1">
      <c r="A5" s="575" t="s">
        <v>250</v>
      </c>
      <c r="B5" s="571">
        <f>IF(ISERROR(kWh_waterkracht),0,kWh_waterkracht)</f>
        <v>0</v>
      </c>
      <c r="C5" s="1222"/>
      <c r="D5" s="1225"/>
      <c r="E5" s="1225"/>
      <c r="F5" s="1228"/>
      <c r="G5" s="1231"/>
      <c r="H5" s="1219"/>
      <c r="I5" s="1225"/>
      <c r="J5" s="1225"/>
      <c r="K5" s="1225"/>
      <c r="L5" s="1255"/>
      <c r="M5" s="576"/>
      <c r="N5" s="1268"/>
      <c r="O5" s="1269"/>
      <c r="Q5" s="574"/>
      <c r="R5" s="1253"/>
      <c r="S5" s="1253"/>
    </row>
    <row r="6" spans="1:19" s="564" customFormat="1">
      <c r="A6" s="575" t="s">
        <v>251</v>
      </c>
      <c r="B6" s="571">
        <f>IF(ISERROR((kWh_PV_kleiner_dan_10kW+kWh_PV_groter_dan_10kW)),0,(kWh_PV_kleiner_dan_10kW+kWh_PV_groter_dan_10kW))</f>
        <v>9143.1719817838966</v>
      </c>
      <c r="C6" s="1223"/>
      <c r="D6" s="1226"/>
      <c r="E6" s="1226"/>
      <c r="F6" s="1229"/>
      <c r="G6" s="1232"/>
      <c r="H6" s="1220"/>
      <c r="I6" s="1226"/>
      <c r="J6" s="1226"/>
      <c r="K6" s="1226"/>
      <c r="L6" s="1256"/>
      <c r="M6" s="576"/>
      <c r="N6" s="1268"/>
      <c r="O6" s="1269"/>
      <c r="Q6" s="574"/>
      <c r="R6" s="1253"/>
      <c r="S6" s="1253"/>
    </row>
    <row r="7" spans="1:19" s="564" customFormat="1">
      <c r="A7" s="577" t="s">
        <v>252</v>
      </c>
      <c r="B7" s="578">
        <f>N57</f>
        <v>0</v>
      </c>
      <c r="C7" s="579">
        <f>B100</f>
        <v>0</v>
      </c>
      <c r="D7" s="580"/>
      <c r="E7" s="580">
        <f>E100</f>
        <v>0</v>
      </c>
      <c r="F7" s="581"/>
      <c r="G7" s="582"/>
      <c r="H7" s="580">
        <f>I100</f>
        <v>0</v>
      </c>
      <c r="I7" s="580">
        <f>G100+F100</f>
        <v>0</v>
      </c>
      <c r="J7" s="580">
        <f>H100+D100+C100</f>
        <v>0</v>
      </c>
      <c r="K7" s="580"/>
      <c r="L7" s="583"/>
      <c r="M7" s="584">
        <f>C7*$C$11+D7*$D$11+E7*$E$11+F7*$F$11+G7*$G$11+H7*$H$11+I7*$I$11+J7*$J$11</f>
        <v>0</v>
      </c>
      <c r="N7" s="1268"/>
      <c r="O7" s="1269"/>
      <c r="Q7" s="574"/>
      <c r="R7" s="1253"/>
      <c r="S7" s="1253"/>
    </row>
    <row r="8" spans="1:19" s="564" customFormat="1" ht="17.45" customHeight="1" thickBot="1">
      <c r="A8" s="585" t="s">
        <v>248</v>
      </c>
      <c r="B8" s="586">
        <f>N88+'Eigen informatie GS &amp; warmtenet'!B12</f>
        <v>2187</v>
      </c>
      <c r="C8" s="587">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8">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8">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8">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9">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8">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8">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8">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6248.5714285714294</v>
      </c>
      <c r="K8" s="590">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1">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4">
        <f>C8*$C$11+D8*$D$11+E8*$E$11+F8*$F$11+G8*$G$11+H8*$H$11+I8*$I$11+J8*$J$11</f>
        <v>0</v>
      </c>
      <c r="N8" s="1270"/>
      <c r="O8" s="1271"/>
      <c r="P8" s="592"/>
      <c r="Q8" s="574"/>
      <c r="R8" s="1253"/>
      <c r="S8" s="1253"/>
    </row>
    <row r="9" spans="1:19" s="564" customFormat="1" ht="16.5" thickTop="1" thickBot="1">
      <c r="A9" s="593" t="s">
        <v>116</v>
      </c>
      <c r="B9" s="594">
        <f>SUM(B4:B8)</f>
        <v>11330.171981783897</v>
      </c>
      <c r="C9" s="595">
        <f t="shared" ref="C9:L9" si="0">SUM(C7:C8)</f>
        <v>0</v>
      </c>
      <c r="D9" s="595">
        <f t="shared" si="0"/>
        <v>0</v>
      </c>
      <c r="E9" s="595">
        <f t="shared" si="0"/>
        <v>0</v>
      </c>
      <c r="F9" s="595">
        <f t="shared" si="0"/>
        <v>0</v>
      </c>
      <c r="G9" s="595">
        <f t="shared" si="0"/>
        <v>0</v>
      </c>
      <c r="H9" s="595">
        <f t="shared" si="0"/>
        <v>0</v>
      </c>
      <c r="I9" s="595">
        <f t="shared" si="0"/>
        <v>0</v>
      </c>
      <c r="J9" s="595">
        <f t="shared" si="0"/>
        <v>6248.5714285714294</v>
      </c>
      <c r="K9" s="595">
        <f t="shared" si="0"/>
        <v>0</v>
      </c>
      <c r="L9" s="595">
        <f t="shared" si="0"/>
        <v>0</v>
      </c>
      <c r="M9" s="596">
        <f>SUM(M4:M8)</f>
        <v>0</v>
      </c>
      <c r="N9" s="597"/>
      <c r="P9" s="598"/>
      <c r="Q9" s="574"/>
      <c r="R9" s="598"/>
      <c r="S9" s="598"/>
    </row>
    <row r="10" spans="1:19" s="601" customFormat="1" ht="15.75" thickTop="1">
      <c r="A10" s="599"/>
      <c r="B10" s="600"/>
      <c r="C10" s="600"/>
      <c r="D10" s="600"/>
      <c r="E10" s="600"/>
      <c r="F10" s="600"/>
      <c r="G10" s="600"/>
      <c r="H10" s="600"/>
      <c r="I10" s="600"/>
      <c r="J10" s="600"/>
      <c r="K10" s="600"/>
      <c r="L10" s="600"/>
      <c r="N10" s="600"/>
      <c r="P10" s="600"/>
    </row>
    <row r="11" spans="1:19" s="601" customFormat="1">
      <c r="A11" s="602" t="s">
        <v>290</v>
      </c>
      <c r="B11" s="603"/>
      <c r="C11" s="603">
        <f>EF_CO2_aardgas</f>
        <v>0.20200000000000001</v>
      </c>
      <c r="D11" s="603">
        <f>EF_VLgas_CO2</f>
        <v>0.22700000000000001</v>
      </c>
      <c r="E11" s="603">
        <f>EF_stookolie_CO2</f>
        <v>0.26700000000000002</v>
      </c>
      <c r="F11" s="603">
        <f>EF_bruinkool_CO2</f>
        <v>0.35099999999999998</v>
      </c>
      <c r="G11" s="603">
        <f>EF_steenkool_CO2</f>
        <v>0.35399999999999998</v>
      </c>
      <c r="H11" s="603">
        <f>'EF brandstof'!M4</f>
        <v>0.33</v>
      </c>
      <c r="I11" s="603">
        <f>'EF brandstof'!J4</f>
        <v>0</v>
      </c>
      <c r="J11" s="603">
        <f>'EF brandstof'!L4</f>
        <v>0</v>
      </c>
      <c r="K11" s="603">
        <f>'EF brandstof'!L4</f>
        <v>0</v>
      </c>
      <c r="L11" s="603"/>
      <c r="N11" s="604"/>
      <c r="O11" s="604"/>
      <c r="P11" s="604"/>
    </row>
    <row r="12" spans="1:19" s="564" customFormat="1" ht="15.75" thickBot="1">
      <c r="A12" s="605"/>
      <c r="B12" s="604"/>
      <c r="C12" s="604"/>
      <c r="D12" s="604"/>
      <c r="E12" s="604"/>
      <c r="F12" s="604"/>
      <c r="G12" s="604"/>
      <c r="H12" s="604"/>
      <c r="I12" s="604"/>
      <c r="J12" s="604"/>
      <c r="K12" s="604"/>
      <c r="L12" s="604"/>
      <c r="M12" s="604"/>
      <c r="N12" s="604"/>
      <c r="O12" s="604"/>
      <c r="P12" s="604"/>
    </row>
    <row r="13" spans="1:19" s="564" customFormat="1" ht="17.25" thickTop="1" thickBot="1">
      <c r="A13" s="1236" t="s">
        <v>253</v>
      </c>
      <c r="B13" s="1236" t="s">
        <v>254</v>
      </c>
      <c r="C13" s="1243" t="s">
        <v>255</v>
      </c>
      <c r="D13" s="1244"/>
      <c r="E13" s="1244"/>
      <c r="F13" s="1244"/>
      <c r="G13" s="1244"/>
      <c r="H13" s="1244"/>
      <c r="I13" s="1244"/>
      <c r="J13" s="1244"/>
      <c r="K13" s="1244"/>
      <c r="L13" s="1245"/>
      <c r="M13" s="1240" t="s">
        <v>244</v>
      </c>
      <c r="N13" s="1257" t="s">
        <v>256</v>
      </c>
      <c r="O13" s="1240"/>
      <c r="P13" s="1235"/>
      <c r="Q13" s="1235"/>
      <c r="R13" s="1235"/>
    </row>
    <row r="14" spans="1:19" s="564" customFormat="1" ht="15.75" thickBot="1">
      <c r="A14" s="1237"/>
      <c r="B14" s="1237"/>
      <c r="C14" s="1259" t="s">
        <v>197</v>
      </c>
      <c r="D14" s="1260"/>
      <c r="E14" s="1260"/>
      <c r="F14" s="1260"/>
      <c r="G14" s="1261"/>
      <c r="H14" s="1262" t="s">
        <v>245</v>
      </c>
      <c r="I14" s="1262" t="s">
        <v>246</v>
      </c>
      <c r="J14" s="1263" t="s">
        <v>234</v>
      </c>
      <c r="K14" s="1251" t="s">
        <v>257</v>
      </c>
      <c r="L14" s="1233" t="s">
        <v>127</v>
      </c>
      <c r="M14" s="1241"/>
      <c r="N14" s="1258"/>
      <c r="O14" s="1241"/>
      <c r="P14" s="1235"/>
      <c r="Q14" s="1235"/>
      <c r="R14" s="1235"/>
    </row>
    <row r="15" spans="1:19" s="564" customFormat="1" ht="40.700000000000003" customHeight="1" thickBot="1">
      <c r="A15" s="1238"/>
      <c r="B15" s="1238"/>
      <c r="C15" s="606" t="s">
        <v>199</v>
      </c>
      <c r="D15" s="566" t="s">
        <v>200</v>
      </c>
      <c r="E15" s="607" t="s">
        <v>201</v>
      </c>
      <c r="F15" s="566" t="s">
        <v>203</v>
      </c>
      <c r="G15" s="608" t="s">
        <v>204</v>
      </c>
      <c r="H15" s="1250"/>
      <c r="I15" s="1250"/>
      <c r="J15" s="1264"/>
      <c r="K15" s="1252"/>
      <c r="L15" s="1265"/>
      <c r="M15" s="1242"/>
      <c r="N15" s="1239"/>
      <c r="O15" s="1242"/>
      <c r="P15" s="1235"/>
      <c r="Q15" s="1235"/>
      <c r="R15" s="1235"/>
    </row>
    <row r="16" spans="1:19" s="564" customFormat="1" ht="15.75" thickTop="1">
      <c r="A16" s="609" t="s">
        <v>252</v>
      </c>
      <c r="B16" s="610">
        <f>O57</f>
        <v>0</v>
      </c>
      <c r="C16" s="611">
        <f>B101</f>
        <v>0</v>
      </c>
      <c r="D16" s="612"/>
      <c r="E16" s="612">
        <f>E101</f>
        <v>0</v>
      </c>
      <c r="F16" s="613"/>
      <c r="G16" s="614"/>
      <c r="H16" s="611">
        <f>I101</f>
        <v>0</v>
      </c>
      <c r="I16" s="612">
        <f>G101+F101</f>
        <v>0</v>
      </c>
      <c r="J16" s="612">
        <f>H101+D101+C101</f>
        <v>0</v>
      </c>
      <c r="K16" s="612"/>
      <c r="L16" s="615"/>
      <c r="M16" s="616">
        <f>C16*$C$21+E16*$E$21+H16*$H$21+I16*$I$21+J16*$J$21+D16*$D$21+F16*$F$21+G16*$G$21+K16*$K$21+L16*$L$21</f>
        <v>0</v>
      </c>
      <c r="N16" s="1275"/>
      <c r="O16" s="1276"/>
      <c r="P16" s="617"/>
      <c r="Q16" s="1277"/>
      <c r="R16" s="1277"/>
    </row>
    <row r="17" spans="1:26" s="564" customFormat="1">
      <c r="A17" s="618" t="s">
        <v>258</v>
      </c>
      <c r="B17" s="619">
        <f>'Eigen informatie GS &amp; warmtenet'!B32</f>
        <v>0</v>
      </c>
      <c r="C17" s="580">
        <f>'Eigen informatie GS &amp; warmtenet'!B35</f>
        <v>0</v>
      </c>
      <c r="D17" s="580">
        <f>'Eigen informatie GS &amp; warmtenet'!B36</f>
        <v>0</v>
      </c>
      <c r="E17" s="580">
        <f>'Eigen informatie GS &amp; warmtenet'!B37</f>
        <v>0</v>
      </c>
      <c r="F17" s="580">
        <f>'Eigen informatie GS &amp; warmtenet'!B38</f>
        <v>0</v>
      </c>
      <c r="G17" s="580">
        <f>'Eigen informatie GS &amp; warmtenet'!B39</f>
        <v>0</v>
      </c>
      <c r="H17" s="580">
        <f>'Eigen informatie GS &amp; warmtenet'!B40</f>
        <v>0</v>
      </c>
      <c r="I17" s="580">
        <f>'Eigen informatie GS &amp; warmtenet'!B41</f>
        <v>0</v>
      </c>
      <c r="J17" s="580">
        <f>'Eigen informatie GS &amp; warmtenet'!B42</f>
        <v>0</v>
      </c>
      <c r="K17" s="580">
        <f>'Eigen informatie GS &amp; warmtenet'!B43</f>
        <v>0</v>
      </c>
      <c r="L17" s="580">
        <f>'Eigen informatie GS &amp; warmtenet'!B44</f>
        <v>0</v>
      </c>
      <c r="M17" s="616">
        <f>C17*$C$21+E17*$E$21+H17*$H$21+I17*$I$21+J17*$J$21+D17*$D$21+F17*$F$21+G17*$G$21+K17*$K$21+L17*$L$21</f>
        <v>0</v>
      </c>
      <c r="N17" s="1278"/>
      <c r="O17" s="1279"/>
      <c r="P17" s="574"/>
      <c r="Q17" s="1253"/>
      <c r="R17" s="1253"/>
    </row>
    <row r="18" spans="1:26" s="564" customFormat="1" ht="15.75" thickBot="1">
      <c r="A18" s="585" t="s">
        <v>248</v>
      </c>
      <c r="B18" s="619">
        <f>'Eigen informatie GS &amp; warmtenet'!B11</f>
        <v>0</v>
      </c>
      <c r="C18" s="62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2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2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2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2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2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2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2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2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2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6">
        <f>C18*$C$21+E18*$E$21+H18*$H$21+I18*$I$21+J18*$J$21+D18*$D$21+F18*$F$21+G18*$G$21+K18*$K$21+L18*$L$21</f>
        <v>0</v>
      </c>
      <c r="N18" s="1280"/>
      <c r="O18" s="1281"/>
      <c r="P18" s="574"/>
      <c r="Q18" s="1253"/>
      <c r="R18" s="1253"/>
    </row>
    <row r="19" spans="1:26" s="564" customFormat="1" ht="16.5" thickTop="1" thickBot="1">
      <c r="A19" s="593" t="s">
        <v>116</v>
      </c>
      <c r="B19" s="594">
        <f>SUM(B16:B18)</f>
        <v>0</v>
      </c>
      <c r="C19" s="594">
        <f>SUM(C16:C18)</f>
        <v>0</v>
      </c>
      <c r="D19" s="594">
        <f t="shared" ref="D19:M19" si="1">SUM(D16:D18)</f>
        <v>0</v>
      </c>
      <c r="E19" s="594">
        <f t="shared" si="1"/>
        <v>0</v>
      </c>
      <c r="F19" s="594">
        <f t="shared" si="1"/>
        <v>0</v>
      </c>
      <c r="G19" s="594">
        <f t="shared" si="1"/>
        <v>0</v>
      </c>
      <c r="H19" s="594">
        <f t="shared" si="1"/>
        <v>0</v>
      </c>
      <c r="I19" s="594">
        <f t="shared" si="1"/>
        <v>0</v>
      </c>
      <c r="J19" s="594">
        <f t="shared" si="1"/>
        <v>0</v>
      </c>
      <c r="K19" s="594">
        <f t="shared" si="1"/>
        <v>0</v>
      </c>
      <c r="L19" s="594">
        <f t="shared" si="1"/>
        <v>0</v>
      </c>
      <c r="M19" s="621">
        <f t="shared" si="1"/>
        <v>0</v>
      </c>
      <c r="N19" s="1272"/>
      <c r="O19" s="1273"/>
      <c r="P19" s="574"/>
      <c r="Q19" s="1274"/>
      <c r="R19" s="1274"/>
    </row>
    <row r="20" spans="1:26" s="564" customFormat="1" ht="15.75" thickTop="1">
      <c r="A20" s="617"/>
      <c r="B20" s="574"/>
      <c r="C20" s="574"/>
      <c r="D20" s="574"/>
      <c r="E20" s="574"/>
      <c r="F20" s="574"/>
      <c r="G20" s="574"/>
      <c r="H20" s="574"/>
      <c r="I20" s="574"/>
      <c r="J20" s="574"/>
      <c r="K20" s="574"/>
      <c r="L20" s="574"/>
      <c r="M20" s="574"/>
      <c r="N20" s="598"/>
      <c r="O20" s="598"/>
      <c r="P20" s="574"/>
      <c r="Q20" s="598"/>
      <c r="R20" s="598"/>
    </row>
    <row r="21" spans="1:26" s="601" customFormat="1">
      <c r="A21" s="602" t="s">
        <v>290</v>
      </c>
      <c r="B21" s="603"/>
      <c r="C21" s="603">
        <f>EF_CO2_aardgas</f>
        <v>0.20200000000000001</v>
      </c>
      <c r="D21" s="603">
        <f>EF_VLgas_CO2</f>
        <v>0.22700000000000001</v>
      </c>
      <c r="E21" s="603">
        <f>EF_stookolie_CO2</f>
        <v>0.26700000000000002</v>
      </c>
      <c r="F21" s="603">
        <f>EF_bruinkool_CO2</f>
        <v>0.35099999999999998</v>
      </c>
      <c r="G21" s="603">
        <f>EF_steenkool_CO2</f>
        <v>0.35399999999999998</v>
      </c>
      <c r="H21" s="603">
        <f>'EF brandstof'!M4</f>
        <v>0.33</v>
      </c>
      <c r="I21" s="603">
        <f>'EF brandstof'!J4</f>
        <v>0</v>
      </c>
      <c r="J21" s="603">
        <f>'EF brandstof'!L4</f>
        <v>0</v>
      </c>
      <c r="K21" s="603">
        <f>'EF brandstof'!L4</f>
        <v>0</v>
      </c>
      <c r="L21" s="603"/>
      <c r="M21" s="604"/>
      <c r="N21" s="604"/>
      <c r="O21" s="604"/>
      <c r="P21" s="604"/>
      <c r="Q21" s="564"/>
    </row>
    <row r="22" spans="1:26" s="601" customFormat="1">
      <c r="A22" s="605"/>
      <c r="B22" s="604"/>
      <c r="C22" s="604"/>
      <c r="D22" s="604"/>
      <c r="E22" s="604"/>
      <c r="F22" s="604"/>
      <c r="G22" s="604"/>
      <c r="H22" s="604"/>
      <c r="I22" s="604"/>
      <c r="J22" s="604"/>
      <c r="K22" s="604"/>
      <c r="L22" s="604"/>
      <c r="M22" s="604"/>
      <c r="N22" s="604"/>
      <c r="O22" s="604"/>
      <c r="P22" s="604"/>
      <c r="Q22" s="564"/>
    </row>
    <row r="23" spans="1:26" s="601" customFormat="1">
      <c r="A23" s="605"/>
      <c r="B23" s="604"/>
      <c r="C23" s="604"/>
      <c r="D23" s="622"/>
      <c r="E23" s="622"/>
      <c r="F23" s="622"/>
      <c r="G23" s="604"/>
      <c r="H23" s="604"/>
      <c r="I23" s="604"/>
      <c r="J23" s="604"/>
      <c r="K23" s="604"/>
      <c r="L23" s="604"/>
      <c r="M23" s="604"/>
      <c r="N23" s="604"/>
      <c r="O23" s="604"/>
      <c r="P23" s="604"/>
    </row>
    <row r="24" spans="1:26" s="601" customFormat="1">
      <c r="A24" s="605"/>
      <c r="B24" s="604"/>
      <c r="C24" s="604"/>
      <c r="D24" s="622"/>
      <c r="E24" s="622"/>
      <c r="F24" s="622"/>
      <c r="G24" s="604"/>
      <c r="H24" s="604"/>
      <c r="I24" s="604"/>
      <c r="J24" s="604"/>
      <c r="K24" s="604"/>
      <c r="L24" s="604"/>
      <c r="M24" s="604"/>
      <c r="N24" s="604"/>
      <c r="O24" s="604"/>
      <c r="P24" s="604"/>
    </row>
    <row r="25" spans="1:26" s="564" customFormat="1" ht="15.75" thickBot="1">
      <c r="B25" s="622"/>
      <c r="C25" s="622"/>
      <c r="D25" s="622"/>
      <c r="E25" s="622"/>
      <c r="F25" s="622"/>
      <c r="G25" s="622"/>
      <c r="H25" s="622"/>
      <c r="I25" s="622"/>
      <c r="J25" s="622"/>
      <c r="K25" s="622"/>
      <c r="L25" s="622"/>
      <c r="M25" s="622"/>
      <c r="N25" s="622"/>
      <c r="O25" s="623"/>
      <c r="P25" s="623"/>
    </row>
    <row r="26" spans="1:26" s="564" customFormat="1" ht="45">
      <c r="A26" s="624" t="s">
        <v>279</v>
      </c>
      <c r="B26" s="669" t="s">
        <v>90</v>
      </c>
      <c r="C26" s="669" t="s">
        <v>91</v>
      </c>
      <c r="D26" s="669" t="s">
        <v>92</v>
      </c>
      <c r="E26" s="669" t="s">
        <v>93</v>
      </c>
      <c r="F26" s="669" t="s">
        <v>94</v>
      </c>
      <c r="G26" s="669" t="s">
        <v>95</v>
      </c>
      <c r="H26" s="669" t="s">
        <v>96</v>
      </c>
      <c r="I26" s="669" t="s">
        <v>97</v>
      </c>
      <c r="J26" s="669" t="s">
        <v>98</v>
      </c>
      <c r="K26" s="669" t="s">
        <v>99</v>
      </c>
      <c r="L26" s="669" t="s">
        <v>100</v>
      </c>
      <c r="M26" s="670" t="s">
        <v>298</v>
      </c>
      <c r="N26" s="670" t="s">
        <v>101</v>
      </c>
      <c r="O26" s="670" t="s">
        <v>102</v>
      </c>
      <c r="P26" s="670" t="s">
        <v>544</v>
      </c>
      <c r="Q26" s="670" t="s">
        <v>103</v>
      </c>
      <c r="R26" s="670" t="s">
        <v>104</v>
      </c>
      <c r="S26" s="670" t="s">
        <v>105</v>
      </c>
      <c r="T26" s="670" t="s">
        <v>106</v>
      </c>
      <c r="U26" s="670" t="s">
        <v>107</v>
      </c>
      <c r="V26" s="670" t="s">
        <v>108</v>
      </c>
      <c r="W26" s="669" t="s">
        <v>109</v>
      </c>
      <c r="X26" s="669" t="s">
        <v>299</v>
      </c>
      <c r="Y26" s="669" t="s">
        <v>110</v>
      </c>
      <c r="Z26" s="671" t="s">
        <v>300</v>
      </c>
    </row>
    <row r="27" spans="1:26" s="626" customFormat="1" ht="12.75">
      <c r="A27" s="625"/>
      <c r="B27" s="852"/>
      <c r="C27" s="852"/>
      <c r="D27" s="673"/>
      <c r="E27" s="672"/>
      <c r="F27" s="672"/>
      <c r="G27" s="672"/>
      <c r="H27" s="672"/>
      <c r="I27" s="672"/>
      <c r="J27" s="851"/>
      <c r="K27" s="851"/>
      <c r="L27" s="672"/>
      <c r="M27" s="672"/>
      <c r="N27" s="672"/>
      <c r="O27" s="672"/>
      <c r="P27" s="672"/>
      <c r="Q27" s="672"/>
      <c r="R27" s="672"/>
      <c r="S27" s="672"/>
      <c r="T27" s="672"/>
      <c r="U27" s="672"/>
      <c r="V27" s="672"/>
      <c r="W27" s="672"/>
      <c r="X27" s="672"/>
      <c r="Y27" s="672"/>
      <c r="Z27" s="674"/>
    </row>
    <row r="28" spans="1:26" s="626" customFormat="1" ht="12.75">
      <c r="A28" s="625"/>
      <c r="B28" s="852"/>
      <c r="C28" s="852"/>
      <c r="D28" s="673"/>
      <c r="E28" s="672"/>
      <c r="F28" s="672"/>
      <c r="G28" s="672"/>
      <c r="H28" s="672"/>
      <c r="I28" s="672"/>
      <c r="J28" s="851"/>
      <c r="K28" s="851"/>
      <c r="L28" s="672"/>
      <c r="M28" s="672"/>
      <c r="N28" s="672"/>
      <c r="O28" s="672"/>
      <c r="P28" s="672"/>
      <c r="Q28" s="672"/>
      <c r="R28" s="672"/>
      <c r="S28" s="672"/>
      <c r="T28" s="672"/>
      <c r="U28" s="672"/>
      <c r="V28" s="672"/>
      <c r="W28" s="672"/>
      <c r="X28" s="672"/>
      <c r="Y28" s="672"/>
      <c r="Z28" s="674"/>
    </row>
    <row r="29" spans="1:26" s="626" customFormat="1" ht="12.75">
      <c r="A29" s="625"/>
      <c r="B29" s="852"/>
      <c r="C29" s="852"/>
      <c r="D29" s="673"/>
      <c r="E29" s="672"/>
      <c r="F29" s="672"/>
      <c r="G29" s="672"/>
      <c r="H29" s="672"/>
      <c r="I29" s="672"/>
      <c r="J29" s="851"/>
      <c r="K29" s="851"/>
      <c r="L29" s="672"/>
      <c r="M29" s="672"/>
      <c r="N29" s="672"/>
      <c r="O29" s="672"/>
      <c r="P29" s="672"/>
      <c r="Q29" s="672"/>
      <c r="R29" s="672"/>
      <c r="S29" s="672"/>
      <c r="T29" s="672"/>
      <c r="U29" s="672"/>
      <c r="V29" s="672"/>
      <c r="W29" s="672"/>
      <c r="X29" s="672"/>
      <c r="Y29" s="672"/>
      <c r="Z29" s="674"/>
    </row>
    <row r="30" spans="1:26" s="626" customFormat="1" ht="12.75">
      <c r="A30" s="625"/>
      <c r="B30" s="852"/>
      <c r="C30" s="852"/>
      <c r="D30" s="673"/>
      <c r="E30" s="672"/>
      <c r="F30" s="672"/>
      <c r="G30" s="672"/>
      <c r="H30" s="672"/>
      <c r="I30" s="672"/>
      <c r="J30" s="851"/>
      <c r="K30" s="851"/>
      <c r="L30" s="672"/>
      <c r="M30" s="672"/>
      <c r="N30" s="672"/>
      <c r="O30" s="672"/>
      <c r="P30" s="672"/>
      <c r="Q30" s="672"/>
      <c r="R30" s="672"/>
      <c r="S30" s="672"/>
      <c r="T30" s="672"/>
      <c r="U30" s="672"/>
      <c r="V30" s="672"/>
      <c r="W30" s="672"/>
      <c r="X30" s="672"/>
      <c r="Y30" s="672"/>
      <c r="Z30" s="674"/>
    </row>
    <row r="31" spans="1:26" s="626" customFormat="1" ht="12.75">
      <c r="A31" s="625"/>
      <c r="B31" s="852"/>
      <c r="C31" s="852"/>
      <c r="D31" s="673"/>
      <c r="E31" s="672"/>
      <c r="F31" s="672"/>
      <c r="G31" s="672"/>
      <c r="H31" s="672"/>
      <c r="I31" s="672"/>
      <c r="J31" s="851"/>
      <c r="K31" s="851"/>
      <c r="L31" s="672"/>
      <c r="M31" s="672"/>
      <c r="N31" s="672"/>
      <c r="O31" s="672"/>
      <c r="P31" s="672"/>
      <c r="Q31" s="672"/>
      <c r="R31" s="672"/>
      <c r="S31" s="672"/>
      <c r="T31" s="672"/>
      <c r="U31" s="672"/>
      <c r="V31" s="672"/>
      <c r="W31" s="672"/>
      <c r="X31" s="672"/>
      <c r="Y31" s="672"/>
      <c r="Z31" s="674"/>
    </row>
    <row r="32" spans="1:26" s="626" customFormat="1" ht="12.75">
      <c r="A32" s="625"/>
      <c r="B32" s="852"/>
      <c r="C32" s="852"/>
      <c r="D32" s="673"/>
      <c r="E32" s="672"/>
      <c r="F32" s="672"/>
      <c r="G32" s="672"/>
      <c r="H32" s="672"/>
      <c r="I32" s="672"/>
      <c r="J32" s="851"/>
      <c r="K32" s="851"/>
      <c r="L32" s="672"/>
      <c r="M32" s="672"/>
      <c r="N32" s="672"/>
      <c r="O32" s="672"/>
      <c r="P32" s="672"/>
      <c r="Q32" s="672"/>
      <c r="R32" s="672"/>
      <c r="S32" s="672"/>
      <c r="T32" s="672"/>
      <c r="U32" s="672"/>
      <c r="V32" s="672"/>
      <c r="W32" s="672"/>
      <c r="X32" s="672"/>
      <c r="Y32" s="672"/>
      <c r="Z32" s="674"/>
    </row>
    <row r="33" spans="1:26" s="626" customFormat="1" ht="12.75">
      <c r="A33" s="625"/>
      <c r="B33" s="852"/>
      <c r="C33" s="852"/>
      <c r="D33" s="673"/>
      <c r="E33" s="672"/>
      <c r="F33" s="672"/>
      <c r="G33" s="672"/>
      <c r="H33" s="672"/>
      <c r="I33" s="672"/>
      <c r="J33" s="851"/>
      <c r="K33" s="851"/>
      <c r="L33" s="672"/>
      <c r="M33" s="672"/>
      <c r="N33" s="672"/>
      <c r="O33" s="672"/>
      <c r="P33" s="672"/>
      <c r="Q33" s="672"/>
      <c r="R33" s="672"/>
      <c r="S33" s="672"/>
      <c r="T33" s="672"/>
      <c r="U33" s="672"/>
      <c r="V33" s="672"/>
      <c r="W33" s="672"/>
      <c r="X33" s="672"/>
      <c r="Y33" s="672"/>
      <c r="Z33" s="674"/>
    </row>
    <row r="34" spans="1:26" s="626" customFormat="1" ht="12.75">
      <c r="A34" s="625"/>
      <c r="B34" s="852"/>
      <c r="C34" s="852"/>
      <c r="D34" s="673"/>
      <c r="E34" s="672"/>
      <c r="F34" s="672"/>
      <c r="G34" s="672"/>
      <c r="H34" s="672"/>
      <c r="I34" s="672"/>
      <c r="J34" s="851"/>
      <c r="K34" s="851"/>
      <c r="L34" s="672"/>
      <c r="M34" s="672"/>
      <c r="N34" s="672"/>
      <c r="O34" s="672"/>
      <c r="P34" s="672"/>
      <c r="Q34" s="672"/>
      <c r="R34" s="672"/>
      <c r="S34" s="672"/>
      <c r="T34" s="672"/>
      <c r="U34" s="672"/>
      <c r="V34" s="672"/>
      <c r="W34" s="672"/>
      <c r="X34" s="672"/>
      <c r="Y34" s="672"/>
      <c r="Z34" s="674"/>
    </row>
    <row r="35" spans="1:26" s="626" customFormat="1" ht="12.75">
      <c r="A35" s="625"/>
      <c r="B35" s="852"/>
      <c r="C35" s="852"/>
      <c r="D35" s="673"/>
      <c r="E35" s="672"/>
      <c r="F35" s="672"/>
      <c r="G35" s="672"/>
      <c r="H35" s="672"/>
      <c r="I35" s="672"/>
      <c r="J35" s="851"/>
      <c r="K35" s="851"/>
      <c r="L35" s="672"/>
      <c r="M35" s="672"/>
      <c r="N35" s="672"/>
      <c r="O35" s="672"/>
      <c r="P35" s="672"/>
      <c r="Q35" s="672"/>
      <c r="R35" s="672"/>
      <c r="S35" s="672"/>
      <c r="T35" s="672"/>
      <c r="U35" s="672"/>
      <c r="V35" s="672"/>
      <c r="W35" s="672"/>
      <c r="X35" s="672"/>
      <c r="Y35" s="672"/>
      <c r="Z35" s="674"/>
    </row>
    <row r="36" spans="1:26" s="626" customFormat="1" ht="12.75">
      <c r="A36" s="625"/>
      <c r="B36" s="852"/>
      <c r="C36" s="852"/>
      <c r="D36" s="673"/>
      <c r="E36" s="672"/>
      <c r="F36" s="672"/>
      <c r="G36" s="672"/>
      <c r="H36" s="672"/>
      <c r="I36" s="672"/>
      <c r="J36" s="851"/>
      <c r="K36" s="851"/>
      <c r="L36" s="672"/>
      <c r="M36" s="672"/>
      <c r="N36" s="672"/>
      <c r="O36" s="672"/>
      <c r="P36" s="672"/>
      <c r="Q36" s="672"/>
      <c r="R36" s="672"/>
      <c r="S36" s="672"/>
      <c r="T36" s="672"/>
      <c r="U36" s="672"/>
      <c r="V36" s="672"/>
      <c r="W36" s="672"/>
      <c r="X36" s="672"/>
      <c r="Y36" s="672"/>
      <c r="Z36" s="674"/>
    </row>
    <row r="37" spans="1:26" s="626" customFormat="1" ht="12.75">
      <c r="A37" s="625"/>
      <c r="B37" s="852"/>
      <c r="C37" s="852"/>
      <c r="D37" s="673"/>
      <c r="E37" s="672"/>
      <c r="F37" s="672"/>
      <c r="G37" s="672"/>
      <c r="H37" s="672"/>
      <c r="I37" s="672"/>
      <c r="J37" s="851"/>
      <c r="K37" s="851"/>
      <c r="L37" s="672"/>
      <c r="M37" s="672"/>
      <c r="N37" s="672"/>
      <c r="O37" s="672"/>
      <c r="P37" s="672"/>
      <c r="Q37" s="672"/>
      <c r="R37" s="672"/>
      <c r="S37" s="672"/>
      <c r="T37" s="672"/>
      <c r="U37" s="672"/>
      <c r="V37" s="672"/>
      <c r="W37" s="672"/>
      <c r="X37" s="672"/>
      <c r="Y37" s="672"/>
      <c r="Z37" s="674"/>
    </row>
    <row r="38" spans="1:26" s="626" customFormat="1" ht="12.75">
      <c r="A38" s="625"/>
      <c r="B38" s="852"/>
      <c r="C38" s="852"/>
      <c r="D38" s="673"/>
      <c r="E38" s="672"/>
      <c r="F38" s="672"/>
      <c r="G38" s="672"/>
      <c r="H38" s="672"/>
      <c r="I38" s="672"/>
      <c r="J38" s="851"/>
      <c r="K38" s="851"/>
      <c r="L38" s="672"/>
      <c r="M38" s="672"/>
      <c r="N38" s="672"/>
      <c r="O38" s="672"/>
      <c r="P38" s="672"/>
      <c r="Q38" s="672"/>
      <c r="R38" s="672"/>
      <c r="S38" s="672"/>
      <c r="T38" s="672"/>
      <c r="U38" s="672"/>
      <c r="V38" s="672"/>
      <c r="W38" s="672"/>
      <c r="X38" s="672"/>
      <c r="Y38" s="672"/>
      <c r="Z38" s="674"/>
    </row>
    <row r="39" spans="1:26" s="626" customFormat="1" ht="12.75">
      <c r="A39" s="625"/>
      <c r="B39" s="852"/>
      <c r="C39" s="852"/>
      <c r="D39" s="673"/>
      <c r="E39" s="672"/>
      <c r="F39" s="672"/>
      <c r="G39" s="672"/>
      <c r="H39" s="672"/>
      <c r="I39" s="672"/>
      <c r="J39" s="851"/>
      <c r="K39" s="851"/>
      <c r="L39" s="672"/>
      <c r="M39" s="672"/>
      <c r="N39" s="672"/>
      <c r="O39" s="672"/>
      <c r="P39" s="672"/>
      <c r="Q39" s="672"/>
      <c r="R39" s="672"/>
      <c r="S39" s="672"/>
      <c r="T39" s="672"/>
      <c r="U39" s="672"/>
      <c r="V39" s="672"/>
      <c r="W39" s="672"/>
      <c r="X39" s="672"/>
      <c r="Y39" s="672"/>
      <c r="Z39" s="674"/>
    </row>
    <row r="40" spans="1:26" s="626" customFormat="1" ht="12.75">
      <c r="A40" s="625"/>
      <c r="B40" s="852"/>
      <c r="C40" s="852"/>
      <c r="D40" s="673"/>
      <c r="E40" s="672"/>
      <c r="F40" s="672"/>
      <c r="G40" s="672"/>
      <c r="H40" s="672"/>
      <c r="I40" s="672"/>
      <c r="J40" s="851"/>
      <c r="K40" s="851"/>
      <c r="L40" s="672"/>
      <c r="M40" s="672"/>
      <c r="N40" s="672"/>
      <c r="O40" s="672"/>
      <c r="P40" s="672"/>
      <c r="Q40" s="672"/>
      <c r="R40" s="672"/>
      <c r="S40" s="672"/>
      <c r="T40" s="672"/>
      <c r="U40" s="672"/>
      <c r="V40" s="672"/>
      <c r="W40" s="672"/>
      <c r="X40" s="672"/>
      <c r="Y40" s="672"/>
      <c r="Z40" s="674"/>
    </row>
    <row r="41" spans="1:26" s="626" customFormat="1" ht="12.75">
      <c r="A41" s="625"/>
      <c r="B41" s="852"/>
      <c r="C41" s="852"/>
      <c r="D41" s="673"/>
      <c r="E41" s="672"/>
      <c r="F41" s="672"/>
      <c r="G41" s="672"/>
      <c r="H41" s="672"/>
      <c r="I41" s="672"/>
      <c r="J41" s="851"/>
      <c r="K41" s="851"/>
      <c r="L41" s="672"/>
      <c r="M41" s="672"/>
      <c r="N41" s="672"/>
      <c r="O41" s="672"/>
      <c r="P41" s="672"/>
      <c r="Q41" s="672"/>
      <c r="R41" s="672"/>
      <c r="S41" s="672"/>
      <c r="T41" s="672"/>
      <c r="U41" s="672"/>
      <c r="V41" s="672"/>
      <c r="W41" s="672"/>
      <c r="X41" s="672"/>
      <c r="Y41" s="672"/>
      <c r="Z41" s="674"/>
    </row>
    <row r="42" spans="1:26" s="626" customFormat="1" ht="12.75">
      <c r="A42" s="625"/>
      <c r="B42" s="852"/>
      <c r="C42" s="852"/>
      <c r="D42" s="673"/>
      <c r="E42" s="672"/>
      <c r="F42" s="672"/>
      <c r="G42" s="672"/>
      <c r="H42" s="672"/>
      <c r="I42" s="672"/>
      <c r="J42" s="851"/>
      <c r="K42" s="851"/>
      <c r="L42" s="672"/>
      <c r="M42" s="672"/>
      <c r="N42" s="672"/>
      <c r="O42" s="672"/>
      <c r="P42" s="672"/>
      <c r="Q42" s="672"/>
      <c r="R42" s="672"/>
      <c r="S42" s="672"/>
      <c r="T42" s="672"/>
      <c r="U42" s="672"/>
      <c r="V42" s="672"/>
      <c r="W42" s="672"/>
      <c r="X42" s="672"/>
      <c r="Y42" s="672"/>
      <c r="Z42" s="674"/>
    </row>
    <row r="43" spans="1:26" s="626" customFormat="1" ht="12.75">
      <c r="A43" s="625"/>
      <c r="B43" s="852"/>
      <c r="C43" s="852"/>
      <c r="D43" s="673"/>
      <c r="E43" s="672"/>
      <c r="F43" s="672"/>
      <c r="G43" s="672"/>
      <c r="H43" s="672"/>
      <c r="I43" s="672"/>
      <c r="J43" s="851"/>
      <c r="K43" s="851"/>
      <c r="L43" s="672"/>
      <c r="M43" s="672"/>
      <c r="N43" s="672"/>
      <c r="O43" s="672"/>
      <c r="P43" s="672"/>
      <c r="Q43" s="672"/>
      <c r="R43" s="672"/>
      <c r="S43" s="672"/>
      <c r="T43" s="672"/>
      <c r="U43" s="672"/>
      <c r="V43" s="672"/>
      <c r="W43" s="672"/>
      <c r="X43" s="672"/>
      <c r="Y43" s="672"/>
      <c r="Z43" s="674"/>
    </row>
    <row r="44" spans="1:26" s="626" customFormat="1" ht="12.75">
      <c r="A44" s="625"/>
      <c r="B44" s="852"/>
      <c r="C44" s="852"/>
      <c r="D44" s="673"/>
      <c r="E44" s="672"/>
      <c r="F44" s="672"/>
      <c r="G44" s="672"/>
      <c r="H44" s="672"/>
      <c r="I44" s="672"/>
      <c r="J44" s="851"/>
      <c r="K44" s="851"/>
      <c r="L44" s="672"/>
      <c r="M44" s="672"/>
      <c r="N44" s="672"/>
      <c r="O44" s="672"/>
      <c r="P44" s="672"/>
      <c r="Q44" s="672"/>
      <c r="R44" s="672"/>
      <c r="S44" s="672"/>
      <c r="T44" s="672"/>
      <c r="U44" s="672"/>
      <c r="V44" s="672"/>
      <c r="W44" s="672"/>
      <c r="X44" s="672"/>
      <c r="Y44" s="672"/>
      <c r="Z44" s="674"/>
    </row>
    <row r="45" spans="1:26" s="626" customFormat="1" ht="12.75">
      <c r="A45" s="625"/>
      <c r="B45" s="852"/>
      <c r="C45" s="852"/>
      <c r="D45" s="673"/>
      <c r="E45" s="672"/>
      <c r="F45" s="672"/>
      <c r="G45" s="672"/>
      <c r="H45" s="672"/>
      <c r="I45" s="672"/>
      <c r="J45" s="851"/>
      <c r="K45" s="851"/>
      <c r="L45" s="672"/>
      <c r="M45" s="672"/>
      <c r="N45" s="672"/>
      <c r="O45" s="672"/>
      <c r="P45" s="672"/>
      <c r="Q45" s="672"/>
      <c r="R45" s="672"/>
      <c r="S45" s="672"/>
      <c r="T45" s="672"/>
      <c r="U45" s="672"/>
      <c r="V45" s="672"/>
      <c r="W45" s="672"/>
      <c r="X45" s="672"/>
      <c r="Y45" s="672"/>
      <c r="Z45" s="674"/>
    </row>
    <row r="46" spans="1:26" s="626" customFormat="1" ht="12.75">
      <c r="A46" s="625"/>
      <c r="B46" s="852"/>
      <c r="C46" s="852"/>
      <c r="D46" s="673"/>
      <c r="E46" s="672"/>
      <c r="F46" s="672"/>
      <c r="G46" s="672"/>
      <c r="H46" s="672"/>
      <c r="I46" s="672"/>
      <c r="J46" s="851"/>
      <c r="K46" s="851"/>
      <c r="L46" s="672"/>
      <c r="M46" s="672"/>
      <c r="N46" s="672"/>
      <c r="O46" s="672"/>
      <c r="P46" s="672"/>
      <c r="Q46" s="672"/>
      <c r="R46" s="672"/>
      <c r="S46" s="672"/>
      <c r="T46" s="672"/>
      <c r="U46" s="672"/>
      <c r="V46" s="672"/>
      <c r="W46" s="672"/>
      <c r="X46" s="672"/>
      <c r="Y46" s="672"/>
      <c r="Z46" s="674"/>
    </row>
    <row r="47" spans="1:26" s="626" customFormat="1" ht="12.75">
      <c r="A47" s="625"/>
      <c r="B47" s="852"/>
      <c r="C47" s="852"/>
      <c r="D47" s="673"/>
      <c r="E47" s="672"/>
      <c r="F47" s="672"/>
      <c r="G47" s="672"/>
      <c r="H47" s="672"/>
      <c r="I47" s="672"/>
      <c r="J47" s="851"/>
      <c r="K47" s="851"/>
      <c r="L47" s="672"/>
      <c r="M47" s="672"/>
      <c r="N47" s="672"/>
      <c r="O47" s="672"/>
      <c r="P47" s="672"/>
      <c r="Q47" s="672"/>
      <c r="R47" s="672"/>
      <c r="S47" s="672"/>
      <c r="T47" s="672"/>
      <c r="U47" s="672"/>
      <c r="V47" s="672"/>
      <c r="W47" s="672"/>
      <c r="X47" s="672"/>
      <c r="Y47" s="672"/>
      <c r="Z47" s="674"/>
    </row>
    <row r="48" spans="1:26" s="626" customFormat="1" ht="12.75">
      <c r="A48" s="625"/>
      <c r="B48" s="852"/>
      <c r="C48" s="852"/>
      <c r="D48" s="673"/>
      <c r="E48" s="672"/>
      <c r="F48" s="672"/>
      <c r="G48" s="672"/>
      <c r="H48" s="672"/>
      <c r="I48" s="672"/>
      <c r="J48" s="851"/>
      <c r="K48" s="851"/>
      <c r="L48" s="672"/>
      <c r="M48" s="672"/>
      <c r="N48" s="672"/>
      <c r="O48" s="672"/>
      <c r="P48" s="672"/>
      <c r="Q48" s="672"/>
      <c r="R48" s="672"/>
      <c r="S48" s="672"/>
      <c r="T48" s="672"/>
      <c r="U48" s="672"/>
      <c r="V48" s="672"/>
      <c r="W48" s="672"/>
      <c r="X48" s="672"/>
      <c r="Y48" s="672"/>
      <c r="Z48" s="674"/>
    </row>
    <row r="49" spans="1:26" s="626" customFormat="1" ht="12.75">
      <c r="A49" s="625"/>
      <c r="B49" s="852"/>
      <c r="C49" s="852"/>
      <c r="D49" s="673"/>
      <c r="E49" s="672"/>
      <c r="F49" s="672"/>
      <c r="G49" s="672"/>
      <c r="H49" s="672"/>
      <c r="I49" s="672"/>
      <c r="J49" s="851"/>
      <c r="K49" s="851"/>
      <c r="L49" s="672"/>
      <c r="M49" s="672"/>
      <c r="N49" s="672"/>
      <c r="O49" s="672"/>
      <c r="P49" s="672"/>
      <c r="Q49" s="672"/>
      <c r="R49" s="672"/>
      <c r="S49" s="672"/>
      <c r="T49" s="672"/>
      <c r="U49" s="672"/>
      <c r="V49" s="672"/>
      <c r="W49" s="672"/>
      <c r="X49" s="672"/>
      <c r="Y49" s="672"/>
      <c r="Z49" s="674"/>
    </row>
    <row r="50" spans="1:26" s="626" customFormat="1" ht="12.75">
      <c r="A50" s="627"/>
      <c r="B50" s="852"/>
      <c r="C50" s="852"/>
      <c r="D50" s="673"/>
      <c r="E50" s="672"/>
      <c r="F50" s="672"/>
      <c r="G50" s="672"/>
      <c r="H50" s="672"/>
      <c r="I50" s="672"/>
      <c r="J50" s="851"/>
      <c r="K50" s="851"/>
      <c r="L50" s="672"/>
      <c r="M50" s="672"/>
      <c r="N50" s="672"/>
      <c r="O50" s="672"/>
      <c r="P50" s="672"/>
      <c r="Q50" s="672"/>
      <c r="R50" s="672"/>
      <c r="S50" s="672"/>
      <c r="T50" s="672"/>
      <c r="U50" s="672"/>
      <c r="V50" s="672"/>
      <c r="W50" s="672"/>
      <c r="X50" s="672"/>
      <c r="Y50" s="672"/>
      <c r="Z50" s="674"/>
    </row>
    <row r="51" spans="1:26" s="626" customFormat="1" ht="12.75">
      <c r="A51" s="627"/>
      <c r="B51" s="852"/>
      <c r="C51" s="852"/>
      <c r="D51" s="672"/>
      <c r="E51" s="672"/>
      <c r="F51" s="672"/>
      <c r="G51" s="672"/>
      <c r="H51" s="672"/>
      <c r="I51" s="672"/>
      <c r="J51" s="851"/>
      <c r="K51" s="851"/>
      <c r="L51" s="672"/>
      <c r="M51" s="672"/>
      <c r="N51" s="672"/>
      <c r="O51" s="672"/>
      <c r="P51" s="672"/>
      <c r="Q51" s="672"/>
      <c r="R51" s="672"/>
      <c r="S51" s="672"/>
      <c r="T51" s="672"/>
      <c r="U51" s="672"/>
      <c r="V51" s="672"/>
      <c r="W51" s="672"/>
      <c r="X51" s="672"/>
      <c r="Y51" s="672"/>
      <c r="Z51" s="674"/>
    </row>
    <row r="52" spans="1:26" s="626" customFormat="1" ht="12.75">
      <c r="A52" s="627"/>
      <c r="B52" s="852"/>
      <c r="C52" s="852"/>
      <c r="D52" s="672"/>
      <c r="E52" s="672"/>
      <c r="F52" s="672"/>
      <c r="G52" s="672"/>
      <c r="H52" s="672"/>
      <c r="I52" s="672"/>
      <c r="J52" s="851"/>
      <c r="K52" s="851"/>
      <c r="L52" s="672"/>
      <c r="M52" s="672"/>
      <c r="N52" s="672"/>
      <c r="O52" s="672"/>
      <c r="P52" s="672"/>
      <c r="Q52" s="672"/>
      <c r="R52" s="672"/>
      <c r="S52" s="672"/>
      <c r="T52" s="672"/>
      <c r="U52" s="672"/>
      <c r="V52" s="672"/>
      <c r="W52" s="672"/>
      <c r="X52" s="672"/>
      <c r="Y52" s="672"/>
      <c r="Z52" s="674"/>
    </row>
    <row r="53" spans="1:26" s="626" customFormat="1" ht="12.75">
      <c r="A53" s="627"/>
      <c r="B53" s="852"/>
      <c r="C53" s="852"/>
      <c r="D53" s="672"/>
      <c r="E53" s="672"/>
      <c r="F53" s="672"/>
      <c r="G53" s="672"/>
      <c r="H53" s="672"/>
      <c r="I53" s="672"/>
      <c r="J53" s="851"/>
      <c r="K53" s="851"/>
      <c r="L53" s="672"/>
      <c r="M53" s="672"/>
      <c r="N53" s="672"/>
      <c r="O53" s="672"/>
      <c r="P53" s="672"/>
      <c r="Q53" s="672"/>
      <c r="R53" s="672"/>
      <c r="S53" s="672"/>
      <c r="T53" s="672"/>
      <c r="U53" s="672"/>
      <c r="V53" s="672"/>
      <c r="W53" s="672"/>
      <c r="X53" s="672"/>
      <c r="Y53" s="672"/>
      <c r="Z53" s="674"/>
    </row>
    <row r="54" spans="1:26" s="626" customFormat="1" ht="12.75">
      <c r="A54" s="627"/>
      <c r="B54" s="852"/>
      <c r="C54" s="852"/>
      <c r="D54" s="672"/>
      <c r="E54" s="672"/>
      <c r="F54" s="672"/>
      <c r="G54" s="672"/>
      <c r="H54" s="672"/>
      <c r="I54" s="672"/>
      <c r="J54" s="851"/>
      <c r="K54" s="851"/>
      <c r="L54" s="672"/>
      <c r="M54" s="672"/>
      <c r="N54" s="672"/>
      <c r="O54" s="672"/>
      <c r="P54" s="672"/>
      <c r="Q54" s="672"/>
      <c r="R54" s="672"/>
      <c r="S54" s="672"/>
      <c r="T54" s="672"/>
      <c r="U54" s="672"/>
      <c r="V54" s="672"/>
      <c r="W54" s="672"/>
      <c r="X54" s="672"/>
      <c r="Y54" s="672"/>
      <c r="Z54" s="674"/>
    </row>
    <row r="55" spans="1:26" s="626" customFormat="1" ht="12.75">
      <c r="A55" s="627"/>
      <c r="B55" s="852"/>
      <c r="C55" s="852"/>
      <c r="D55" s="672"/>
      <c r="E55" s="672"/>
      <c r="F55" s="672"/>
      <c r="G55" s="672"/>
      <c r="H55" s="672"/>
      <c r="I55" s="672"/>
      <c r="J55" s="851"/>
      <c r="K55" s="851"/>
      <c r="L55" s="672"/>
      <c r="M55" s="672"/>
      <c r="N55" s="672"/>
      <c r="O55" s="672"/>
      <c r="P55" s="672"/>
      <c r="Q55" s="672"/>
      <c r="R55" s="672"/>
      <c r="S55" s="672"/>
      <c r="T55" s="672"/>
      <c r="U55" s="672"/>
      <c r="V55" s="672"/>
      <c r="W55" s="672"/>
      <c r="X55" s="672"/>
      <c r="Y55" s="672"/>
      <c r="Z55" s="674"/>
    </row>
    <row r="56" spans="1:26" s="626" customFormat="1" ht="12.75">
      <c r="A56" s="627"/>
      <c r="B56" s="852"/>
      <c r="C56" s="852"/>
      <c r="D56" s="672"/>
      <c r="E56" s="672"/>
      <c r="F56" s="672"/>
      <c r="G56" s="672"/>
      <c r="H56" s="672"/>
      <c r="I56" s="672"/>
      <c r="J56" s="851"/>
      <c r="K56" s="851"/>
      <c r="L56" s="672"/>
      <c r="M56" s="672"/>
      <c r="N56" s="672"/>
      <c r="O56" s="672"/>
      <c r="P56" s="672"/>
      <c r="Q56" s="672"/>
      <c r="R56" s="672"/>
      <c r="S56" s="672"/>
      <c r="T56" s="672"/>
      <c r="U56" s="672"/>
      <c r="V56" s="672"/>
      <c r="W56" s="672"/>
      <c r="X56" s="672"/>
      <c r="Y56" s="672"/>
      <c r="Z56" s="674"/>
    </row>
    <row r="57" spans="1:26" s="605" customFormat="1">
      <c r="A57" s="628" t="s">
        <v>280</v>
      </c>
      <c r="B57" s="629"/>
      <c r="C57" s="629"/>
      <c r="D57" s="629"/>
      <c r="E57" s="629"/>
      <c r="F57" s="629"/>
      <c r="G57" s="629"/>
      <c r="H57" s="629"/>
      <c r="I57" s="629"/>
      <c r="J57" s="629"/>
      <c r="K57" s="629"/>
      <c r="L57" s="630"/>
      <c r="M57" s="630">
        <f>SUM(M27:M56)</f>
        <v>0</v>
      </c>
      <c r="N57" s="630">
        <f>SUM(N27:N56)</f>
        <v>0</v>
      </c>
      <c r="O57" s="630">
        <f t="shared" ref="O57:W57" si="2">SUM(O27:O56)</f>
        <v>0</v>
      </c>
      <c r="P57" s="630">
        <f t="shared" si="2"/>
        <v>0</v>
      </c>
      <c r="Q57" s="630">
        <f t="shared" si="2"/>
        <v>0</v>
      </c>
      <c r="R57" s="630">
        <f t="shared" si="2"/>
        <v>0</v>
      </c>
      <c r="S57" s="630">
        <f t="shared" si="2"/>
        <v>0</v>
      </c>
      <c r="T57" s="630">
        <f t="shared" si="2"/>
        <v>0</v>
      </c>
      <c r="U57" s="630">
        <f t="shared" si="2"/>
        <v>0</v>
      </c>
      <c r="V57" s="630">
        <f t="shared" si="2"/>
        <v>0</v>
      </c>
      <c r="W57" s="630">
        <f t="shared" si="2"/>
        <v>0</v>
      </c>
      <c r="X57" s="631"/>
      <c r="Y57" s="631"/>
      <c r="Z57" s="632"/>
    </row>
    <row r="58" spans="1:26" s="605" customFormat="1">
      <c r="A58" s="628" t="s">
        <v>287</v>
      </c>
      <c r="B58" s="629"/>
      <c r="C58" s="629"/>
      <c r="D58" s="629"/>
      <c r="E58" s="629"/>
      <c r="F58" s="629"/>
      <c r="G58" s="629"/>
      <c r="H58" s="629"/>
      <c r="I58" s="629"/>
      <c r="J58" s="629"/>
      <c r="K58" s="629"/>
      <c r="L58" s="630"/>
      <c r="M58" s="630">
        <f>SUMIF($Z$27:$Z$56,"industrie",M27:M56)</f>
        <v>0</v>
      </c>
      <c r="N58" s="630">
        <f t="shared" ref="N58:W58" si="3">SUMIF($Z$27:$Z$56,"industrie",N27:N56)</f>
        <v>0</v>
      </c>
      <c r="O58" s="630">
        <f t="shared" si="3"/>
        <v>0</v>
      </c>
      <c r="P58" s="630">
        <f t="shared" si="3"/>
        <v>0</v>
      </c>
      <c r="Q58" s="630">
        <f t="shared" si="3"/>
        <v>0</v>
      </c>
      <c r="R58" s="630">
        <f t="shared" si="3"/>
        <v>0</v>
      </c>
      <c r="S58" s="630">
        <f t="shared" si="3"/>
        <v>0</v>
      </c>
      <c r="T58" s="630">
        <f t="shared" si="3"/>
        <v>0</v>
      </c>
      <c r="U58" s="630">
        <f t="shared" si="3"/>
        <v>0</v>
      </c>
      <c r="V58" s="630">
        <f t="shared" si="3"/>
        <v>0</v>
      </c>
      <c r="W58" s="630">
        <f t="shared" si="3"/>
        <v>0</v>
      </c>
      <c r="X58" s="631"/>
      <c r="Y58" s="631"/>
      <c r="Z58" s="632"/>
    </row>
    <row r="59" spans="1:26" s="605" customFormat="1">
      <c r="A59" s="628" t="s">
        <v>288</v>
      </c>
      <c r="B59" s="629"/>
      <c r="C59" s="629"/>
      <c r="D59" s="629"/>
      <c r="E59" s="629"/>
      <c r="F59" s="629"/>
      <c r="G59" s="629"/>
      <c r="H59" s="629"/>
      <c r="I59" s="629"/>
      <c r="J59" s="629"/>
      <c r="K59" s="629"/>
      <c r="L59" s="630"/>
      <c r="M59" s="630">
        <f ca="1">SUMIF($Z$27:AA56,"tertiair",M27:M56)</f>
        <v>0</v>
      </c>
      <c r="N59" s="630">
        <f ca="1">SUMIF($Z$27:AB56,"tertiair",N27:N56)</f>
        <v>0</v>
      </c>
      <c r="O59" s="630">
        <f ca="1">SUMIF($Z$27:AC56,"tertiair",O27:O56)</f>
        <v>0</v>
      </c>
      <c r="P59" s="630">
        <f ca="1">SUMIF($Z$27:AD56,"tertiair",P27:P56)</f>
        <v>0</v>
      </c>
      <c r="Q59" s="630">
        <f ca="1">SUMIF($Z$27:AE56,"tertiair",Q27:Q56)</f>
        <v>0</v>
      </c>
      <c r="R59" s="630">
        <f ca="1">SUMIF($Z$27:AF56,"tertiair",R27:R56)</f>
        <v>0</v>
      </c>
      <c r="S59" s="630">
        <f ca="1">SUMIF($Z$27:AG56,"tertiair",S27:S56)</f>
        <v>0</v>
      </c>
      <c r="T59" s="630">
        <f ca="1">SUMIF($Z$27:AH56,"tertiair",T27:T56)</f>
        <v>0</v>
      </c>
      <c r="U59" s="630">
        <f ca="1">SUMIF($Z$27:AI56,"tertiair",U27:U56)</f>
        <v>0</v>
      </c>
      <c r="V59" s="630">
        <f ca="1">SUMIF($Z$27:AJ56,"tertiair",V27:V56)</f>
        <v>0</v>
      </c>
      <c r="W59" s="630">
        <f ca="1">SUMIF($Z$27:AK56,"tertiair",W27:W56)</f>
        <v>0</v>
      </c>
      <c r="X59" s="631"/>
      <c r="Y59" s="631"/>
      <c r="Z59" s="632"/>
    </row>
    <row r="60" spans="1:26" s="605" customFormat="1" ht="15.75" thickBot="1">
      <c r="A60" s="633" t="s">
        <v>289</v>
      </c>
      <c r="B60" s="634"/>
      <c r="C60" s="634"/>
      <c r="D60" s="634"/>
      <c r="E60" s="634"/>
      <c r="F60" s="634"/>
      <c r="G60" s="634"/>
      <c r="H60" s="634"/>
      <c r="I60" s="634"/>
      <c r="J60" s="634"/>
      <c r="K60" s="634"/>
      <c r="L60" s="635"/>
      <c r="M60" s="635">
        <f>SUMIF($Z$27:$Z$56,"landbouw",M27:M56)</f>
        <v>0</v>
      </c>
      <c r="N60" s="635">
        <f t="shared" ref="N60:W60" si="4">SUMIF($Z$27:$Z$56,"landbouw",N27:N56)</f>
        <v>0</v>
      </c>
      <c r="O60" s="635">
        <f t="shared" si="4"/>
        <v>0</v>
      </c>
      <c r="P60" s="635">
        <f t="shared" si="4"/>
        <v>0</v>
      </c>
      <c r="Q60" s="635">
        <f t="shared" si="4"/>
        <v>0</v>
      </c>
      <c r="R60" s="635">
        <f t="shared" si="4"/>
        <v>0</v>
      </c>
      <c r="S60" s="635">
        <f t="shared" si="4"/>
        <v>0</v>
      </c>
      <c r="T60" s="635">
        <f t="shared" si="4"/>
        <v>0</v>
      </c>
      <c r="U60" s="635">
        <f t="shared" si="4"/>
        <v>0</v>
      </c>
      <c r="V60" s="635">
        <f t="shared" si="4"/>
        <v>0</v>
      </c>
      <c r="W60" s="635">
        <f t="shared" si="4"/>
        <v>0</v>
      </c>
      <c r="X60" s="636"/>
      <c r="Y60" s="636"/>
      <c r="Z60" s="637"/>
    </row>
    <row r="61" spans="1:26" s="564" customFormat="1" ht="15.75" thickBot="1">
      <c r="A61" s="638"/>
      <c r="B61" s="639"/>
      <c r="C61" s="639"/>
      <c r="D61" s="639"/>
      <c r="E61" s="639"/>
      <c r="F61" s="639"/>
      <c r="G61" s="639"/>
      <c r="H61" s="639"/>
      <c r="I61" s="639"/>
      <c r="J61" s="639"/>
      <c r="K61" s="639"/>
      <c r="L61" s="622"/>
      <c r="M61" s="622"/>
      <c r="N61" s="622"/>
      <c r="O61" s="623"/>
      <c r="P61" s="623"/>
    </row>
    <row r="62" spans="1:26" s="564" customFormat="1" ht="45">
      <c r="A62" s="640" t="s">
        <v>281</v>
      </c>
      <c r="B62" s="669" t="s">
        <v>90</v>
      </c>
      <c r="C62" s="669" t="s">
        <v>91</v>
      </c>
      <c r="D62" s="669" t="s">
        <v>92</v>
      </c>
      <c r="E62" s="669" t="s">
        <v>93</v>
      </c>
      <c r="F62" s="669" t="s">
        <v>94</v>
      </c>
      <c r="G62" s="669" t="s">
        <v>95</v>
      </c>
      <c r="H62" s="669" t="s">
        <v>96</v>
      </c>
      <c r="I62" s="669" t="s">
        <v>97</v>
      </c>
      <c r="J62" s="669" t="s">
        <v>98</v>
      </c>
      <c r="K62" s="669" t="s">
        <v>99</v>
      </c>
      <c r="L62" s="669" t="s">
        <v>100</v>
      </c>
      <c r="M62" s="670" t="s">
        <v>298</v>
      </c>
      <c r="N62" s="670" t="s">
        <v>101</v>
      </c>
      <c r="O62" s="670" t="s">
        <v>102</v>
      </c>
      <c r="P62" s="670" t="s">
        <v>544</v>
      </c>
      <c r="Q62" s="670" t="s">
        <v>103</v>
      </c>
      <c r="R62" s="670" t="s">
        <v>104</v>
      </c>
      <c r="S62" s="670" t="s">
        <v>105</v>
      </c>
      <c r="T62" s="670" t="s">
        <v>106</v>
      </c>
      <c r="U62" s="670" t="s">
        <v>107</v>
      </c>
      <c r="V62" s="670" t="s">
        <v>108</v>
      </c>
      <c r="W62" s="669" t="s">
        <v>109</v>
      </c>
      <c r="X62" s="669" t="s">
        <v>299</v>
      </c>
      <c r="Y62" s="669" t="s">
        <v>110</v>
      </c>
      <c r="Z62" s="671" t="s">
        <v>300</v>
      </c>
    </row>
    <row r="63" spans="1:26" s="641" customFormat="1" ht="63.75">
      <c r="A63" s="627"/>
      <c r="B63" s="852">
        <v>41048</v>
      </c>
      <c r="C63" s="852">
        <v>9400</v>
      </c>
      <c r="D63" s="675" t="s">
        <v>871</v>
      </c>
      <c r="E63" s="675" t="s">
        <v>872</v>
      </c>
      <c r="F63" s="675" t="s">
        <v>873</v>
      </c>
      <c r="G63" s="675" t="s">
        <v>874</v>
      </c>
      <c r="H63" s="675" t="s">
        <v>875</v>
      </c>
      <c r="I63" s="675" t="s">
        <v>876</v>
      </c>
      <c r="J63" s="851">
        <v>38826</v>
      </c>
      <c r="K63" s="851">
        <v>38930</v>
      </c>
      <c r="L63" s="675" t="s">
        <v>877</v>
      </c>
      <c r="M63" s="675">
        <v>486</v>
      </c>
      <c r="N63" s="675">
        <v>2187</v>
      </c>
      <c r="O63" s="675">
        <v>0</v>
      </c>
      <c r="P63" s="675">
        <v>0</v>
      </c>
      <c r="Q63" s="675">
        <v>0</v>
      </c>
      <c r="R63" s="675">
        <v>6248.5714285714294</v>
      </c>
      <c r="S63" s="675">
        <v>0</v>
      </c>
      <c r="T63" s="675">
        <v>0</v>
      </c>
      <c r="U63" s="675">
        <v>0</v>
      </c>
      <c r="V63" s="675">
        <v>0</v>
      </c>
      <c r="W63" s="675">
        <v>0</v>
      </c>
      <c r="X63" s="675">
        <v>1600</v>
      </c>
      <c r="Y63" s="675" t="s">
        <v>50</v>
      </c>
      <c r="Z63" s="676" t="s">
        <v>156</v>
      </c>
    </row>
    <row r="64" spans="1:26" s="641" customFormat="1" ht="12.75">
      <c r="A64" s="627"/>
      <c r="B64" s="852"/>
      <c r="C64" s="852"/>
      <c r="D64" s="675"/>
      <c r="E64" s="675"/>
      <c r="F64" s="675"/>
      <c r="G64" s="675"/>
      <c r="H64" s="675"/>
      <c r="I64" s="675"/>
      <c r="J64" s="851"/>
      <c r="K64" s="851"/>
      <c r="L64" s="675"/>
      <c r="M64" s="675"/>
      <c r="N64" s="675"/>
      <c r="O64" s="675"/>
      <c r="P64" s="675"/>
      <c r="Q64" s="675"/>
      <c r="R64" s="675"/>
      <c r="S64" s="675"/>
      <c r="T64" s="675"/>
      <c r="U64" s="675"/>
      <c r="V64" s="675"/>
      <c r="W64" s="675"/>
      <c r="X64" s="675"/>
      <c r="Y64" s="675"/>
      <c r="Z64" s="676"/>
    </row>
    <row r="65" spans="1:26" s="641" customFormat="1" ht="12.75">
      <c r="A65" s="627"/>
      <c r="B65" s="852"/>
      <c r="C65" s="852"/>
      <c r="D65" s="675"/>
      <c r="E65" s="675"/>
      <c r="F65" s="675"/>
      <c r="G65" s="675"/>
      <c r="H65" s="675"/>
      <c r="I65" s="675"/>
      <c r="J65" s="851"/>
      <c r="K65" s="851"/>
      <c r="L65" s="675"/>
      <c r="M65" s="675"/>
      <c r="N65" s="675"/>
      <c r="O65" s="675"/>
      <c r="P65" s="675"/>
      <c r="Q65" s="675"/>
      <c r="R65" s="675"/>
      <c r="S65" s="675"/>
      <c r="T65" s="675"/>
      <c r="U65" s="675"/>
      <c r="V65" s="675"/>
      <c r="W65" s="675"/>
      <c r="X65" s="675"/>
      <c r="Y65" s="675"/>
      <c r="Z65" s="676"/>
    </row>
    <row r="66" spans="1:26" s="641" customFormat="1" ht="12.75">
      <c r="A66" s="627"/>
      <c r="B66" s="852"/>
      <c r="C66" s="852"/>
      <c r="D66" s="675"/>
      <c r="E66" s="675"/>
      <c r="F66" s="675"/>
      <c r="G66" s="675"/>
      <c r="H66" s="675"/>
      <c r="I66" s="675"/>
      <c r="J66" s="851"/>
      <c r="K66" s="851"/>
      <c r="L66" s="675"/>
      <c r="M66" s="675"/>
      <c r="N66" s="675"/>
      <c r="O66" s="675"/>
      <c r="P66" s="675"/>
      <c r="Q66" s="675"/>
      <c r="R66" s="675"/>
      <c r="S66" s="675"/>
      <c r="T66" s="675"/>
      <c r="U66" s="675"/>
      <c r="V66" s="675"/>
      <c r="W66" s="675"/>
      <c r="X66" s="675"/>
      <c r="Y66" s="675"/>
      <c r="Z66" s="676"/>
    </row>
    <row r="67" spans="1:26" s="641" customFormat="1" ht="12.75">
      <c r="A67" s="627"/>
      <c r="B67" s="852"/>
      <c r="C67" s="852"/>
      <c r="D67" s="675"/>
      <c r="E67" s="675"/>
      <c r="F67" s="675"/>
      <c r="G67" s="675"/>
      <c r="H67" s="675"/>
      <c r="I67" s="675"/>
      <c r="J67" s="851"/>
      <c r="K67" s="851"/>
      <c r="L67" s="675"/>
      <c r="M67" s="675"/>
      <c r="N67" s="675"/>
      <c r="O67" s="675"/>
      <c r="P67" s="675"/>
      <c r="Q67" s="675"/>
      <c r="R67" s="675"/>
      <c r="S67" s="675"/>
      <c r="T67" s="675"/>
      <c r="U67" s="675"/>
      <c r="V67" s="675"/>
      <c r="W67" s="675"/>
      <c r="X67" s="675"/>
      <c r="Y67" s="675"/>
      <c r="Z67" s="676"/>
    </row>
    <row r="68" spans="1:26" s="641" customFormat="1" ht="12.75">
      <c r="A68" s="627"/>
      <c r="B68" s="852"/>
      <c r="C68" s="852"/>
      <c r="D68" s="675"/>
      <c r="E68" s="675"/>
      <c r="F68" s="675"/>
      <c r="G68" s="675"/>
      <c r="H68" s="675"/>
      <c r="I68" s="675"/>
      <c r="J68" s="851"/>
      <c r="K68" s="851"/>
      <c r="L68" s="675"/>
      <c r="M68" s="675"/>
      <c r="N68" s="675"/>
      <c r="O68" s="675"/>
      <c r="P68" s="675"/>
      <c r="Q68" s="675"/>
      <c r="R68" s="675"/>
      <c r="S68" s="675"/>
      <c r="T68" s="675"/>
      <c r="U68" s="675"/>
      <c r="V68" s="675"/>
      <c r="W68" s="675"/>
      <c r="X68" s="675"/>
      <c r="Y68" s="675"/>
      <c r="Z68" s="676"/>
    </row>
    <row r="69" spans="1:26" s="641" customFormat="1" ht="12.75">
      <c r="A69" s="627"/>
      <c r="B69" s="852"/>
      <c r="C69" s="852"/>
      <c r="D69" s="675"/>
      <c r="E69" s="675"/>
      <c r="F69" s="675"/>
      <c r="G69" s="675"/>
      <c r="H69" s="675"/>
      <c r="I69" s="675"/>
      <c r="J69" s="851"/>
      <c r="K69" s="851"/>
      <c r="L69" s="675"/>
      <c r="M69" s="675"/>
      <c r="N69" s="675"/>
      <c r="O69" s="675"/>
      <c r="P69" s="675"/>
      <c r="Q69" s="675"/>
      <c r="R69" s="675"/>
      <c r="S69" s="675"/>
      <c r="T69" s="675"/>
      <c r="U69" s="675"/>
      <c r="V69" s="675"/>
      <c r="W69" s="675"/>
      <c r="X69" s="675"/>
      <c r="Y69" s="675"/>
      <c r="Z69" s="676"/>
    </row>
    <row r="70" spans="1:26" s="641" customFormat="1" ht="12.75">
      <c r="A70" s="627"/>
      <c r="B70" s="852"/>
      <c r="C70" s="852"/>
      <c r="D70" s="675"/>
      <c r="E70" s="675"/>
      <c r="F70" s="675"/>
      <c r="G70" s="675"/>
      <c r="H70" s="675"/>
      <c r="I70" s="675"/>
      <c r="J70" s="851"/>
      <c r="K70" s="851"/>
      <c r="L70" s="675"/>
      <c r="M70" s="675"/>
      <c r="N70" s="675"/>
      <c r="O70" s="675"/>
      <c r="P70" s="675"/>
      <c r="Q70" s="675"/>
      <c r="R70" s="675"/>
      <c r="S70" s="675"/>
      <c r="T70" s="675"/>
      <c r="U70" s="675"/>
      <c r="V70" s="675"/>
      <c r="W70" s="675"/>
      <c r="X70" s="675"/>
      <c r="Y70" s="675"/>
      <c r="Z70" s="676"/>
    </row>
    <row r="71" spans="1:26" s="641" customFormat="1" ht="12.75">
      <c r="A71" s="627"/>
      <c r="B71" s="852"/>
      <c r="C71" s="852"/>
      <c r="D71" s="675"/>
      <c r="E71" s="675"/>
      <c r="F71" s="675"/>
      <c r="G71" s="675"/>
      <c r="H71" s="675"/>
      <c r="I71" s="675"/>
      <c r="J71" s="851"/>
      <c r="K71" s="851"/>
      <c r="L71" s="675"/>
      <c r="M71" s="675"/>
      <c r="N71" s="675"/>
      <c r="O71" s="675"/>
      <c r="P71" s="675"/>
      <c r="Q71" s="675"/>
      <c r="R71" s="675"/>
      <c r="S71" s="675"/>
      <c r="T71" s="675"/>
      <c r="U71" s="675"/>
      <c r="V71" s="675"/>
      <c r="W71" s="675"/>
      <c r="X71" s="675"/>
      <c r="Y71" s="675"/>
      <c r="Z71" s="676"/>
    </row>
    <row r="72" spans="1:26" s="641" customFormat="1" ht="12.75">
      <c r="A72" s="627"/>
      <c r="B72" s="852"/>
      <c r="C72" s="852"/>
      <c r="D72" s="675"/>
      <c r="E72" s="675"/>
      <c r="F72" s="675"/>
      <c r="G72" s="675"/>
      <c r="H72" s="675"/>
      <c r="I72" s="675"/>
      <c r="J72" s="851"/>
      <c r="K72" s="851"/>
      <c r="L72" s="675"/>
      <c r="M72" s="675"/>
      <c r="N72" s="675"/>
      <c r="O72" s="675"/>
      <c r="P72" s="675"/>
      <c r="Q72" s="675"/>
      <c r="R72" s="675"/>
      <c r="S72" s="675"/>
      <c r="T72" s="675"/>
      <c r="U72" s="675"/>
      <c r="V72" s="675"/>
      <c r="W72" s="675"/>
      <c r="X72" s="675"/>
      <c r="Y72" s="675"/>
      <c r="Z72" s="676"/>
    </row>
    <row r="73" spans="1:26" s="641" customFormat="1" ht="12.75">
      <c r="A73" s="627"/>
      <c r="B73" s="852"/>
      <c r="C73" s="852"/>
      <c r="D73" s="675"/>
      <c r="E73" s="675"/>
      <c r="F73" s="675"/>
      <c r="G73" s="675"/>
      <c r="H73" s="675"/>
      <c r="I73" s="675"/>
      <c r="J73" s="851"/>
      <c r="K73" s="851"/>
      <c r="L73" s="675"/>
      <c r="M73" s="675"/>
      <c r="N73" s="675"/>
      <c r="O73" s="675"/>
      <c r="P73" s="675"/>
      <c r="Q73" s="675"/>
      <c r="R73" s="675"/>
      <c r="S73" s="675"/>
      <c r="T73" s="675"/>
      <c r="U73" s="675"/>
      <c r="V73" s="675"/>
      <c r="W73" s="675"/>
      <c r="X73" s="675"/>
      <c r="Y73" s="675"/>
      <c r="Z73" s="676"/>
    </row>
    <row r="74" spans="1:26" s="641" customFormat="1" ht="12.75">
      <c r="A74" s="627"/>
      <c r="B74" s="852"/>
      <c r="C74" s="852"/>
      <c r="D74" s="675"/>
      <c r="E74" s="675"/>
      <c r="F74" s="675"/>
      <c r="G74" s="675"/>
      <c r="H74" s="675"/>
      <c r="I74" s="675"/>
      <c r="J74" s="851"/>
      <c r="K74" s="851"/>
      <c r="L74" s="675"/>
      <c r="M74" s="675"/>
      <c r="N74" s="675"/>
      <c r="O74" s="675"/>
      <c r="P74" s="675"/>
      <c r="Q74" s="675"/>
      <c r="R74" s="675"/>
      <c r="S74" s="675"/>
      <c r="T74" s="675"/>
      <c r="U74" s="675"/>
      <c r="V74" s="675"/>
      <c r="W74" s="675"/>
      <c r="X74" s="675"/>
      <c r="Y74" s="675"/>
      <c r="Z74" s="676"/>
    </row>
    <row r="75" spans="1:26" s="641" customFormat="1" ht="12.75">
      <c r="A75" s="627"/>
      <c r="B75" s="852"/>
      <c r="C75" s="852"/>
      <c r="D75" s="675"/>
      <c r="E75" s="675"/>
      <c r="F75" s="675"/>
      <c r="G75" s="675"/>
      <c r="H75" s="675"/>
      <c r="I75" s="675"/>
      <c r="J75" s="851"/>
      <c r="K75" s="851"/>
      <c r="L75" s="675"/>
      <c r="M75" s="675"/>
      <c r="N75" s="675"/>
      <c r="O75" s="675"/>
      <c r="P75" s="675"/>
      <c r="Q75" s="675"/>
      <c r="R75" s="675"/>
      <c r="S75" s="675"/>
      <c r="T75" s="675"/>
      <c r="U75" s="675"/>
      <c r="V75" s="675"/>
      <c r="W75" s="675"/>
      <c r="X75" s="675"/>
      <c r="Y75" s="675"/>
      <c r="Z75" s="676"/>
    </row>
    <row r="76" spans="1:26" s="641" customFormat="1" ht="12.75">
      <c r="A76" s="627"/>
      <c r="B76" s="852"/>
      <c r="C76" s="852"/>
      <c r="D76" s="675"/>
      <c r="E76" s="675"/>
      <c r="F76" s="675"/>
      <c r="G76" s="675"/>
      <c r="H76" s="675"/>
      <c r="I76" s="675"/>
      <c r="J76" s="851"/>
      <c r="K76" s="851"/>
      <c r="L76" s="675"/>
      <c r="M76" s="675"/>
      <c r="N76" s="675"/>
      <c r="O76" s="675"/>
      <c r="P76" s="675"/>
      <c r="Q76" s="675"/>
      <c r="R76" s="675"/>
      <c r="S76" s="675"/>
      <c r="T76" s="675"/>
      <c r="U76" s="675"/>
      <c r="V76" s="675"/>
      <c r="W76" s="675"/>
      <c r="X76" s="675"/>
      <c r="Y76" s="675"/>
      <c r="Z76" s="676"/>
    </row>
    <row r="77" spans="1:26" s="641" customFormat="1" ht="12.75">
      <c r="A77" s="627"/>
      <c r="B77" s="852"/>
      <c r="C77" s="852"/>
      <c r="D77" s="675"/>
      <c r="E77" s="675"/>
      <c r="F77" s="675"/>
      <c r="G77" s="675"/>
      <c r="H77" s="675"/>
      <c r="I77" s="675"/>
      <c r="J77" s="851"/>
      <c r="K77" s="851"/>
      <c r="L77" s="675"/>
      <c r="M77" s="675"/>
      <c r="N77" s="675"/>
      <c r="O77" s="675"/>
      <c r="P77" s="675"/>
      <c r="Q77" s="675"/>
      <c r="R77" s="675"/>
      <c r="S77" s="675"/>
      <c r="T77" s="675"/>
      <c r="U77" s="675"/>
      <c r="V77" s="675"/>
      <c r="W77" s="675"/>
      <c r="X77" s="675"/>
      <c r="Y77" s="675"/>
      <c r="Z77" s="676"/>
    </row>
    <row r="78" spans="1:26" s="641" customFormat="1" ht="12.75">
      <c r="A78" s="627"/>
      <c r="B78" s="852"/>
      <c r="C78" s="852"/>
      <c r="D78" s="675"/>
      <c r="E78" s="675"/>
      <c r="F78" s="675"/>
      <c r="G78" s="675"/>
      <c r="H78" s="675"/>
      <c r="I78" s="675"/>
      <c r="J78" s="851"/>
      <c r="K78" s="851"/>
      <c r="L78" s="675"/>
      <c r="M78" s="675"/>
      <c r="N78" s="675"/>
      <c r="O78" s="675"/>
      <c r="P78" s="675"/>
      <c r="Q78" s="675"/>
      <c r="R78" s="675"/>
      <c r="S78" s="675"/>
      <c r="T78" s="675"/>
      <c r="U78" s="675"/>
      <c r="V78" s="675"/>
      <c r="W78" s="675"/>
      <c r="X78" s="675"/>
      <c r="Y78" s="675"/>
      <c r="Z78" s="676"/>
    </row>
    <row r="79" spans="1:26" s="641" customFormat="1" ht="12.75">
      <c r="A79" s="627"/>
      <c r="B79" s="852"/>
      <c r="C79" s="852"/>
      <c r="D79" s="675"/>
      <c r="E79" s="675"/>
      <c r="F79" s="675"/>
      <c r="G79" s="675"/>
      <c r="H79" s="675"/>
      <c r="I79" s="675"/>
      <c r="J79" s="851"/>
      <c r="K79" s="851"/>
      <c r="L79" s="675"/>
      <c r="M79" s="675"/>
      <c r="N79" s="675"/>
      <c r="O79" s="675"/>
      <c r="P79" s="675"/>
      <c r="Q79" s="675"/>
      <c r="R79" s="675"/>
      <c r="S79" s="675"/>
      <c r="T79" s="675"/>
      <c r="U79" s="675"/>
      <c r="V79" s="675"/>
      <c r="W79" s="675"/>
      <c r="X79" s="675"/>
      <c r="Y79" s="675"/>
      <c r="Z79" s="676"/>
    </row>
    <row r="80" spans="1:26" s="641" customFormat="1" ht="12.75">
      <c r="A80" s="627"/>
      <c r="B80" s="852"/>
      <c r="C80" s="852"/>
      <c r="D80" s="675"/>
      <c r="E80" s="675"/>
      <c r="F80" s="675"/>
      <c r="G80" s="675"/>
      <c r="H80" s="675"/>
      <c r="I80" s="675"/>
      <c r="J80" s="851"/>
      <c r="K80" s="851"/>
      <c r="L80" s="675"/>
      <c r="M80" s="675"/>
      <c r="N80" s="675"/>
      <c r="O80" s="675"/>
      <c r="P80" s="675"/>
      <c r="Q80" s="675"/>
      <c r="R80" s="675"/>
      <c r="S80" s="675"/>
      <c r="T80" s="675"/>
      <c r="U80" s="675"/>
      <c r="V80" s="675"/>
      <c r="W80" s="675"/>
      <c r="X80" s="675"/>
      <c r="Y80" s="675"/>
      <c r="Z80" s="676"/>
    </row>
    <row r="81" spans="1:26" s="641" customFormat="1" ht="12.75">
      <c r="A81" s="627"/>
      <c r="B81" s="852"/>
      <c r="C81" s="852"/>
      <c r="D81" s="675"/>
      <c r="E81" s="675"/>
      <c r="F81" s="675"/>
      <c r="G81" s="675"/>
      <c r="H81" s="675"/>
      <c r="I81" s="675"/>
      <c r="J81" s="851"/>
      <c r="K81" s="851"/>
      <c r="L81" s="675"/>
      <c r="M81" s="675"/>
      <c r="N81" s="675"/>
      <c r="O81" s="675"/>
      <c r="P81" s="675"/>
      <c r="Q81" s="675"/>
      <c r="R81" s="675"/>
      <c r="S81" s="675"/>
      <c r="T81" s="675"/>
      <c r="U81" s="675"/>
      <c r="V81" s="675"/>
      <c r="W81" s="675"/>
      <c r="X81" s="675"/>
      <c r="Y81" s="675"/>
      <c r="Z81" s="676"/>
    </row>
    <row r="82" spans="1:26" s="641" customFormat="1" ht="12.75">
      <c r="A82" s="627"/>
      <c r="B82" s="852"/>
      <c r="C82" s="852"/>
      <c r="D82" s="675"/>
      <c r="E82" s="675"/>
      <c r="F82" s="675"/>
      <c r="G82" s="675"/>
      <c r="H82" s="675"/>
      <c r="I82" s="675"/>
      <c r="J82" s="851"/>
      <c r="K82" s="851"/>
      <c r="L82" s="675"/>
      <c r="M82" s="675"/>
      <c r="N82" s="675"/>
      <c r="O82" s="675"/>
      <c r="P82" s="675"/>
      <c r="Q82" s="675"/>
      <c r="R82" s="675"/>
      <c r="S82" s="675"/>
      <c r="T82" s="675"/>
      <c r="U82" s="675"/>
      <c r="V82" s="675"/>
      <c r="W82" s="675"/>
      <c r="X82" s="675"/>
      <c r="Y82" s="675"/>
      <c r="Z82" s="676"/>
    </row>
    <row r="83" spans="1:26" s="641" customFormat="1" ht="12.75">
      <c r="A83" s="627"/>
      <c r="B83" s="852"/>
      <c r="C83" s="852"/>
      <c r="D83" s="675"/>
      <c r="E83" s="675"/>
      <c r="F83" s="675"/>
      <c r="G83" s="675"/>
      <c r="H83" s="675"/>
      <c r="I83" s="675"/>
      <c r="J83" s="851"/>
      <c r="K83" s="851"/>
      <c r="L83" s="675"/>
      <c r="M83" s="675"/>
      <c r="N83" s="675"/>
      <c r="O83" s="675"/>
      <c r="P83" s="675"/>
      <c r="Q83" s="675"/>
      <c r="R83" s="675"/>
      <c r="S83" s="675"/>
      <c r="T83" s="675"/>
      <c r="U83" s="675"/>
      <c r="V83" s="675"/>
      <c r="W83" s="675"/>
      <c r="X83" s="675"/>
      <c r="Y83" s="675"/>
      <c r="Z83" s="676"/>
    </row>
    <row r="84" spans="1:26" s="641" customFormat="1" ht="12.75">
      <c r="A84" s="627"/>
      <c r="B84" s="852"/>
      <c r="C84" s="852"/>
      <c r="D84" s="675"/>
      <c r="E84" s="675"/>
      <c r="F84" s="675"/>
      <c r="G84" s="675"/>
      <c r="H84" s="675"/>
      <c r="I84" s="675"/>
      <c r="J84" s="851"/>
      <c r="K84" s="851"/>
      <c r="L84" s="675"/>
      <c r="M84" s="675"/>
      <c r="N84" s="675"/>
      <c r="O84" s="675"/>
      <c r="P84" s="675"/>
      <c r="Q84" s="675"/>
      <c r="R84" s="675"/>
      <c r="S84" s="675"/>
      <c r="T84" s="675"/>
      <c r="U84" s="675"/>
      <c r="V84" s="675"/>
      <c r="W84" s="675"/>
      <c r="X84" s="675"/>
      <c r="Y84" s="675"/>
      <c r="Z84" s="676"/>
    </row>
    <row r="85" spans="1:26" s="641" customFormat="1" ht="12.75">
      <c r="A85" s="627"/>
      <c r="B85" s="852"/>
      <c r="C85" s="852"/>
      <c r="D85" s="675"/>
      <c r="E85" s="675"/>
      <c r="F85" s="675"/>
      <c r="G85" s="675"/>
      <c r="H85" s="675"/>
      <c r="I85" s="675"/>
      <c r="J85" s="851"/>
      <c r="K85" s="851"/>
      <c r="L85" s="675"/>
      <c r="M85" s="675"/>
      <c r="N85" s="675"/>
      <c r="O85" s="675"/>
      <c r="P85" s="675"/>
      <c r="Q85" s="675"/>
      <c r="R85" s="675"/>
      <c r="S85" s="675"/>
      <c r="T85" s="675"/>
      <c r="U85" s="675"/>
      <c r="V85" s="675"/>
      <c r="W85" s="675"/>
      <c r="X85" s="675"/>
      <c r="Y85" s="675"/>
      <c r="Z85" s="676"/>
    </row>
    <row r="86" spans="1:26" s="641" customFormat="1" ht="12.75">
      <c r="A86" s="627"/>
      <c r="B86" s="852"/>
      <c r="C86" s="852"/>
      <c r="D86" s="675"/>
      <c r="E86" s="675"/>
      <c r="F86" s="675"/>
      <c r="G86" s="675"/>
      <c r="H86" s="675"/>
      <c r="I86" s="675"/>
      <c r="J86" s="851"/>
      <c r="K86" s="851"/>
      <c r="L86" s="675"/>
      <c r="M86" s="675"/>
      <c r="N86" s="675"/>
      <c r="O86" s="675"/>
      <c r="P86" s="675"/>
      <c r="Q86" s="675"/>
      <c r="R86" s="675"/>
      <c r="S86" s="675"/>
      <c r="T86" s="675"/>
      <c r="U86" s="675"/>
      <c r="V86" s="675"/>
      <c r="W86" s="675"/>
      <c r="X86" s="675"/>
      <c r="Y86" s="675"/>
      <c r="Z86" s="676"/>
    </row>
    <row r="87" spans="1:26" s="641" customFormat="1" ht="12.75">
      <c r="A87" s="627"/>
      <c r="B87" s="852"/>
      <c r="C87" s="852"/>
      <c r="D87" s="675"/>
      <c r="E87" s="675"/>
      <c r="F87" s="675"/>
      <c r="G87" s="675"/>
      <c r="H87" s="675"/>
      <c r="I87" s="675"/>
      <c r="J87" s="851"/>
      <c r="K87" s="851"/>
      <c r="L87" s="675"/>
      <c r="M87" s="675"/>
      <c r="N87" s="675"/>
      <c r="O87" s="675"/>
      <c r="P87" s="675"/>
      <c r="Q87" s="675"/>
      <c r="R87" s="675"/>
      <c r="S87" s="675"/>
      <c r="T87" s="675"/>
      <c r="U87" s="675"/>
      <c r="V87" s="675"/>
      <c r="W87" s="675"/>
      <c r="X87" s="675"/>
      <c r="Y87" s="675"/>
      <c r="Z87" s="676"/>
    </row>
    <row r="88" spans="1:26" s="605" customFormat="1">
      <c r="A88" s="628" t="s">
        <v>280</v>
      </c>
      <c r="B88" s="629"/>
      <c r="C88" s="629"/>
      <c r="D88" s="629"/>
      <c r="E88" s="629"/>
      <c r="F88" s="629"/>
      <c r="G88" s="629"/>
      <c r="H88" s="629"/>
      <c r="I88" s="629"/>
      <c r="J88" s="629"/>
      <c r="K88" s="629"/>
      <c r="L88" s="630"/>
      <c r="M88" s="630">
        <f>SUM(M63:M87)</f>
        <v>486</v>
      </c>
      <c r="N88" s="630">
        <f t="shared" ref="N88:W88" si="5">SUM(N63:N87)</f>
        <v>2187</v>
      </c>
      <c r="O88" s="630">
        <f t="shared" si="5"/>
        <v>0</v>
      </c>
      <c r="P88" s="630">
        <f t="shared" si="5"/>
        <v>0</v>
      </c>
      <c r="Q88" s="630">
        <f t="shared" si="5"/>
        <v>0</v>
      </c>
      <c r="R88" s="630">
        <f t="shared" si="5"/>
        <v>6248.5714285714294</v>
      </c>
      <c r="S88" s="630">
        <f t="shared" si="5"/>
        <v>0</v>
      </c>
      <c r="T88" s="630">
        <f t="shared" si="5"/>
        <v>0</v>
      </c>
      <c r="U88" s="630">
        <f t="shared" si="5"/>
        <v>0</v>
      </c>
      <c r="V88" s="630">
        <f t="shared" si="5"/>
        <v>0</v>
      </c>
      <c r="W88" s="630">
        <f t="shared" si="5"/>
        <v>0</v>
      </c>
      <c r="X88" s="631"/>
      <c r="Y88" s="631"/>
      <c r="Z88" s="632"/>
    </row>
    <row r="89" spans="1:26" s="605" customFormat="1">
      <c r="A89" s="628" t="s">
        <v>287</v>
      </c>
      <c r="B89" s="629"/>
      <c r="C89" s="629"/>
      <c r="D89" s="629"/>
      <c r="E89" s="629"/>
      <c r="F89" s="629"/>
      <c r="G89" s="629"/>
      <c r="H89" s="629"/>
      <c r="I89" s="629"/>
      <c r="J89" s="629"/>
      <c r="K89" s="629"/>
      <c r="L89" s="630"/>
      <c r="M89" s="630">
        <f>SUMIF($Z$63:$Z$87,"industrie",M63:M87)</f>
        <v>0</v>
      </c>
      <c r="N89" s="630">
        <f t="shared" ref="N89:W89" si="6">SUMIF($Z$63:$Z$87,"industrie",N63:N87)</f>
        <v>0</v>
      </c>
      <c r="O89" s="630">
        <f t="shared" si="6"/>
        <v>0</v>
      </c>
      <c r="P89" s="630">
        <f t="shared" si="6"/>
        <v>0</v>
      </c>
      <c r="Q89" s="630">
        <f t="shared" si="6"/>
        <v>0</v>
      </c>
      <c r="R89" s="630">
        <f t="shared" si="6"/>
        <v>0</v>
      </c>
      <c r="S89" s="630">
        <f t="shared" si="6"/>
        <v>0</v>
      </c>
      <c r="T89" s="630">
        <f t="shared" si="6"/>
        <v>0</v>
      </c>
      <c r="U89" s="630">
        <f t="shared" si="6"/>
        <v>0</v>
      </c>
      <c r="V89" s="630">
        <f t="shared" si="6"/>
        <v>0</v>
      </c>
      <c r="W89" s="630">
        <f t="shared" si="6"/>
        <v>0</v>
      </c>
      <c r="X89" s="631"/>
      <c r="Y89" s="631"/>
      <c r="Z89" s="632"/>
    </row>
    <row r="90" spans="1:26" s="605" customFormat="1">
      <c r="A90" s="628" t="s">
        <v>288</v>
      </c>
      <c r="B90" s="629"/>
      <c r="C90" s="629"/>
      <c r="D90" s="629"/>
      <c r="E90" s="629"/>
      <c r="F90" s="629"/>
      <c r="G90" s="629"/>
      <c r="H90" s="629"/>
      <c r="I90" s="629"/>
      <c r="J90" s="629"/>
      <c r="K90" s="629"/>
      <c r="L90" s="630"/>
      <c r="M90" s="630">
        <f>SUMIF($Z$63:$Z$88,"tertiair",M63:M88)</f>
        <v>486</v>
      </c>
      <c r="N90" s="630">
        <f t="shared" ref="N90:W90" si="7">SUMIF($Z$63:$Z$88,"tertiair",N63:N88)</f>
        <v>2187</v>
      </c>
      <c r="O90" s="630">
        <f t="shared" si="7"/>
        <v>0</v>
      </c>
      <c r="P90" s="630">
        <f t="shared" si="7"/>
        <v>0</v>
      </c>
      <c r="Q90" s="630">
        <f t="shared" si="7"/>
        <v>0</v>
      </c>
      <c r="R90" s="630">
        <f t="shared" si="7"/>
        <v>6248.5714285714294</v>
      </c>
      <c r="S90" s="630">
        <f t="shared" si="7"/>
        <v>0</v>
      </c>
      <c r="T90" s="630">
        <f t="shared" si="7"/>
        <v>0</v>
      </c>
      <c r="U90" s="630">
        <f t="shared" si="7"/>
        <v>0</v>
      </c>
      <c r="V90" s="630">
        <f t="shared" si="7"/>
        <v>0</v>
      </c>
      <c r="W90" s="630">
        <f t="shared" si="7"/>
        <v>0</v>
      </c>
      <c r="X90" s="631"/>
      <c r="Y90" s="631"/>
      <c r="Z90" s="632"/>
    </row>
    <row r="91" spans="1:26" s="605" customFormat="1" ht="15.75" thickBot="1">
      <c r="A91" s="633" t="s">
        <v>289</v>
      </c>
      <c r="B91" s="634"/>
      <c r="C91" s="634"/>
      <c r="D91" s="634"/>
      <c r="E91" s="634"/>
      <c r="F91" s="634"/>
      <c r="G91" s="634"/>
      <c r="H91" s="634"/>
      <c r="I91" s="634"/>
      <c r="J91" s="634"/>
      <c r="K91" s="634"/>
      <c r="L91" s="635"/>
      <c r="M91" s="635">
        <f t="shared" ref="M91:W91" si="8">SUMIF($Z$63:$Z$89,"landbouw",M63:M89)</f>
        <v>0</v>
      </c>
      <c r="N91" s="635">
        <f t="shared" si="8"/>
        <v>0</v>
      </c>
      <c r="O91" s="635">
        <f t="shared" si="8"/>
        <v>0</v>
      </c>
      <c r="P91" s="635">
        <f t="shared" si="8"/>
        <v>0</v>
      </c>
      <c r="Q91" s="635">
        <f t="shared" si="8"/>
        <v>0</v>
      </c>
      <c r="R91" s="635">
        <f t="shared" si="8"/>
        <v>0</v>
      </c>
      <c r="S91" s="635">
        <f t="shared" si="8"/>
        <v>0</v>
      </c>
      <c r="T91" s="635">
        <f t="shared" si="8"/>
        <v>0</v>
      </c>
      <c r="U91" s="635">
        <f t="shared" si="8"/>
        <v>0</v>
      </c>
      <c r="V91" s="635">
        <f t="shared" si="8"/>
        <v>0</v>
      </c>
      <c r="W91" s="635">
        <f t="shared" si="8"/>
        <v>0</v>
      </c>
      <c r="X91" s="636"/>
      <c r="Y91" s="636"/>
      <c r="Z91" s="637"/>
    </row>
    <row r="92" spans="1:26" s="642" customFormat="1">
      <c r="A92" s="638"/>
      <c r="B92" s="622"/>
      <c r="C92" s="622"/>
      <c r="D92" s="622"/>
      <c r="E92" s="622"/>
      <c r="F92" s="622"/>
      <c r="G92" s="622"/>
      <c r="H92" s="622"/>
      <c r="I92" s="622"/>
      <c r="J92" s="622"/>
      <c r="K92" s="622"/>
      <c r="L92" s="622"/>
      <c r="M92" s="622"/>
      <c r="N92" s="622"/>
      <c r="O92" s="622"/>
      <c r="P92" s="622"/>
      <c r="Q92" s="622"/>
      <c r="R92" s="622"/>
      <c r="S92" s="622"/>
      <c r="T92" s="622"/>
      <c r="U92" s="622"/>
      <c r="V92" s="622"/>
      <c r="W92" s="622"/>
      <c r="X92" s="622"/>
      <c r="Y92" s="622"/>
    </row>
    <row r="93" spans="1:26" s="642" customFormat="1" ht="15.75" thickBot="1">
      <c r="A93" s="638"/>
      <c r="B93" s="622"/>
      <c r="C93" s="622"/>
      <c r="D93" s="622"/>
      <c r="E93" s="622"/>
      <c r="F93" s="622"/>
      <c r="G93" s="622"/>
      <c r="H93" s="622"/>
      <c r="I93" s="622"/>
      <c r="J93" s="622"/>
      <c r="K93" s="622"/>
      <c r="L93" s="622"/>
      <c r="M93" s="622"/>
      <c r="N93" s="622"/>
      <c r="O93" s="622"/>
      <c r="P93" s="622"/>
      <c r="Q93" s="622"/>
      <c r="R93" s="622"/>
      <c r="S93" s="622"/>
      <c r="T93" s="622"/>
      <c r="U93" s="622"/>
      <c r="V93" s="622"/>
      <c r="W93" s="622"/>
      <c r="X93" s="622"/>
      <c r="Y93" s="622"/>
    </row>
    <row r="94" spans="1:26">
      <c r="A94" s="643" t="s">
        <v>282</v>
      </c>
      <c r="B94" s="644"/>
      <c r="C94" s="644"/>
      <c r="D94" s="644"/>
      <c r="E94" s="644"/>
      <c r="F94" s="644"/>
      <c r="G94" s="644"/>
      <c r="H94" s="644"/>
      <c r="I94" s="645"/>
      <c r="J94" s="646"/>
      <c r="K94" s="646"/>
      <c r="L94" s="647"/>
      <c r="M94" s="647"/>
      <c r="N94" s="647"/>
    </row>
    <row r="95" spans="1:26">
      <c r="A95" s="649"/>
      <c r="B95" s="639"/>
      <c r="C95" s="639"/>
      <c r="D95" s="639"/>
      <c r="E95" s="639"/>
      <c r="F95" s="639"/>
      <c r="G95" s="639"/>
      <c r="H95" s="639"/>
      <c r="I95" s="650"/>
      <c r="J95" s="639"/>
      <c r="K95" s="639"/>
      <c r="L95" s="647"/>
      <c r="M95" s="647"/>
      <c r="N95" s="647"/>
    </row>
    <row r="96" spans="1:26">
      <c r="A96" s="651"/>
      <c r="B96" s="652" t="s">
        <v>283</v>
      </c>
      <c r="C96" s="652" t="s">
        <v>284</v>
      </c>
      <c r="D96" s="652"/>
      <c r="E96" s="652"/>
      <c r="F96" s="652"/>
      <c r="G96" s="652"/>
      <c r="H96" s="652"/>
      <c r="I96" s="653"/>
      <c r="J96" s="652"/>
      <c r="K96" s="652"/>
      <c r="L96" s="652"/>
      <c r="M96" s="652"/>
      <c r="N96" s="647"/>
    </row>
    <row r="97" spans="1:14">
      <c r="A97" s="649" t="s">
        <v>280</v>
      </c>
      <c r="B97" s="654">
        <f>IF(ISERROR(O57/(O57+N57)),0,O57/(O57+N57))</f>
        <v>0</v>
      </c>
      <c r="C97" s="655">
        <f>IF(ISERROR(N57/(O57+N57)),0,N57/(N57+O57))</f>
        <v>0</v>
      </c>
      <c r="D97" s="622"/>
      <c r="E97" s="622"/>
      <c r="F97" s="622"/>
      <c r="G97" s="622"/>
      <c r="H97" s="622"/>
      <c r="I97" s="656"/>
      <c r="J97" s="622"/>
      <c r="K97" s="622"/>
      <c r="L97" s="657"/>
      <c r="M97" s="657"/>
      <c r="N97" s="647"/>
    </row>
    <row r="98" spans="1:14">
      <c r="A98" s="649"/>
      <c r="B98" s="658"/>
      <c r="C98" s="658"/>
      <c r="D98" s="658"/>
      <c r="E98" s="658"/>
      <c r="F98" s="658"/>
      <c r="G98" s="658"/>
      <c r="H98" s="658"/>
      <c r="I98" s="659"/>
      <c r="J98" s="658"/>
      <c r="K98" s="658"/>
      <c r="L98" s="660"/>
      <c r="M98" s="660"/>
      <c r="N98" s="647"/>
    </row>
    <row r="99" spans="1:14" ht="30">
      <c r="A99" s="661"/>
      <c r="B99" s="662" t="s">
        <v>544</v>
      </c>
      <c r="C99" s="662" t="s">
        <v>103</v>
      </c>
      <c r="D99" s="662" t="s">
        <v>104</v>
      </c>
      <c r="E99" s="662" t="s">
        <v>105</v>
      </c>
      <c r="F99" s="662" t="s">
        <v>106</v>
      </c>
      <c r="G99" s="662" t="s">
        <v>107</v>
      </c>
      <c r="H99" s="662" t="s">
        <v>108</v>
      </c>
      <c r="I99" s="663" t="s">
        <v>109</v>
      </c>
      <c r="J99" s="652"/>
      <c r="K99" s="652"/>
      <c r="L99" s="660"/>
      <c r="M99" s="647"/>
      <c r="N99" s="647"/>
    </row>
    <row r="100" spans="1:14">
      <c r="A100" s="651" t="s">
        <v>285</v>
      </c>
      <c r="B100" s="664">
        <f t="shared" ref="B100:I100" si="9">$C$97*P57</f>
        <v>0</v>
      </c>
      <c r="C100" s="664">
        <f t="shared" si="9"/>
        <v>0</v>
      </c>
      <c r="D100" s="664">
        <f t="shared" si="9"/>
        <v>0</v>
      </c>
      <c r="E100" s="664">
        <f t="shared" si="9"/>
        <v>0</v>
      </c>
      <c r="F100" s="664">
        <f t="shared" si="9"/>
        <v>0</v>
      </c>
      <c r="G100" s="664">
        <f t="shared" si="9"/>
        <v>0</v>
      </c>
      <c r="H100" s="664">
        <f t="shared" si="9"/>
        <v>0</v>
      </c>
      <c r="I100" s="665">
        <f t="shared" si="9"/>
        <v>0</v>
      </c>
      <c r="J100" s="622"/>
      <c r="K100" s="622"/>
      <c r="L100" s="660"/>
      <c r="M100" s="647"/>
      <c r="N100" s="647"/>
    </row>
    <row r="101" spans="1:14" ht="15.75" thickBot="1">
      <c r="A101" s="666" t="s">
        <v>286</v>
      </c>
      <c r="B101" s="667">
        <f>$B$97*P57</f>
        <v>0</v>
      </c>
      <c r="C101" s="667">
        <f t="shared" ref="C101:H101" si="10">$B$97*Q57</f>
        <v>0</v>
      </c>
      <c r="D101" s="667">
        <f t="shared" si="10"/>
        <v>0</v>
      </c>
      <c r="E101" s="667">
        <f t="shared" si="10"/>
        <v>0</v>
      </c>
      <c r="F101" s="667">
        <f t="shared" si="10"/>
        <v>0</v>
      </c>
      <c r="G101" s="667">
        <f t="shared" si="10"/>
        <v>0</v>
      </c>
      <c r="H101" s="667">
        <f t="shared" si="10"/>
        <v>0</v>
      </c>
      <c r="I101" s="668">
        <f>$B$97*W57</f>
        <v>0</v>
      </c>
      <c r="J101" s="622"/>
      <c r="K101" s="622"/>
      <c r="L101" s="660"/>
      <c r="M101" s="647"/>
      <c r="N101" s="647"/>
    </row>
    <row r="102" spans="1:14">
      <c r="J102" s="601"/>
      <c r="K102" s="601"/>
      <c r="L102" s="601"/>
    </row>
    <row r="103" spans="1:14">
      <c r="J103" s="601"/>
      <c r="K103" s="601"/>
      <c r="L103" s="601"/>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J25"/>
  <sheetViews>
    <sheetView showGridLines="0" topLeftCell="F13" workbookViewId="0">
      <selection activeCell="M17" sqref="I17:M1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8" s="8" customFormat="1">
      <c r="A1" s="379" t="s">
        <v>417</v>
      </c>
      <c r="B1" s="379" t="s">
        <v>424</v>
      </c>
      <c r="C1" s="379" t="s">
        <v>423</v>
      </c>
      <c r="D1" s="379" t="s">
        <v>422</v>
      </c>
      <c r="E1" s="380" t="s">
        <v>418</v>
      </c>
      <c r="F1" s="381" t="s">
        <v>419</v>
      </c>
      <c r="G1" s="381" t="s">
        <v>420</v>
      </c>
      <c r="H1" s="381" t="s">
        <v>421</v>
      </c>
    </row>
    <row r="2" spans="1:8" s="11" customFormat="1">
      <c r="A2" s="374" t="s">
        <v>706</v>
      </c>
      <c r="B2" s="377" t="s">
        <v>755</v>
      </c>
      <c r="C2" s="374" t="s">
        <v>193</v>
      </c>
      <c r="D2" s="374" t="s">
        <v>763</v>
      </c>
      <c r="E2" s="375"/>
      <c r="F2" s="969" t="s">
        <v>757</v>
      </c>
      <c r="G2" s="969" t="s">
        <v>758</v>
      </c>
      <c r="H2" s="969" t="s">
        <v>759</v>
      </c>
    </row>
    <row r="3" spans="1:8" s="11" customFormat="1">
      <c r="A3" s="1013" t="s">
        <v>764</v>
      </c>
      <c r="B3" s="1014" t="s">
        <v>766</v>
      </c>
      <c r="C3" s="1013" t="s">
        <v>765</v>
      </c>
      <c r="D3" s="374" t="s">
        <v>772</v>
      </c>
      <c r="E3" s="1016"/>
      <c r="F3" s="1017" t="s">
        <v>767</v>
      </c>
      <c r="G3" s="1018" t="s">
        <v>768</v>
      </c>
      <c r="H3" s="373" t="s">
        <v>769</v>
      </c>
    </row>
    <row r="4" spans="1:8" s="11" customFormat="1">
      <c r="A4" s="1013" t="s">
        <v>751</v>
      </c>
      <c r="B4" s="1014" t="s">
        <v>755</v>
      </c>
      <c r="C4" s="1013" t="s">
        <v>193</v>
      </c>
      <c r="D4" s="1015" t="s">
        <v>773</v>
      </c>
      <c r="E4" s="1016"/>
      <c r="F4" s="969" t="s">
        <v>757</v>
      </c>
      <c r="G4" s="969" t="s">
        <v>758</v>
      </c>
      <c r="H4" s="969" t="s">
        <v>759</v>
      </c>
    </row>
    <row r="5" spans="1:8" s="11" customFormat="1">
      <c r="A5" s="374" t="s">
        <v>410</v>
      </c>
      <c r="B5" s="860">
        <v>2015</v>
      </c>
      <c r="C5" s="374" t="s">
        <v>410</v>
      </c>
      <c r="D5" s="374" t="s">
        <v>770</v>
      </c>
      <c r="E5" s="375"/>
      <c r="F5" s="969" t="s">
        <v>760</v>
      </c>
      <c r="G5" s="969" t="s">
        <v>761</v>
      </c>
      <c r="H5" s="969" t="s">
        <v>762</v>
      </c>
    </row>
    <row r="6" spans="1:8">
      <c r="A6" s="369" t="s">
        <v>400</v>
      </c>
      <c r="B6" s="966" t="s">
        <v>704</v>
      </c>
      <c r="C6" s="369" t="s">
        <v>400</v>
      </c>
      <c r="D6" s="369" t="s">
        <v>703</v>
      </c>
      <c r="E6" s="371"/>
      <c r="F6" s="372" t="s">
        <v>401</v>
      </c>
      <c r="G6" s="372" t="s">
        <v>402</v>
      </c>
      <c r="H6" s="373" t="s">
        <v>403</v>
      </c>
    </row>
    <row r="7" spans="1:8">
      <c r="A7" s="369" t="s">
        <v>404</v>
      </c>
      <c r="B7" s="370" t="s">
        <v>704</v>
      </c>
      <c r="C7" s="369" t="s">
        <v>404</v>
      </c>
      <c r="D7" s="369" t="s">
        <v>705</v>
      </c>
      <c r="E7" s="371"/>
      <c r="F7" s="372" t="s">
        <v>406</v>
      </c>
      <c r="G7" s="372" t="s">
        <v>407</v>
      </c>
      <c r="H7" s="373" t="s">
        <v>405</v>
      </c>
    </row>
    <row r="8" spans="1:8">
      <c r="A8" s="374" t="s">
        <v>435</v>
      </c>
      <c r="B8" s="377" t="s">
        <v>436</v>
      </c>
      <c r="C8" s="374" t="s">
        <v>438</v>
      </c>
      <c r="D8" s="374" t="s">
        <v>434</v>
      </c>
      <c r="E8" s="371" t="s">
        <v>437</v>
      </c>
      <c r="F8" s="372"/>
      <c r="G8" s="372"/>
      <c r="H8" s="373"/>
    </row>
    <row r="9" spans="1:8" s="959" customFormat="1">
      <c r="A9" s="1013" t="s">
        <v>774</v>
      </c>
      <c r="B9" s="1019">
        <v>2014</v>
      </c>
      <c r="C9" s="1013" t="s">
        <v>410</v>
      </c>
      <c r="D9" s="1013" t="s">
        <v>775</v>
      </c>
      <c r="E9" s="1020" t="s">
        <v>776</v>
      </c>
      <c r="F9" s="1018"/>
      <c r="G9" s="1018"/>
      <c r="H9" s="373"/>
    </row>
    <row r="10" spans="1:8" s="959" customFormat="1">
      <c r="A10" s="1013" t="s">
        <v>800</v>
      </c>
      <c r="B10" s="1019">
        <v>2017</v>
      </c>
      <c r="C10" s="1013" t="s">
        <v>802</v>
      </c>
      <c r="D10" s="1013" t="s">
        <v>801</v>
      </c>
      <c r="E10" s="376" t="s">
        <v>799</v>
      </c>
      <c r="F10" s="1018"/>
      <c r="G10" s="1018"/>
      <c r="H10" s="373"/>
    </row>
    <row r="11" spans="1:8" s="11" customFormat="1">
      <c r="A11" s="374" t="s">
        <v>637</v>
      </c>
      <c r="B11" s="1008" t="str">
        <f>"juni 2016"</f>
        <v>juni 2016</v>
      </c>
      <c r="C11" s="374" t="s">
        <v>641</v>
      </c>
      <c r="D11" s="374" t="s">
        <v>642</v>
      </c>
      <c r="E11" s="375"/>
      <c r="F11" s="969" t="s">
        <v>638</v>
      </c>
      <c r="G11" s="969" t="s">
        <v>639</v>
      </c>
      <c r="H11" s="970" t="s">
        <v>640</v>
      </c>
    </row>
    <row r="12" spans="1:8" s="959" customFormat="1">
      <c r="A12" s="1021" t="s">
        <v>779</v>
      </c>
      <c r="B12" s="1022" t="s">
        <v>771</v>
      </c>
      <c r="C12" s="1021" t="s">
        <v>780</v>
      </c>
      <c r="D12" s="1021" t="s">
        <v>781</v>
      </c>
      <c r="E12" s="718"/>
      <c r="F12" s="1018" t="s">
        <v>782</v>
      </c>
      <c r="G12" s="1018" t="s">
        <v>783</v>
      </c>
      <c r="H12" s="373" t="s">
        <v>784</v>
      </c>
    </row>
    <row r="13" spans="1:8" s="959" customFormat="1">
      <c r="A13" s="1013" t="s">
        <v>777</v>
      </c>
      <c r="B13" s="1019">
        <v>2017</v>
      </c>
      <c r="C13" s="1013" t="s">
        <v>429</v>
      </c>
      <c r="D13" s="1013" t="s">
        <v>778</v>
      </c>
      <c r="E13" s="1020"/>
      <c r="F13" s="1018" t="s">
        <v>767</v>
      </c>
      <c r="G13" s="1018" t="s">
        <v>768</v>
      </c>
      <c r="H13" s="373" t="s">
        <v>769</v>
      </c>
    </row>
    <row r="14" spans="1:8" s="10" customFormat="1">
      <c r="A14" s="374" t="s">
        <v>412</v>
      </c>
      <c r="B14" s="370" t="s">
        <v>428</v>
      </c>
      <c r="C14" s="369"/>
      <c r="D14" s="378" t="s">
        <v>427</v>
      </c>
      <c r="E14" s="371"/>
      <c r="F14" s="372"/>
      <c r="G14" s="372"/>
      <c r="H14" s="373"/>
    </row>
    <row r="15" spans="1:8">
      <c r="A15" s="369" t="s">
        <v>395</v>
      </c>
      <c r="B15" s="370" t="s">
        <v>704</v>
      </c>
      <c r="C15" s="369"/>
      <c r="D15" s="369" t="s">
        <v>707</v>
      </c>
      <c r="E15" s="376" t="s">
        <v>396</v>
      </c>
      <c r="F15" s="372" t="s">
        <v>397</v>
      </c>
      <c r="G15" s="372" t="s">
        <v>398</v>
      </c>
      <c r="H15" s="372" t="s">
        <v>399</v>
      </c>
    </row>
    <row r="16" spans="1:8">
      <c r="A16" s="369" t="s">
        <v>411</v>
      </c>
      <c r="B16" s="370" t="s">
        <v>708</v>
      </c>
      <c r="C16" s="369" t="s">
        <v>411</v>
      </c>
      <c r="D16" s="369" t="s">
        <v>425</v>
      </c>
      <c r="E16" s="371"/>
      <c r="F16" s="372" t="s">
        <v>812</v>
      </c>
      <c r="G16" s="372" t="s">
        <v>813</v>
      </c>
      <c r="H16" s="372" t="s">
        <v>814</v>
      </c>
    </row>
    <row r="17" spans="1:10" s="967" customFormat="1">
      <c r="A17" s="971" t="s">
        <v>516</v>
      </c>
      <c r="B17" s="972" t="s">
        <v>380</v>
      </c>
      <c r="C17" s="971" t="s">
        <v>378</v>
      </c>
      <c r="D17" s="973" t="s">
        <v>379</v>
      </c>
      <c r="E17" s="974" t="s">
        <v>381</v>
      </c>
      <c r="F17" s="1023" t="s">
        <v>786</v>
      </c>
      <c r="G17" s="1023" t="s">
        <v>787</v>
      </c>
      <c r="H17" s="373" t="s">
        <v>788</v>
      </c>
      <c r="I17" s="959"/>
    </row>
    <row r="18" spans="1:10" s="967" customFormat="1">
      <c r="A18" s="971" t="s">
        <v>516</v>
      </c>
      <c r="B18" s="972" t="s">
        <v>806</v>
      </c>
      <c r="C18" s="971" t="s">
        <v>808</v>
      </c>
      <c r="D18" s="973" t="s">
        <v>809</v>
      </c>
      <c r="E18" s="974"/>
      <c r="F18" s="1017" t="s">
        <v>786</v>
      </c>
      <c r="G18" s="1017" t="s">
        <v>787</v>
      </c>
      <c r="H18" s="1017" t="s">
        <v>788</v>
      </c>
    </row>
    <row r="19" spans="1:10" s="11" customFormat="1">
      <c r="A19" s="374" t="s">
        <v>515</v>
      </c>
      <c r="B19" s="377" t="s">
        <v>704</v>
      </c>
      <c r="C19" s="374" t="s">
        <v>429</v>
      </c>
      <c r="D19" s="374" t="s">
        <v>710</v>
      </c>
      <c r="E19" s="375"/>
      <c r="F19" s="1017" t="s">
        <v>786</v>
      </c>
      <c r="G19" s="1017" t="s">
        <v>787</v>
      </c>
      <c r="H19" s="1017" t="s">
        <v>788</v>
      </c>
      <c r="I19" s="959"/>
    </row>
    <row r="20" spans="1:10" s="10" customFormat="1">
      <c r="A20" s="374" t="s">
        <v>514</v>
      </c>
      <c r="B20" s="377" t="s">
        <v>513</v>
      </c>
      <c r="C20" s="374" t="s">
        <v>512</v>
      </c>
      <c r="D20" s="374" t="s">
        <v>511</v>
      </c>
      <c r="E20" s="368"/>
      <c r="F20" s="1017"/>
      <c r="G20" s="1017"/>
      <c r="H20" s="1017"/>
    </row>
    <row r="21" spans="1:10">
      <c r="A21" s="374" t="s">
        <v>193</v>
      </c>
      <c r="B21" s="860" t="s">
        <v>704</v>
      </c>
      <c r="C21" s="374" t="s">
        <v>430</v>
      </c>
      <c r="D21" s="374" t="s">
        <v>711</v>
      </c>
      <c r="E21" s="371"/>
      <c r="F21" s="1017" t="s">
        <v>431</v>
      </c>
      <c r="G21" s="1017" t="s">
        <v>432</v>
      </c>
      <c r="H21" s="1017" t="s">
        <v>433</v>
      </c>
    </row>
    <row r="22" spans="1:10" s="959" customFormat="1">
      <c r="A22" s="374" t="s">
        <v>411</v>
      </c>
      <c r="B22" s="860" t="s">
        <v>807</v>
      </c>
      <c r="C22" s="374" t="s">
        <v>411</v>
      </c>
      <c r="D22" s="374" t="s">
        <v>810</v>
      </c>
      <c r="E22" s="371"/>
      <c r="F22" s="1017" t="s">
        <v>818</v>
      </c>
      <c r="G22" s="1017" t="s">
        <v>819</v>
      </c>
      <c r="H22" s="1017" t="s">
        <v>820</v>
      </c>
      <c r="I22"/>
    </row>
    <row r="23" spans="1:10" s="959" customFormat="1">
      <c r="A23" s="374" t="s">
        <v>411</v>
      </c>
      <c r="B23" s="860" t="s">
        <v>806</v>
      </c>
      <c r="C23" s="374" t="s">
        <v>411</v>
      </c>
      <c r="D23" s="374" t="s">
        <v>811</v>
      </c>
      <c r="E23" s="371"/>
      <c r="F23" s="1017" t="s">
        <v>815</v>
      </c>
      <c r="G23" s="1017" t="s">
        <v>816</v>
      </c>
      <c r="H23" s="1017" t="s">
        <v>817</v>
      </c>
    </row>
    <row r="24" spans="1:10" s="11" customFormat="1">
      <c r="A24" s="374" t="s">
        <v>409</v>
      </c>
      <c r="B24" s="1008" t="str">
        <f>"maart 2016"</f>
        <v>maart 2016</v>
      </c>
      <c r="C24" s="374" t="s">
        <v>409</v>
      </c>
      <c r="D24" s="374" t="s">
        <v>670</v>
      </c>
      <c r="E24" s="375" t="s">
        <v>671</v>
      </c>
      <c r="F24" s="1017" t="s">
        <v>821</v>
      </c>
      <c r="G24" s="1017" t="s">
        <v>822</v>
      </c>
      <c r="H24" s="1017" t="s">
        <v>823</v>
      </c>
      <c r="I24" s="959"/>
      <c r="J24" s="959"/>
    </row>
    <row r="25" spans="1:10" s="11" customFormat="1">
      <c r="A25" s="374" t="s">
        <v>409</v>
      </c>
      <c r="B25" s="1008" t="str">
        <f>"maart 2016"</f>
        <v>maart 2016</v>
      </c>
      <c r="C25" s="374" t="s">
        <v>409</v>
      </c>
      <c r="D25" s="1009" t="s">
        <v>647</v>
      </c>
      <c r="E25" s="375" t="s">
        <v>426</v>
      </c>
      <c r="F25" s="1017" t="s">
        <v>821</v>
      </c>
      <c r="G25" s="1017" t="s">
        <v>822</v>
      </c>
      <c r="H25" s="1017" t="s">
        <v>823</v>
      </c>
    </row>
  </sheetData>
  <hyperlinks>
    <hyperlink ref="H6" r:id="rId1"/>
    <hyperlink ref="H7" r:id="rId2" display="mailto:toon.lenaerts@infrax.be"/>
    <hyperlink ref="E15" r:id="rId3"/>
    <hyperlink ref="H3" r:id="rId4"/>
    <hyperlink ref="H13" r:id="rId5"/>
    <hyperlink ref="H17" r:id="rId6"/>
    <hyperlink ref="H19" r:id="rId7"/>
    <hyperlink ref="E10" r:id="rId8"/>
    <hyperlink ref="H16" r:id="rId9" display="tine.tanghe@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73" customWidth="1"/>
    <col min="2" max="2" width="11.85546875" style="473"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3"/>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4"/>
      <c r="B4" s="474"/>
      <c r="C4" s="63"/>
      <c r="D4" s="63"/>
      <c r="E4" s="63"/>
      <c r="F4" s="63"/>
      <c r="G4" s="63"/>
      <c r="H4" s="63"/>
      <c r="I4" s="63"/>
      <c r="J4" s="63"/>
      <c r="K4" s="63"/>
      <c r="L4" s="63"/>
      <c r="M4" s="63"/>
      <c r="N4" s="63"/>
      <c r="O4" s="63"/>
      <c r="P4" s="63"/>
      <c r="Q4" s="63"/>
      <c r="R4" s="63"/>
    </row>
    <row r="5" spans="1:19" ht="16.5" thickBot="1">
      <c r="A5" s="1084" t="s">
        <v>222</v>
      </c>
      <c r="B5" s="861"/>
      <c r="C5" s="1087" t="s">
        <v>343</v>
      </c>
      <c r="D5" s="1088"/>
      <c r="E5" s="1088"/>
      <c r="F5" s="1088"/>
      <c r="G5" s="1088"/>
      <c r="H5" s="1088"/>
      <c r="I5" s="1088"/>
      <c r="J5" s="1088"/>
      <c r="K5" s="1088"/>
      <c r="L5" s="1088"/>
      <c r="M5" s="1088"/>
      <c r="N5" s="1088"/>
      <c r="O5" s="1088"/>
      <c r="P5" s="1088"/>
      <c r="Q5" s="1088"/>
      <c r="R5" s="1089"/>
    </row>
    <row r="6" spans="1:19" ht="16.5" thickTop="1">
      <c r="A6" s="1085"/>
      <c r="B6" s="862"/>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3"/>
      <c r="C7" s="1091"/>
      <c r="D7" s="1093"/>
      <c r="E7" s="470" t="s">
        <v>199</v>
      </c>
      <c r="F7" s="470" t="s">
        <v>200</v>
      </c>
      <c r="G7" s="64" t="s">
        <v>201</v>
      </c>
      <c r="H7" s="470" t="s">
        <v>202</v>
      </c>
      <c r="I7" s="470" t="s">
        <v>120</v>
      </c>
      <c r="J7" s="470" t="s">
        <v>203</v>
      </c>
      <c r="K7" s="471" t="s">
        <v>204</v>
      </c>
      <c r="L7" s="471" t="s">
        <v>205</v>
      </c>
      <c r="M7" s="64" t="s">
        <v>206</v>
      </c>
      <c r="N7" s="65" t="s">
        <v>207</v>
      </c>
      <c r="O7" s="65" t="s">
        <v>208</v>
      </c>
      <c r="P7" s="65" t="s">
        <v>209</v>
      </c>
      <c r="Q7" s="66" t="s">
        <v>210</v>
      </c>
      <c r="R7" s="1098"/>
    </row>
    <row r="8" spans="1:19" ht="18.75" customHeight="1" thickTop="1">
      <c r="A8" s="870" t="s">
        <v>344</v>
      </c>
      <c r="B8" s="875"/>
      <c r="C8" s="1099"/>
      <c r="D8" s="1099"/>
      <c r="E8" s="1099"/>
      <c r="F8" s="1099"/>
      <c r="G8" s="1099"/>
      <c r="H8" s="1099"/>
      <c r="I8" s="1099"/>
      <c r="J8" s="1099"/>
      <c r="K8" s="1099"/>
      <c r="L8" s="1099"/>
      <c r="M8" s="1099"/>
      <c r="N8" s="1099"/>
      <c r="O8" s="1099"/>
      <c r="P8" s="1099"/>
      <c r="Q8" s="1099"/>
      <c r="R8" s="308"/>
    </row>
    <row r="9" spans="1:19" s="475" customFormat="1">
      <c r="A9" s="871" t="s">
        <v>223</v>
      </c>
      <c r="B9" s="876"/>
      <c r="C9" s="719">
        <f>'Eigen gebouwen'!B15</f>
        <v>0</v>
      </c>
      <c r="D9" s="719">
        <f>'Eigen gebouwen'!C15</f>
        <v>0</v>
      </c>
      <c r="E9" s="719">
        <f>'Eigen gebouwen'!D15</f>
        <v>0</v>
      </c>
      <c r="F9" s="719">
        <f>'Eigen gebouwen'!E15</f>
        <v>0</v>
      </c>
      <c r="G9" s="719">
        <f>'Eigen gebouwen'!F15</f>
        <v>0</v>
      </c>
      <c r="H9" s="719">
        <f>'Eigen gebouwen'!G15</f>
        <v>0</v>
      </c>
      <c r="I9" s="719">
        <f>'Eigen gebouwen'!H15</f>
        <v>0</v>
      </c>
      <c r="J9" s="719">
        <f>'Eigen gebouwen'!I15</f>
        <v>0</v>
      </c>
      <c r="K9" s="719">
        <f>'Eigen gebouwen'!J15</f>
        <v>0</v>
      </c>
      <c r="L9" s="719">
        <f>'Eigen gebouwen'!K15</f>
        <v>0</v>
      </c>
      <c r="M9" s="719">
        <f>'Eigen gebouwen'!L15</f>
        <v>0</v>
      </c>
      <c r="N9" s="719">
        <f>'Eigen gebouwen'!M15</f>
        <v>0</v>
      </c>
      <c r="O9" s="719">
        <f>'Eigen gebouwen'!N15</f>
        <v>0</v>
      </c>
      <c r="P9" s="719">
        <f>'Eigen gebouwen'!O15</f>
        <v>0</v>
      </c>
      <c r="Q9" s="720">
        <f>'Eigen gebouwen'!P15</f>
        <v>0</v>
      </c>
      <c r="R9" s="721">
        <f>SUM(C9:Q9)</f>
        <v>0</v>
      </c>
      <c r="S9" s="67"/>
    </row>
    <row r="10" spans="1:19" s="475" customFormat="1">
      <c r="A10" s="872" t="s">
        <v>224</v>
      </c>
      <c r="B10" s="877"/>
      <c r="C10" s="719">
        <f ca="1">tertiair!B16+'openbare verlichting'!B8</f>
        <v>51456.390199999987</v>
      </c>
      <c r="D10" s="719">
        <f ca="1">tertiair!C16</f>
        <v>0</v>
      </c>
      <c r="E10" s="719">
        <f ca="1">tertiair!D16</f>
        <v>40476.795683557204</v>
      </c>
      <c r="F10" s="719">
        <f>tertiair!E16</f>
        <v>527.57795435049798</v>
      </c>
      <c r="G10" s="719">
        <f ca="1">tertiair!F16</f>
        <v>6914.6787545671541</v>
      </c>
      <c r="H10" s="719">
        <f>tertiair!G16</f>
        <v>0</v>
      </c>
      <c r="I10" s="719">
        <f>tertiair!H16</f>
        <v>0</v>
      </c>
      <c r="J10" s="719">
        <f>tertiair!I16</f>
        <v>0</v>
      </c>
      <c r="K10" s="719">
        <f>tertiair!J16</f>
        <v>0</v>
      </c>
      <c r="L10" s="719">
        <f>tertiair!K16</f>
        <v>0</v>
      </c>
      <c r="M10" s="719">
        <f ca="1">tertiair!L16</f>
        <v>0</v>
      </c>
      <c r="N10" s="719">
        <f>tertiair!M16</f>
        <v>0</v>
      </c>
      <c r="O10" s="719">
        <f ca="1">tertiair!N16</f>
        <v>0</v>
      </c>
      <c r="P10" s="719">
        <f>tertiair!O16</f>
        <v>3.1266666666666669</v>
      </c>
      <c r="Q10" s="720">
        <f>tertiair!P16</f>
        <v>38.133333333333333</v>
      </c>
      <c r="R10" s="722">
        <f ca="1">SUM(C10:Q10)</f>
        <v>99416.702592474845</v>
      </c>
      <c r="S10" s="67"/>
    </row>
    <row r="11" spans="1:19" s="475" customFormat="1">
      <c r="A11" s="871" t="s">
        <v>225</v>
      </c>
      <c r="B11" s="876"/>
      <c r="C11" s="719">
        <f>huishoudens!B8</f>
        <v>70589.136068155785</v>
      </c>
      <c r="D11" s="719">
        <f>huishoudens!C8</f>
        <v>0</v>
      </c>
      <c r="E11" s="719">
        <f>huishoudens!D8</f>
        <v>99530.122274034569</v>
      </c>
      <c r="F11" s="719">
        <f>huishoudens!E8</f>
        <v>6681.3406170126927</v>
      </c>
      <c r="G11" s="719">
        <f>huishoudens!F8</f>
        <v>89155.988814448763</v>
      </c>
      <c r="H11" s="719">
        <f>huishoudens!G8</f>
        <v>0</v>
      </c>
      <c r="I11" s="719">
        <f>huishoudens!H8</f>
        <v>0</v>
      </c>
      <c r="J11" s="719">
        <f>huishoudens!I8</f>
        <v>0</v>
      </c>
      <c r="K11" s="719">
        <f>huishoudens!J8</f>
        <v>4790.7292750665238</v>
      </c>
      <c r="L11" s="719">
        <f>huishoudens!K8</f>
        <v>0</v>
      </c>
      <c r="M11" s="719">
        <f>huishoudens!L8</f>
        <v>0</v>
      </c>
      <c r="N11" s="719">
        <f>huishoudens!M8</f>
        <v>0</v>
      </c>
      <c r="O11" s="719">
        <f>huishoudens!N8</f>
        <v>28437.172040123252</v>
      </c>
      <c r="P11" s="719">
        <f>huishoudens!O8</f>
        <v>345.49666666666667</v>
      </c>
      <c r="Q11" s="720">
        <f>huishoudens!P8</f>
        <v>991.4666666666667</v>
      </c>
      <c r="R11" s="722">
        <f>SUM(C11:Q11)</f>
        <v>300521.45242217492</v>
      </c>
      <c r="S11" s="67"/>
    </row>
    <row r="12" spans="1:19" s="475" customFormat="1">
      <c r="A12" s="871" t="s">
        <v>507</v>
      </c>
      <c r="B12" s="876"/>
      <c r="C12" s="719">
        <f>'Eigen openbare verlichting'!B15</f>
        <v>0</v>
      </c>
      <c r="D12" s="719"/>
      <c r="E12" s="719"/>
      <c r="F12" s="719"/>
      <c r="G12" s="719"/>
      <c r="H12" s="719"/>
      <c r="I12" s="719"/>
      <c r="J12" s="719"/>
      <c r="K12" s="719"/>
      <c r="L12" s="719"/>
      <c r="M12" s="719"/>
      <c r="N12" s="719"/>
      <c r="O12" s="719"/>
      <c r="P12" s="719"/>
      <c r="Q12" s="719"/>
      <c r="R12" s="722">
        <f>SUM(C12:Q12)</f>
        <v>0</v>
      </c>
      <c r="S12" s="67"/>
    </row>
    <row r="13" spans="1:19" s="475" customFormat="1">
      <c r="A13" s="871" t="s">
        <v>653</v>
      </c>
      <c r="B13" s="881" t="s">
        <v>651</v>
      </c>
      <c r="C13" s="719">
        <f>industrie!B18</f>
        <v>48487.308199999999</v>
      </c>
      <c r="D13" s="719">
        <f>industrie!C18</f>
        <v>0</v>
      </c>
      <c r="E13" s="719">
        <f>industrie!D18</f>
        <v>50947.502040572392</v>
      </c>
      <c r="F13" s="719">
        <f>industrie!E18</f>
        <v>2327.7749981210227</v>
      </c>
      <c r="G13" s="719">
        <f>industrie!F18</f>
        <v>37456.152532902684</v>
      </c>
      <c r="H13" s="719">
        <f>industrie!G18</f>
        <v>0</v>
      </c>
      <c r="I13" s="719">
        <f>industrie!H18</f>
        <v>0</v>
      </c>
      <c r="J13" s="719">
        <f>industrie!I18</f>
        <v>0</v>
      </c>
      <c r="K13" s="719">
        <f>industrie!J18</f>
        <v>473.69467849118979</v>
      </c>
      <c r="L13" s="719">
        <f>industrie!K18</f>
        <v>0</v>
      </c>
      <c r="M13" s="719">
        <f>industrie!L18</f>
        <v>0</v>
      </c>
      <c r="N13" s="719">
        <f>industrie!M18</f>
        <v>0</v>
      </c>
      <c r="O13" s="719">
        <f>industrie!N18</f>
        <v>14047.740359325067</v>
      </c>
      <c r="P13" s="719">
        <f>industrie!O18</f>
        <v>0</v>
      </c>
      <c r="Q13" s="720">
        <f>industrie!P18</f>
        <v>0</v>
      </c>
      <c r="R13" s="722">
        <f>SUM(C13:Q13)</f>
        <v>153740.17280941235</v>
      </c>
      <c r="S13" s="67"/>
    </row>
    <row r="14" spans="1:19" s="475" customFormat="1" ht="15" thickBot="1">
      <c r="A14" s="871"/>
      <c r="B14" s="882" t="s">
        <v>652</v>
      </c>
      <c r="C14" s="719"/>
      <c r="D14" s="719"/>
      <c r="E14" s="719"/>
      <c r="F14" s="719"/>
      <c r="G14" s="719"/>
      <c r="H14" s="719"/>
      <c r="I14" s="719"/>
      <c r="J14" s="719"/>
      <c r="K14" s="719"/>
      <c r="L14" s="719"/>
      <c r="M14" s="719"/>
      <c r="N14" s="719"/>
      <c r="O14" s="719"/>
      <c r="P14" s="719"/>
      <c r="Q14" s="719"/>
      <c r="R14" s="722"/>
      <c r="S14" s="67"/>
    </row>
    <row r="15" spans="1:19" s="475" customFormat="1" ht="15.75" thickBot="1">
      <c r="A15" s="723" t="s">
        <v>226</v>
      </c>
      <c r="B15" s="878"/>
      <c r="C15" s="764">
        <f ca="1">SUM(C9:C14)</f>
        <v>170532.83446815578</v>
      </c>
      <c r="D15" s="724">
        <f t="shared" ref="D15:Q15" ca="1" si="0">SUM(D9:D14)</f>
        <v>0</v>
      </c>
      <c r="E15" s="724">
        <f t="shared" ca="1" si="0"/>
        <v>190954.41999816417</v>
      </c>
      <c r="F15" s="724">
        <f t="shared" si="0"/>
        <v>9536.6935694842141</v>
      </c>
      <c r="G15" s="724">
        <f t="shared" ca="1" si="0"/>
        <v>133526.82010191859</v>
      </c>
      <c r="H15" s="724">
        <f t="shared" si="0"/>
        <v>0</v>
      </c>
      <c r="I15" s="724">
        <f t="shared" si="0"/>
        <v>0</v>
      </c>
      <c r="J15" s="724">
        <f t="shared" si="0"/>
        <v>0</v>
      </c>
      <c r="K15" s="724">
        <f t="shared" si="0"/>
        <v>5264.4239535577135</v>
      </c>
      <c r="L15" s="724">
        <f t="shared" si="0"/>
        <v>0</v>
      </c>
      <c r="M15" s="724">
        <f t="shared" ca="1" si="0"/>
        <v>0</v>
      </c>
      <c r="N15" s="724">
        <f t="shared" si="0"/>
        <v>0</v>
      </c>
      <c r="O15" s="724">
        <f t="shared" ca="1" si="0"/>
        <v>42484.912399448323</v>
      </c>
      <c r="P15" s="724">
        <f t="shared" si="0"/>
        <v>348.62333333333333</v>
      </c>
      <c r="Q15" s="725">
        <f t="shared" si="0"/>
        <v>1029.6000000000001</v>
      </c>
      <c r="R15" s="726">
        <f ca="1">SUM(R9:R14)</f>
        <v>553678.32782406209</v>
      </c>
      <c r="S15" s="67"/>
    </row>
    <row r="16" spans="1:19" s="475" customFormat="1" ht="15.75">
      <c r="A16" s="873" t="s">
        <v>227</v>
      </c>
      <c r="B16" s="769"/>
      <c r="C16" s="1100"/>
      <c r="D16" s="1100"/>
      <c r="E16" s="1100"/>
      <c r="F16" s="1100"/>
      <c r="G16" s="1100"/>
      <c r="H16" s="1100"/>
      <c r="I16" s="1100"/>
      <c r="J16" s="1100"/>
      <c r="K16" s="1100"/>
      <c r="L16" s="1100"/>
      <c r="M16" s="1100"/>
      <c r="N16" s="1100"/>
      <c r="O16" s="1100"/>
      <c r="P16" s="1100"/>
      <c r="Q16" s="1100"/>
      <c r="R16" s="727"/>
      <c r="S16" s="67"/>
    </row>
    <row r="17" spans="1:19" s="475" customFormat="1">
      <c r="A17" s="871" t="s">
        <v>228</v>
      </c>
      <c r="B17" s="876"/>
      <c r="C17" s="719">
        <f>'Eigen vloot'!B27</f>
        <v>0</v>
      </c>
      <c r="D17" s="719">
        <f>'Eigen vloot'!C27</f>
        <v>0</v>
      </c>
      <c r="E17" s="719">
        <f>'Eigen vloot'!D27</f>
        <v>0</v>
      </c>
      <c r="F17" s="719">
        <f>'Eigen vloot'!E27</f>
        <v>0</v>
      </c>
      <c r="G17" s="719">
        <f>'Eigen vloot'!F27</f>
        <v>0</v>
      </c>
      <c r="H17" s="719">
        <f>'Eigen vloot'!G27</f>
        <v>0</v>
      </c>
      <c r="I17" s="719">
        <f>'Eigen vloot'!H27</f>
        <v>0</v>
      </c>
      <c r="J17" s="719">
        <f>'Eigen vloot'!I27</f>
        <v>0</v>
      </c>
      <c r="K17" s="719">
        <f>'Eigen vloot'!J27</f>
        <v>0</v>
      </c>
      <c r="L17" s="719">
        <f>'Eigen vloot'!K27</f>
        <v>0</v>
      </c>
      <c r="M17" s="719">
        <f>'Eigen vloot'!L27</f>
        <v>0</v>
      </c>
      <c r="N17" s="719">
        <f>'Eigen vloot'!M27</f>
        <v>0</v>
      </c>
      <c r="O17" s="719">
        <f>'Eigen vloot'!N27</f>
        <v>0</v>
      </c>
      <c r="P17" s="719">
        <f>'Eigen vloot'!O27</f>
        <v>0</v>
      </c>
      <c r="Q17" s="720">
        <f>'Eigen vloot'!P27</f>
        <v>0</v>
      </c>
      <c r="R17" s="722">
        <f>SUM(C17:Q17)</f>
        <v>0</v>
      </c>
      <c r="S17" s="67"/>
    </row>
    <row r="18" spans="1:19" s="475" customFormat="1">
      <c r="A18" s="871" t="s">
        <v>229</v>
      </c>
      <c r="B18" s="876"/>
      <c r="C18" s="719">
        <f>transport!B54</f>
        <v>0</v>
      </c>
      <c r="D18" s="719">
        <f>transport!C54</f>
        <v>0</v>
      </c>
      <c r="E18" s="719">
        <f>transport!D54</f>
        <v>0</v>
      </c>
      <c r="F18" s="719">
        <f>transport!E54</f>
        <v>0</v>
      </c>
      <c r="G18" s="719">
        <f>transport!F54</f>
        <v>0</v>
      </c>
      <c r="H18" s="719">
        <f>transport!G54</f>
        <v>2823.8461029894011</v>
      </c>
      <c r="I18" s="719">
        <f>transport!H54</f>
        <v>0</v>
      </c>
      <c r="J18" s="719">
        <f>transport!I54</f>
        <v>0</v>
      </c>
      <c r="K18" s="719">
        <f>transport!J54</f>
        <v>0</v>
      </c>
      <c r="L18" s="719">
        <f>transport!K54</f>
        <v>0</v>
      </c>
      <c r="M18" s="719">
        <f>transport!L54</f>
        <v>0</v>
      </c>
      <c r="N18" s="719">
        <f>transport!M54</f>
        <v>161.03571129740715</v>
      </c>
      <c r="O18" s="719">
        <f>transport!N54</f>
        <v>0</v>
      </c>
      <c r="P18" s="719">
        <f>transport!O54</f>
        <v>0</v>
      </c>
      <c r="Q18" s="720">
        <f>transport!P54</f>
        <v>0</v>
      </c>
      <c r="R18" s="722">
        <f>SUM(C18:Q18)</f>
        <v>2984.8818142868081</v>
      </c>
      <c r="S18" s="67"/>
    </row>
    <row r="19" spans="1:19" s="475" customFormat="1" ht="15" thickBot="1">
      <c r="A19" s="871" t="s">
        <v>307</v>
      </c>
      <c r="B19" s="876"/>
      <c r="C19" s="728">
        <f>transport!B14</f>
        <v>26.379414025501468</v>
      </c>
      <c r="D19" s="728">
        <f>transport!C14</f>
        <v>0</v>
      </c>
      <c r="E19" s="728">
        <f>transport!D14</f>
        <v>73.701390547953181</v>
      </c>
      <c r="F19" s="728">
        <f>transport!E14</f>
        <v>465.24803551140923</v>
      </c>
      <c r="G19" s="728">
        <f>transport!F14</f>
        <v>0</v>
      </c>
      <c r="H19" s="728">
        <f>transport!G14</f>
        <v>153830.69292947472</v>
      </c>
      <c r="I19" s="728">
        <f>transport!H14</f>
        <v>27754.334381743756</v>
      </c>
      <c r="J19" s="728">
        <f>transport!I14</f>
        <v>0</v>
      </c>
      <c r="K19" s="728">
        <f>transport!J14</f>
        <v>0</v>
      </c>
      <c r="L19" s="728">
        <f>transport!K14</f>
        <v>0</v>
      </c>
      <c r="M19" s="728">
        <f>transport!L14</f>
        <v>0</v>
      </c>
      <c r="N19" s="728">
        <f>transport!M14</f>
        <v>9752.7847133006326</v>
      </c>
      <c r="O19" s="728">
        <f>transport!N14</f>
        <v>0</v>
      </c>
      <c r="P19" s="728">
        <f>transport!O14</f>
        <v>0</v>
      </c>
      <c r="Q19" s="729">
        <f>transport!P14</f>
        <v>0</v>
      </c>
      <c r="R19" s="730">
        <f>SUM(C19:Q19)</f>
        <v>191903.14086460398</v>
      </c>
      <c r="S19" s="67"/>
    </row>
    <row r="20" spans="1:19" s="475" customFormat="1" ht="15.75" thickBot="1">
      <c r="A20" s="731" t="s">
        <v>230</v>
      </c>
      <c r="B20" s="879"/>
      <c r="C20" s="874">
        <f>SUM(C17:C19)</f>
        <v>26.379414025501468</v>
      </c>
      <c r="D20" s="732">
        <f t="shared" ref="D20:R20" si="1">SUM(D17:D19)</f>
        <v>0</v>
      </c>
      <c r="E20" s="732">
        <f t="shared" si="1"/>
        <v>73.701390547953181</v>
      </c>
      <c r="F20" s="732">
        <f t="shared" si="1"/>
        <v>465.24803551140923</v>
      </c>
      <c r="G20" s="732">
        <f t="shared" si="1"/>
        <v>0</v>
      </c>
      <c r="H20" s="732">
        <f t="shared" si="1"/>
        <v>156654.53903246412</v>
      </c>
      <c r="I20" s="732">
        <f t="shared" si="1"/>
        <v>27754.334381743756</v>
      </c>
      <c r="J20" s="732">
        <f t="shared" si="1"/>
        <v>0</v>
      </c>
      <c r="K20" s="732">
        <f t="shared" si="1"/>
        <v>0</v>
      </c>
      <c r="L20" s="732">
        <f t="shared" si="1"/>
        <v>0</v>
      </c>
      <c r="M20" s="732">
        <f t="shared" si="1"/>
        <v>0</v>
      </c>
      <c r="N20" s="732">
        <f t="shared" si="1"/>
        <v>9913.8204245980396</v>
      </c>
      <c r="O20" s="732">
        <f t="shared" si="1"/>
        <v>0</v>
      </c>
      <c r="P20" s="732">
        <f t="shared" si="1"/>
        <v>0</v>
      </c>
      <c r="Q20" s="733">
        <f t="shared" si="1"/>
        <v>0</v>
      </c>
      <c r="R20" s="734">
        <f t="shared" si="1"/>
        <v>194888.02267889079</v>
      </c>
      <c r="S20" s="67"/>
    </row>
    <row r="21" spans="1:19" s="475" customFormat="1" ht="15.75">
      <c r="A21" s="873" t="s">
        <v>237</v>
      </c>
      <c r="B21" s="769"/>
      <c r="C21" s="1100"/>
      <c r="D21" s="1100"/>
      <c r="E21" s="1100"/>
      <c r="F21" s="1100"/>
      <c r="G21" s="1100"/>
      <c r="H21" s="1100"/>
      <c r="I21" s="1100"/>
      <c r="J21" s="1100"/>
      <c r="K21" s="1100"/>
      <c r="L21" s="1100"/>
      <c r="M21" s="1100"/>
      <c r="N21" s="1100"/>
      <c r="O21" s="1100"/>
      <c r="P21" s="1100"/>
      <c r="Q21" s="1100"/>
      <c r="R21" s="727"/>
      <c r="S21" s="67"/>
    </row>
    <row r="22" spans="1:19" s="475" customFormat="1" ht="15" thickBot="1">
      <c r="A22" s="871" t="s">
        <v>648</v>
      </c>
      <c r="B22" s="880"/>
      <c r="C22" s="728">
        <f>+landbouw!B8</f>
        <v>1220.7645</v>
      </c>
      <c r="D22" s="728">
        <f>+landbouw!C8</f>
        <v>0</v>
      </c>
      <c r="E22" s="728">
        <f>+landbouw!D8</f>
        <v>4489.5136417382491</v>
      </c>
      <c r="F22" s="728">
        <f>+landbouw!E8</f>
        <v>11.307232102172572</v>
      </c>
      <c r="G22" s="728">
        <f>+landbouw!F8</f>
        <v>3097.3120918985969</v>
      </c>
      <c r="H22" s="728">
        <f>+landbouw!G8</f>
        <v>0</v>
      </c>
      <c r="I22" s="728">
        <f>+landbouw!H8</f>
        <v>0</v>
      </c>
      <c r="J22" s="728">
        <f>+landbouw!I8</f>
        <v>0</v>
      </c>
      <c r="K22" s="728">
        <f>+landbouw!J8</f>
        <v>187.15682162158228</v>
      </c>
      <c r="L22" s="728">
        <f>+landbouw!K8</f>
        <v>0</v>
      </c>
      <c r="M22" s="728">
        <f>+landbouw!L8</f>
        <v>0</v>
      </c>
      <c r="N22" s="728">
        <f>+landbouw!M8</f>
        <v>0</v>
      </c>
      <c r="O22" s="728">
        <f>+landbouw!N8</f>
        <v>0</v>
      </c>
      <c r="P22" s="728">
        <f>+landbouw!O8</f>
        <v>0</v>
      </c>
      <c r="Q22" s="729">
        <f>+landbouw!P8</f>
        <v>0</v>
      </c>
      <c r="R22" s="730">
        <f>SUM(C22:Q22)</f>
        <v>9006.0542873606009</v>
      </c>
      <c r="S22" s="67"/>
    </row>
    <row r="23" spans="1:19" s="475" customFormat="1" ht="17.25" thickTop="1" thickBot="1">
      <c r="A23" s="735" t="s">
        <v>116</v>
      </c>
      <c r="B23" s="865"/>
      <c r="C23" s="736">
        <f ca="1">C20+C15+C22</f>
        <v>171779.97838218126</v>
      </c>
      <c r="D23" s="736">
        <f t="shared" ref="D23:Q23" ca="1" si="2">D20+D15+D22</f>
        <v>0</v>
      </c>
      <c r="E23" s="736">
        <f t="shared" ca="1" si="2"/>
        <v>195517.63503045036</v>
      </c>
      <c r="F23" s="736">
        <f t="shared" si="2"/>
        <v>10013.248837097795</v>
      </c>
      <c r="G23" s="736">
        <f t="shared" ca="1" si="2"/>
        <v>136624.1321938172</v>
      </c>
      <c r="H23" s="736">
        <f t="shared" si="2"/>
        <v>156654.53903246412</v>
      </c>
      <c r="I23" s="736">
        <f t="shared" si="2"/>
        <v>27754.334381743756</v>
      </c>
      <c r="J23" s="736">
        <f t="shared" si="2"/>
        <v>0</v>
      </c>
      <c r="K23" s="736">
        <f t="shared" si="2"/>
        <v>5451.5807751792954</v>
      </c>
      <c r="L23" s="736">
        <f t="shared" si="2"/>
        <v>0</v>
      </c>
      <c r="M23" s="736">
        <f t="shared" ca="1" si="2"/>
        <v>0</v>
      </c>
      <c r="N23" s="736">
        <f t="shared" si="2"/>
        <v>9913.8204245980396</v>
      </c>
      <c r="O23" s="736">
        <f t="shared" ca="1" si="2"/>
        <v>42484.912399448323</v>
      </c>
      <c r="P23" s="736">
        <f t="shared" si="2"/>
        <v>348.62333333333333</v>
      </c>
      <c r="Q23" s="737">
        <f t="shared" si="2"/>
        <v>1029.6000000000001</v>
      </c>
      <c r="R23" s="738">
        <f ca="1">R20+R15+R22</f>
        <v>757572.40479031357</v>
      </c>
      <c r="S23" s="67"/>
    </row>
    <row r="24" spans="1:19" ht="15.75" customHeight="1" thickBot="1">
      <c r="A24" s="739"/>
      <c r="B24" s="739"/>
      <c r="C24" s="740"/>
      <c r="D24" s="740"/>
      <c r="E24" s="740"/>
      <c r="F24" s="740"/>
      <c r="G24" s="740"/>
      <c r="H24" s="740"/>
      <c r="I24" s="740"/>
      <c r="J24" s="740"/>
      <c r="K24" s="740"/>
      <c r="L24" s="740"/>
      <c r="M24" s="740"/>
      <c r="N24" s="740"/>
      <c r="O24" s="740"/>
      <c r="P24" s="740"/>
      <c r="Q24" s="740"/>
      <c r="R24" s="740"/>
    </row>
    <row r="25" spans="1:19" ht="41.25" customHeight="1" thickTop="1" thickBot="1">
      <c r="A25" s="741" t="s">
        <v>345</v>
      </c>
      <c r="B25" s="741"/>
      <c r="C25" s="742">
        <f>'EF ele_warmte'!B5</f>
        <v>0</v>
      </c>
      <c r="D25" s="743"/>
      <c r="E25" s="744"/>
      <c r="F25" s="743"/>
      <c r="G25" s="743"/>
      <c r="H25" s="743"/>
      <c r="I25" s="743"/>
      <c r="J25" s="743"/>
      <c r="K25" s="743"/>
      <c r="L25" s="743"/>
      <c r="M25" s="743"/>
      <c r="N25" s="743"/>
      <c r="O25" s="743"/>
      <c r="P25" s="743"/>
      <c r="Q25" s="743"/>
      <c r="R25" s="743"/>
    </row>
    <row r="26" spans="1:19" ht="31.5" thickTop="1" thickBot="1">
      <c r="A26" s="745" t="s">
        <v>346</v>
      </c>
      <c r="B26" s="745"/>
      <c r="C26" s="746" t="s">
        <v>211</v>
      </c>
      <c r="D26" s="747"/>
      <c r="E26" s="747"/>
      <c r="F26" s="747"/>
      <c r="G26" s="747"/>
      <c r="H26" s="748"/>
      <c r="I26" s="749"/>
      <c r="J26" s="749"/>
      <c r="K26" s="749"/>
      <c r="L26" s="749"/>
      <c r="M26" s="749"/>
      <c r="N26" s="749"/>
      <c r="O26" s="749"/>
      <c r="P26" s="749"/>
      <c r="Q26" s="749"/>
      <c r="R26" s="749"/>
    </row>
    <row r="27" spans="1:19" ht="15" thickTop="1">
      <c r="A27" s="1101"/>
      <c r="B27" s="1101"/>
      <c r="C27" s="1101"/>
      <c r="D27" s="750"/>
      <c r="E27" s="749"/>
      <c r="F27" s="749"/>
      <c r="G27" s="749"/>
      <c r="H27" s="749"/>
      <c r="I27" s="749"/>
      <c r="J27" s="749"/>
      <c r="K27" s="749"/>
      <c r="L27" s="749"/>
      <c r="M27" s="749"/>
      <c r="N27" s="749"/>
      <c r="O27" s="749"/>
      <c r="P27" s="749"/>
      <c r="Q27" s="749"/>
      <c r="R27" s="749"/>
    </row>
    <row r="28" spans="1:19" ht="15.75">
      <c r="A28" s="751" t="s">
        <v>231</v>
      </c>
      <c r="B28" s="751"/>
      <c r="C28" s="750"/>
      <c r="D28" s="750"/>
      <c r="E28" s="749"/>
      <c r="F28" s="749"/>
      <c r="G28" s="749"/>
      <c r="H28" s="749"/>
      <c r="I28" s="749"/>
      <c r="J28" s="749"/>
      <c r="K28" s="749"/>
      <c r="L28" s="749"/>
      <c r="M28" s="749"/>
      <c r="N28" s="749"/>
      <c r="O28" s="749"/>
      <c r="P28" s="749"/>
      <c r="Q28" s="749"/>
      <c r="R28" s="749"/>
    </row>
    <row r="29" spans="1:19">
      <c r="A29" s="1102"/>
      <c r="B29" s="1102"/>
      <c r="C29" s="1102"/>
      <c r="D29" s="1102"/>
      <c r="E29" s="1102"/>
      <c r="F29" s="1102"/>
      <c r="G29" s="1102"/>
      <c r="H29" s="1102"/>
      <c r="I29" s="1102"/>
      <c r="J29" s="1102"/>
      <c r="K29" s="1102"/>
      <c r="L29" s="1102"/>
      <c r="M29" s="1102"/>
      <c r="N29" s="1102"/>
      <c r="O29" s="1102"/>
      <c r="P29" s="1102"/>
      <c r="Q29" s="1102"/>
      <c r="R29" s="1102"/>
    </row>
    <row r="30" spans="1:19" ht="15.75" thickBot="1">
      <c r="A30" s="752"/>
      <c r="B30" s="752"/>
      <c r="C30" s="753"/>
      <c r="D30" s="753"/>
      <c r="E30" s="753"/>
      <c r="F30" s="753"/>
      <c r="G30" s="753"/>
      <c r="H30" s="753"/>
      <c r="I30" s="753"/>
      <c r="J30" s="753"/>
      <c r="K30" s="753"/>
      <c r="L30" s="753"/>
      <c r="M30" s="753"/>
      <c r="N30" s="753"/>
      <c r="O30" s="753"/>
      <c r="P30" s="753"/>
      <c r="Q30" s="753"/>
      <c r="R30" s="753"/>
    </row>
    <row r="31" spans="1:19" ht="17.25" thickTop="1" thickBot="1">
      <c r="A31" s="1103"/>
      <c r="B31" s="883"/>
      <c r="C31" s="1105" t="s">
        <v>347</v>
      </c>
      <c r="D31" s="1106"/>
      <c r="E31" s="1106"/>
      <c r="F31" s="1106"/>
      <c r="G31" s="1106"/>
      <c r="H31" s="1106"/>
      <c r="I31" s="1106"/>
      <c r="J31" s="1106"/>
      <c r="K31" s="1106"/>
      <c r="L31" s="1106"/>
      <c r="M31" s="1106"/>
      <c r="N31" s="1106"/>
      <c r="O31" s="1106"/>
      <c r="P31" s="1106"/>
      <c r="Q31" s="1106"/>
      <c r="R31" s="1107"/>
    </row>
    <row r="32" spans="1:19" ht="16.5" thickTop="1">
      <c r="A32" s="1104"/>
      <c r="B32" s="884"/>
      <c r="C32" s="1108" t="s">
        <v>21</v>
      </c>
      <c r="D32" s="1110" t="s">
        <v>232</v>
      </c>
      <c r="E32" s="1112" t="s">
        <v>197</v>
      </c>
      <c r="F32" s="1113"/>
      <c r="G32" s="1113"/>
      <c r="H32" s="1113"/>
      <c r="I32" s="1113"/>
      <c r="J32" s="1113"/>
      <c r="K32" s="1113"/>
      <c r="L32" s="1114"/>
      <c r="M32" s="1112" t="s">
        <v>198</v>
      </c>
      <c r="N32" s="1113"/>
      <c r="O32" s="1113"/>
      <c r="P32" s="1113"/>
      <c r="Q32" s="1113"/>
      <c r="R32" s="1115" t="s">
        <v>116</v>
      </c>
    </row>
    <row r="33" spans="1:18" ht="45.75" thickBot="1">
      <c r="A33" s="1104"/>
      <c r="B33" s="884"/>
      <c r="C33" s="1109"/>
      <c r="D33" s="1111"/>
      <c r="E33" s="754" t="s">
        <v>199</v>
      </c>
      <c r="F33" s="754" t="s">
        <v>200</v>
      </c>
      <c r="G33" s="754" t="s">
        <v>201</v>
      </c>
      <c r="H33" s="754" t="s">
        <v>202</v>
      </c>
      <c r="I33" s="754" t="s">
        <v>120</v>
      </c>
      <c r="J33" s="754" t="s">
        <v>203</v>
      </c>
      <c r="K33" s="755" t="s">
        <v>233</v>
      </c>
      <c r="L33" s="755" t="s">
        <v>205</v>
      </c>
      <c r="M33" s="64" t="s">
        <v>206</v>
      </c>
      <c r="N33" s="65" t="s">
        <v>207</v>
      </c>
      <c r="O33" s="754" t="s">
        <v>234</v>
      </c>
      <c r="P33" s="754" t="s">
        <v>235</v>
      </c>
      <c r="Q33" s="755" t="s">
        <v>210</v>
      </c>
      <c r="R33" s="1116"/>
    </row>
    <row r="34" spans="1:18" ht="17.25" thickTop="1" thickBot="1">
      <c r="A34" s="896" t="s">
        <v>344</v>
      </c>
      <c r="B34" s="897"/>
      <c r="C34" s="756" t="s">
        <v>236</v>
      </c>
      <c r="D34" s="757"/>
      <c r="E34" s="758"/>
      <c r="F34" s="758"/>
      <c r="G34" s="758"/>
      <c r="H34" s="758"/>
      <c r="I34" s="758"/>
      <c r="J34" s="758"/>
      <c r="K34" s="758"/>
      <c r="L34" s="758"/>
      <c r="M34" s="759"/>
      <c r="N34" s="759"/>
      <c r="O34" s="758"/>
      <c r="P34" s="759"/>
      <c r="Q34" s="760"/>
      <c r="R34" s="761"/>
    </row>
    <row r="35" spans="1:18" ht="15" thickTop="1">
      <c r="A35" s="866" t="s">
        <v>223</v>
      </c>
      <c r="B35" s="893"/>
      <c r="C35" s="719">
        <f ca="1">'Eigen gebouwen'!B19</f>
        <v>0</v>
      </c>
      <c r="D35" s="719">
        <f ca="1">'Eigen gebouwen'!C19</f>
        <v>0</v>
      </c>
      <c r="E35" s="719">
        <f>'Eigen gebouwen'!D19</f>
        <v>0</v>
      </c>
      <c r="F35" s="719">
        <f>'Eigen gebouwen'!E19</f>
        <v>0</v>
      </c>
      <c r="G35" s="719">
        <f>'Eigen gebouwen'!F19</f>
        <v>0</v>
      </c>
      <c r="H35" s="719">
        <f>'Eigen gebouwen'!G19</f>
        <v>0</v>
      </c>
      <c r="I35" s="719">
        <f>'Eigen gebouwen'!H19</f>
        <v>0</v>
      </c>
      <c r="J35" s="719">
        <f>'Eigen gebouwen'!I19</f>
        <v>0</v>
      </c>
      <c r="K35" s="719">
        <f>'Eigen gebouwen'!J19</f>
        <v>0</v>
      </c>
      <c r="L35" s="719">
        <f>'Eigen gebouwen'!K19</f>
        <v>0</v>
      </c>
      <c r="M35" s="719">
        <f>'Eigen gebouwen'!L19</f>
        <v>0</v>
      </c>
      <c r="N35" s="719">
        <f>'Eigen gebouwen'!M19</f>
        <v>0</v>
      </c>
      <c r="O35" s="719">
        <f>'Eigen gebouwen'!N19</f>
        <v>0</v>
      </c>
      <c r="P35" s="719">
        <f>'Eigen gebouwen'!O19</f>
        <v>0</v>
      </c>
      <c r="Q35" s="829">
        <f>'Eigen gebouwen'!P19</f>
        <v>0</v>
      </c>
      <c r="R35" s="917">
        <f ca="1">SUM(C35:Q35)</f>
        <v>0</v>
      </c>
    </row>
    <row r="36" spans="1:18">
      <c r="A36" s="872" t="s">
        <v>224</v>
      </c>
      <c r="B36" s="894"/>
      <c r="C36" s="719">
        <f ca="1">tertiair!B20+'openbare verlichting'!B12</f>
        <v>10621.803024272862</v>
      </c>
      <c r="D36" s="719">
        <f ca="1">tertiair!C20</f>
        <v>0</v>
      </c>
      <c r="E36" s="719">
        <f ca="1">tertiair!D20</f>
        <v>8176.3127280785557</v>
      </c>
      <c r="F36" s="719">
        <f>tertiair!E20</f>
        <v>119.76019563756304</v>
      </c>
      <c r="G36" s="719">
        <f ca="1">tertiair!F20</f>
        <v>1846.2192274694303</v>
      </c>
      <c r="H36" s="719">
        <f>tertiair!G20</f>
        <v>0</v>
      </c>
      <c r="I36" s="719">
        <f>tertiair!H20</f>
        <v>0</v>
      </c>
      <c r="J36" s="719">
        <f>tertiair!I20</f>
        <v>0</v>
      </c>
      <c r="K36" s="719">
        <f>tertiair!J20</f>
        <v>0</v>
      </c>
      <c r="L36" s="719">
        <f>tertiair!K20</f>
        <v>0</v>
      </c>
      <c r="M36" s="719">
        <f ca="1">tertiair!L20</f>
        <v>0</v>
      </c>
      <c r="N36" s="719">
        <f>tertiair!M20</f>
        <v>0</v>
      </c>
      <c r="O36" s="719">
        <f ca="1">tertiair!N20</f>
        <v>0</v>
      </c>
      <c r="P36" s="719">
        <f>tertiair!O20</f>
        <v>0</v>
      </c>
      <c r="Q36" s="829">
        <f>tertiair!P20</f>
        <v>0</v>
      </c>
      <c r="R36" s="918">
        <f ca="1">SUM(C36:Q36)</f>
        <v>20764.095175458413</v>
      </c>
    </row>
    <row r="37" spans="1:18">
      <c r="A37" s="886" t="s">
        <v>225</v>
      </c>
      <c r="B37" s="893"/>
      <c r="C37" s="719">
        <f ca="1">huishoudens!B12</f>
        <v>14571.249480488157</v>
      </c>
      <c r="D37" s="719">
        <f ca="1">huishoudens!C12</f>
        <v>0</v>
      </c>
      <c r="E37" s="719">
        <f>huishoudens!D12</f>
        <v>20105.084699354986</v>
      </c>
      <c r="F37" s="719">
        <f>huishoudens!E12</f>
        <v>1516.6643200618812</v>
      </c>
      <c r="G37" s="719">
        <f>huishoudens!F12</f>
        <v>23804.64901345782</v>
      </c>
      <c r="H37" s="719">
        <f>huishoudens!G12</f>
        <v>0</v>
      </c>
      <c r="I37" s="719">
        <f>huishoudens!H12</f>
        <v>0</v>
      </c>
      <c r="J37" s="719">
        <f>huishoudens!I12</f>
        <v>0</v>
      </c>
      <c r="K37" s="719">
        <f>huishoudens!J12</f>
        <v>1695.9181633735493</v>
      </c>
      <c r="L37" s="719">
        <f>huishoudens!K12</f>
        <v>0</v>
      </c>
      <c r="M37" s="719">
        <f>huishoudens!L12</f>
        <v>0</v>
      </c>
      <c r="N37" s="719">
        <f>huishoudens!M12</f>
        <v>0</v>
      </c>
      <c r="O37" s="719">
        <f>huishoudens!N12</f>
        <v>0</v>
      </c>
      <c r="P37" s="719">
        <f>huishoudens!O12</f>
        <v>0</v>
      </c>
      <c r="Q37" s="829">
        <f>huishoudens!P12</f>
        <v>0</v>
      </c>
      <c r="R37" s="918">
        <f ca="1">SUM(C37:Q37)</f>
        <v>61693.565676736391</v>
      </c>
    </row>
    <row r="38" spans="1:18">
      <c r="A38" s="886" t="s">
        <v>507</v>
      </c>
      <c r="B38" s="893"/>
      <c r="C38" s="719">
        <f ca="1">'Eigen openbare verlichting'!B19</f>
        <v>0</v>
      </c>
      <c r="D38" s="719"/>
      <c r="E38" s="719"/>
      <c r="F38" s="719"/>
      <c r="G38" s="719"/>
      <c r="H38" s="719"/>
      <c r="I38" s="719"/>
      <c r="J38" s="719"/>
      <c r="K38" s="719"/>
      <c r="L38" s="719"/>
      <c r="M38" s="719"/>
      <c r="N38" s="719"/>
      <c r="O38" s="719"/>
      <c r="P38" s="719"/>
      <c r="Q38" s="829"/>
      <c r="R38" s="918">
        <f ca="1">SUM(C38:Q38)</f>
        <v>0</v>
      </c>
    </row>
    <row r="39" spans="1:18">
      <c r="A39" s="886" t="s">
        <v>654</v>
      </c>
      <c r="B39" s="901" t="s">
        <v>651</v>
      </c>
      <c r="C39" s="719">
        <f ca="1">industrie!B22</f>
        <v>10008.91502252349</v>
      </c>
      <c r="D39" s="719">
        <f ca="1">industrie!C22</f>
        <v>0</v>
      </c>
      <c r="E39" s="719">
        <f>industrie!D22</f>
        <v>10291.395412195623</v>
      </c>
      <c r="F39" s="719">
        <f>industrie!E22</f>
        <v>528.40492457347216</v>
      </c>
      <c r="G39" s="719">
        <f>industrie!F22</f>
        <v>10000.792726285017</v>
      </c>
      <c r="H39" s="719">
        <f>industrie!G22</f>
        <v>0</v>
      </c>
      <c r="I39" s="719">
        <f>industrie!H22</f>
        <v>0</v>
      </c>
      <c r="J39" s="719">
        <f>industrie!I22</f>
        <v>0</v>
      </c>
      <c r="K39" s="719">
        <f>industrie!J22</f>
        <v>167.68791618588116</v>
      </c>
      <c r="L39" s="719">
        <f>industrie!K22</f>
        <v>0</v>
      </c>
      <c r="M39" s="719">
        <f>industrie!L22</f>
        <v>0</v>
      </c>
      <c r="N39" s="719">
        <f>industrie!M22</f>
        <v>0</v>
      </c>
      <c r="O39" s="719">
        <f>industrie!N22</f>
        <v>0</v>
      </c>
      <c r="P39" s="719">
        <f>industrie!O22</f>
        <v>0</v>
      </c>
      <c r="Q39" s="829">
        <f>industrie!P22</f>
        <v>0</v>
      </c>
      <c r="R39" s="919">
        <f ca="1">SUM(C39:Q39)</f>
        <v>30997.196001763481</v>
      </c>
    </row>
    <row r="40" spans="1:18" ht="15" thickBot="1">
      <c r="A40" s="895"/>
      <c r="B40" s="902" t="s">
        <v>652</v>
      </c>
      <c r="C40" s="719"/>
      <c r="D40" s="719"/>
      <c r="E40" s="719"/>
      <c r="F40" s="719"/>
      <c r="G40" s="719"/>
      <c r="H40" s="719"/>
      <c r="I40" s="719"/>
      <c r="J40" s="719"/>
      <c r="K40" s="719"/>
      <c r="L40" s="719"/>
      <c r="M40" s="719"/>
      <c r="N40" s="719"/>
      <c r="O40" s="719"/>
      <c r="P40" s="719"/>
      <c r="Q40" s="921"/>
      <c r="R40" s="920">
        <f t="shared" ref="R40" si="3">SUM(C40:Q40)</f>
        <v>0</v>
      </c>
    </row>
    <row r="41" spans="1:18" ht="15.75" thickBot="1">
      <c r="A41" s="768" t="s">
        <v>226</v>
      </c>
      <c r="B41" s="867"/>
      <c r="C41" s="764">
        <f ca="1">SUM(C35:C40)</f>
        <v>35201.967527284512</v>
      </c>
      <c r="D41" s="764">
        <f t="shared" ref="D41:R41" ca="1" si="4">SUM(D35:D40)</f>
        <v>0</v>
      </c>
      <c r="E41" s="764">
        <f t="shared" ca="1" si="4"/>
        <v>38572.792839629168</v>
      </c>
      <c r="F41" s="764">
        <f t="shared" si="4"/>
        <v>2164.8294402729166</v>
      </c>
      <c r="G41" s="764">
        <f t="shared" ca="1" si="4"/>
        <v>35651.660967212272</v>
      </c>
      <c r="H41" s="764">
        <f t="shared" si="4"/>
        <v>0</v>
      </c>
      <c r="I41" s="764">
        <f t="shared" si="4"/>
        <v>0</v>
      </c>
      <c r="J41" s="764">
        <f t="shared" si="4"/>
        <v>0</v>
      </c>
      <c r="K41" s="764">
        <f t="shared" si="4"/>
        <v>1863.6060795594306</v>
      </c>
      <c r="L41" s="764">
        <f t="shared" si="4"/>
        <v>0</v>
      </c>
      <c r="M41" s="764">
        <f t="shared" ca="1" si="4"/>
        <v>0</v>
      </c>
      <c r="N41" s="764">
        <f t="shared" si="4"/>
        <v>0</v>
      </c>
      <c r="O41" s="764">
        <f t="shared" ca="1" si="4"/>
        <v>0</v>
      </c>
      <c r="P41" s="764">
        <f t="shared" si="4"/>
        <v>0</v>
      </c>
      <c r="Q41" s="765">
        <f t="shared" si="4"/>
        <v>0</v>
      </c>
      <c r="R41" s="766">
        <f t="shared" ca="1" si="4"/>
        <v>113454.85685395829</v>
      </c>
    </row>
    <row r="42" spans="1:18" ht="15.75">
      <c r="A42" s="888" t="s">
        <v>227</v>
      </c>
      <c r="B42" s="898"/>
      <c r="C42" s="756"/>
      <c r="D42" s="757"/>
      <c r="E42" s="757"/>
      <c r="F42" s="757"/>
      <c r="G42" s="757"/>
      <c r="H42" s="757"/>
      <c r="I42" s="757"/>
      <c r="J42" s="757"/>
      <c r="K42" s="757"/>
      <c r="L42" s="757"/>
      <c r="M42" s="767"/>
      <c r="N42" s="767"/>
      <c r="O42" s="757"/>
      <c r="P42" s="767"/>
      <c r="Q42" s="767"/>
      <c r="R42" s="761"/>
    </row>
    <row r="43" spans="1:18">
      <c r="A43" s="886" t="s">
        <v>228</v>
      </c>
      <c r="B43" s="893"/>
      <c r="C43" s="719">
        <f ca="1">'Eigen vloot'!B31</f>
        <v>0</v>
      </c>
      <c r="D43" s="719">
        <f>'Eigen vloot'!C31</f>
        <v>0</v>
      </c>
      <c r="E43" s="719">
        <f>'Eigen vloot'!D31</f>
        <v>0</v>
      </c>
      <c r="F43" s="719">
        <f>'Eigen vloot'!E31</f>
        <v>0</v>
      </c>
      <c r="G43" s="719">
        <f>'Eigen vloot'!F31</f>
        <v>0</v>
      </c>
      <c r="H43" s="719">
        <f>'Eigen vloot'!G31</f>
        <v>0</v>
      </c>
      <c r="I43" s="719">
        <f>'Eigen vloot'!H31</f>
        <v>0</v>
      </c>
      <c r="J43" s="719">
        <f>'Eigen vloot'!I31</f>
        <v>0</v>
      </c>
      <c r="K43" s="719">
        <f>'Eigen vloot'!J31</f>
        <v>0</v>
      </c>
      <c r="L43" s="719">
        <f>'Eigen vloot'!K31</f>
        <v>0</v>
      </c>
      <c r="M43" s="719">
        <f>'Eigen vloot'!L31</f>
        <v>0</v>
      </c>
      <c r="N43" s="719">
        <f>'Eigen vloot'!M31</f>
        <v>0</v>
      </c>
      <c r="O43" s="719">
        <f>'Eigen vloot'!N31</f>
        <v>0</v>
      </c>
      <c r="P43" s="719">
        <f>'Eigen vloot'!O31</f>
        <v>0</v>
      </c>
      <c r="Q43" s="719">
        <f>'Eigen vloot'!P31</f>
        <v>0</v>
      </c>
      <c r="R43" s="762">
        <f ca="1">SUM(C43:Q43)</f>
        <v>0</v>
      </c>
    </row>
    <row r="44" spans="1:18">
      <c r="A44" s="886" t="s">
        <v>229</v>
      </c>
      <c r="B44" s="893"/>
      <c r="C44" s="719">
        <f ca="1">transport!B58</f>
        <v>0</v>
      </c>
      <c r="D44" s="719">
        <f ca="1">transport!C58</f>
        <v>0</v>
      </c>
      <c r="E44" s="719">
        <f>transport!D58</f>
        <v>0</v>
      </c>
      <c r="F44" s="719">
        <f>transport!E58</f>
        <v>0</v>
      </c>
      <c r="G44" s="719">
        <f>transport!F58</f>
        <v>0</v>
      </c>
      <c r="H44" s="719">
        <f>transport!G58</f>
        <v>753.96690949817014</v>
      </c>
      <c r="I44" s="719">
        <f>transport!H58</f>
        <v>0</v>
      </c>
      <c r="J44" s="719">
        <f>transport!I58</f>
        <v>0</v>
      </c>
      <c r="K44" s="719">
        <f>transport!J58</f>
        <v>0</v>
      </c>
      <c r="L44" s="719">
        <f>transport!K58</f>
        <v>0</v>
      </c>
      <c r="M44" s="719">
        <f>transport!L58</f>
        <v>0</v>
      </c>
      <c r="N44" s="719">
        <f>transport!M58</f>
        <v>0</v>
      </c>
      <c r="O44" s="719">
        <f>transport!N58</f>
        <v>0</v>
      </c>
      <c r="P44" s="719">
        <f>transport!O58</f>
        <v>0</v>
      </c>
      <c r="Q44" s="720">
        <f>transport!P58</f>
        <v>0</v>
      </c>
      <c r="R44" s="762">
        <f ca="1">SUM(C44:Q44)</f>
        <v>753.96690949817014</v>
      </c>
    </row>
    <row r="45" spans="1:18" ht="15" thickBot="1">
      <c r="A45" s="889" t="s">
        <v>307</v>
      </c>
      <c r="B45" s="899"/>
      <c r="C45" s="728">
        <f ca="1">transport!B18</f>
        <v>5.4453283369772318</v>
      </c>
      <c r="D45" s="728">
        <f>transport!C18</f>
        <v>0</v>
      </c>
      <c r="E45" s="728">
        <f>transport!D18</f>
        <v>14.887680890686543</v>
      </c>
      <c r="F45" s="728">
        <f>transport!E18</f>
        <v>105.6113040610899</v>
      </c>
      <c r="G45" s="728">
        <f>transport!F18</f>
        <v>0</v>
      </c>
      <c r="H45" s="728">
        <f>transport!G18</f>
        <v>41072.79501216975</v>
      </c>
      <c r="I45" s="728">
        <f>transport!H18</f>
        <v>6910.8292610541948</v>
      </c>
      <c r="J45" s="728">
        <f>transport!I18</f>
        <v>0</v>
      </c>
      <c r="K45" s="728">
        <f>transport!J18</f>
        <v>0</v>
      </c>
      <c r="L45" s="728">
        <f>transport!K18</f>
        <v>0</v>
      </c>
      <c r="M45" s="728">
        <f>transport!L18</f>
        <v>0</v>
      </c>
      <c r="N45" s="728">
        <f>transport!M18</f>
        <v>0</v>
      </c>
      <c r="O45" s="728">
        <f>transport!N18</f>
        <v>0</v>
      </c>
      <c r="P45" s="728">
        <f>transport!O18</f>
        <v>0</v>
      </c>
      <c r="Q45" s="729">
        <f>transport!P18</f>
        <v>0</v>
      </c>
      <c r="R45" s="763">
        <f ca="1">SUM(C45:Q45)</f>
        <v>48109.568586512702</v>
      </c>
    </row>
    <row r="46" spans="1:18" ht="15.75" thickBot="1">
      <c r="A46" s="887" t="s">
        <v>230</v>
      </c>
      <c r="B46" s="900"/>
      <c r="C46" s="764">
        <f t="shared" ref="C46:R46" ca="1" si="5">SUM(C43:C45)</f>
        <v>5.4453283369772318</v>
      </c>
      <c r="D46" s="764">
        <f t="shared" ca="1" si="5"/>
        <v>0</v>
      </c>
      <c r="E46" s="764">
        <f t="shared" si="5"/>
        <v>14.887680890686543</v>
      </c>
      <c r="F46" s="764">
        <f t="shared" si="5"/>
        <v>105.6113040610899</v>
      </c>
      <c r="G46" s="764">
        <f t="shared" si="5"/>
        <v>0</v>
      </c>
      <c r="H46" s="764">
        <f t="shared" si="5"/>
        <v>41826.761921667923</v>
      </c>
      <c r="I46" s="764">
        <f t="shared" si="5"/>
        <v>6910.8292610541948</v>
      </c>
      <c r="J46" s="764">
        <f t="shared" si="5"/>
        <v>0</v>
      </c>
      <c r="K46" s="764">
        <f t="shared" si="5"/>
        <v>0</v>
      </c>
      <c r="L46" s="764">
        <f t="shared" si="5"/>
        <v>0</v>
      </c>
      <c r="M46" s="764">
        <f t="shared" si="5"/>
        <v>0</v>
      </c>
      <c r="N46" s="764">
        <f t="shared" si="5"/>
        <v>0</v>
      </c>
      <c r="O46" s="764">
        <f t="shared" si="5"/>
        <v>0</v>
      </c>
      <c r="P46" s="764">
        <f t="shared" si="5"/>
        <v>0</v>
      </c>
      <c r="Q46" s="765">
        <f t="shared" si="5"/>
        <v>0</v>
      </c>
      <c r="R46" s="766">
        <f t="shared" ca="1" si="5"/>
        <v>48863.535496010874</v>
      </c>
    </row>
    <row r="47" spans="1:18" ht="15.75">
      <c r="A47" s="888" t="s">
        <v>237</v>
      </c>
      <c r="B47" s="864"/>
      <c r="C47" s="756"/>
      <c r="D47" s="757"/>
      <c r="E47" s="757"/>
      <c r="F47" s="757"/>
      <c r="G47" s="757"/>
      <c r="H47" s="757"/>
      <c r="I47" s="757"/>
      <c r="J47" s="757"/>
      <c r="K47" s="757"/>
      <c r="L47" s="757"/>
      <c r="M47" s="767"/>
      <c r="N47" s="767"/>
      <c r="O47" s="757"/>
      <c r="P47" s="767"/>
      <c r="Q47" s="767"/>
      <c r="R47" s="761"/>
    </row>
    <row r="48" spans="1:18" ht="15" thickBot="1">
      <c r="A48" s="886" t="s">
        <v>648</v>
      </c>
      <c r="B48" s="905"/>
      <c r="C48" s="719">
        <f ca="1">+landbouw!B12</f>
        <v>251.99435886633475</v>
      </c>
      <c r="D48" s="719">
        <f ca="1">+landbouw!C12</f>
        <v>0</v>
      </c>
      <c r="E48" s="719">
        <f>+landbouw!D12</f>
        <v>906.88175563112634</v>
      </c>
      <c r="F48" s="719">
        <f>+landbouw!E12</f>
        <v>2.5667416871931739</v>
      </c>
      <c r="G48" s="719">
        <f>+landbouw!F12</f>
        <v>826.98232853692548</v>
      </c>
      <c r="H48" s="719">
        <f>+landbouw!G12</f>
        <v>0</v>
      </c>
      <c r="I48" s="719">
        <f>+landbouw!H12</f>
        <v>0</v>
      </c>
      <c r="J48" s="719">
        <f>+landbouw!I12</f>
        <v>0</v>
      </c>
      <c r="K48" s="719">
        <f>+landbouw!J12</f>
        <v>66.25351485404012</v>
      </c>
      <c r="L48" s="719">
        <f>+landbouw!K12</f>
        <v>0</v>
      </c>
      <c r="M48" s="719">
        <f>+landbouw!L12</f>
        <v>0</v>
      </c>
      <c r="N48" s="719">
        <f>+landbouw!M12</f>
        <v>0</v>
      </c>
      <c r="O48" s="719">
        <f>+landbouw!N12</f>
        <v>0</v>
      </c>
      <c r="P48" s="719">
        <f>+landbouw!O12</f>
        <v>0</v>
      </c>
      <c r="Q48" s="720">
        <f>+landbouw!P12</f>
        <v>0</v>
      </c>
      <c r="R48" s="762">
        <f ca="1">SUM(C48:Q48)</f>
        <v>2054.6786995756197</v>
      </c>
    </row>
    <row r="49" spans="1:18" ht="15.75">
      <c r="A49" s="864" t="s">
        <v>649</v>
      </c>
      <c r="B49" s="864"/>
      <c r="C49" s="770"/>
      <c r="D49" s="757"/>
      <c r="E49" s="757"/>
      <c r="F49" s="757"/>
      <c r="G49" s="757"/>
      <c r="H49" s="757"/>
      <c r="I49" s="757"/>
      <c r="J49" s="757"/>
      <c r="K49" s="757"/>
      <c r="L49" s="757"/>
      <c r="M49" s="767"/>
      <c r="N49" s="767"/>
      <c r="O49" s="757"/>
      <c r="P49" s="767"/>
      <c r="Q49" s="767"/>
      <c r="R49" s="761"/>
    </row>
    <row r="50" spans="1:18" ht="15">
      <c r="A50" s="890" t="s">
        <v>238</v>
      </c>
      <c r="B50" s="906"/>
      <c r="C50" s="1126"/>
      <c r="D50" s="1127"/>
      <c r="E50" s="1127"/>
      <c r="F50" s="1127"/>
      <c r="G50" s="1127"/>
      <c r="H50" s="1127"/>
      <c r="I50" s="1127"/>
      <c r="J50" s="1127"/>
      <c r="K50" s="1127"/>
      <c r="L50" s="1127"/>
      <c r="M50" s="1127"/>
      <c r="N50" s="1127"/>
      <c r="O50" s="1127"/>
      <c r="P50" s="1127"/>
      <c r="Q50" s="1127"/>
      <c r="R50" s="771"/>
    </row>
    <row r="51" spans="1:18" ht="15">
      <c r="A51" s="891" t="s">
        <v>239</v>
      </c>
      <c r="B51" s="876"/>
      <c r="C51" s="1128"/>
      <c r="D51" s="1129"/>
      <c r="E51" s="1129"/>
      <c r="F51" s="1129"/>
      <c r="G51" s="1129"/>
      <c r="H51" s="1129"/>
      <c r="I51" s="1129"/>
      <c r="J51" s="1129"/>
      <c r="K51" s="1129"/>
      <c r="L51" s="1129"/>
      <c r="M51" s="1129"/>
      <c r="N51" s="1129"/>
      <c r="O51" s="1129"/>
      <c r="P51" s="1129"/>
      <c r="Q51" s="1129"/>
      <c r="R51" s="772"/>
    </row>
    <row r="52" spans="1:18" ht="15" thickBot="1">
      <c r="A52" s="903" t="s">
        <v>240</v>
      </c>
      <c r="B52" s="904"/>
      <c r="C52" s="1128"/>
      <c r="D52" s="1129"/>
      <c r="E52" s="1129"/>
      <c r="F52" s="1129"/>
      <c r="G52" s="1129"/>
      <c r="H52" s="1129"/>
      <c r="I52" s="1129"/>
      <c r="J52" s="1129"/>
      <c r="K52" s="1129"/>
      <c r="L52" s="1129"/>
      <c r="M52" s="1129"/>
      <c r="N52" s="1129"/>
      <c r="O52" s="1129"/>
      <c r="P52" s="1129"/>
      <c r="Q52" s="1129"/>
      <c r="R52" s="763"/>
    </row>
    <row r="53" spans="1:18" ht="16.5" thickBot="1">
      <c r="A53" s="907" t="s">
        <v>116</v>
      </c>
      <c r="B53" s="908"/>
      <c r="C53" s="773">
        <f ca="1">C41+C46+C48</f>
        <v>35459.40721448783</v>
      </c>
      <c r="D53" s="774">
        <f t="shared" ref="D53:Q53" ca="1" si="6">D41+D46+D48</f>
        <v>0</v>
      </c>
      <c r="E53" s="774">
        <f t="shared" ca="1" si="6"/>
        <v>39494.56227615098</v>
      </c>
      <c r="F53" s="774">
        <f t="shared" si="6"/>
        <v>2273.0074860211998</v>
      </c>
      <c r="G53" s="774">
        <f t="shared" ca="1" si="6"/>
        <v>36478.6432957492</v>
      </c>
      <c r="H53" s="774">
        <f t="shared" si="6"/>
        <v>41826.761921667923</v>
      </c>
      <c r="I53" s="774">
        <f t="shared" si="6"/>
        <v>6910.8292610541948</v>
      </c>
      <c r="J53" s="774">
        <f t="shared" si="6"/>
        <v>0</v>
      </c>
      <c r="K53" s="774">
        <f t="shared" si="6"/>
        <v>1929.8595944134706</v>
      </c>
      <c r="L53" s="774">
        <f t="shared" si="6"/>
        <v>0</v>
      </c>
      <c r="M53" s="774">
        <f t="shared" ca="1" si="6"/>
        <v>0</v>
      </c>
      <c r="N53" s="774">
        <f t="shared" si="6"/>
        <v>0</v>
      </c>
      <c r="O53" s="774">
        <f t="shared" ca="1" si="6"/>
        <v>0</v>
      </c>
      <c r="P53" s="774">
        <f>P41+P46+P48</f>
        <v>0</v>
      </c>
      <c r="Q53" s="775">
        <f t="shared" si="6"/>
        <v>0</v>
      </c>
      <c r="R53" s="776">
        <f ca="1">R41+R46+R48</f>
        <v>164373.07104954479</v>
      </c>
    </row>
    <row r="54" spans="1:18" ht="15.75" thickTop="1" thickBot="1">
      <c r="A54" s="857"/>
      <c r="B54" s="857"/>
      <c r="C54" s="778"/>
      <c r="D54" s="778"/>
      <c r="E54" s="779"/>
      <c r="F54" s="779"/>
      <c r="G54" s="779"/>
      <c r="H54" s="779"/>
      <c r="I54" s="779"/>
      <c r="J54" s="779"/>
      <c r="K54" s="779"/>
      <c r="L54" s="779"/>
      <c r="M54" s="779"/>
      <c r="N54" s="779"/>
      <c r="O54" s="779"/>
      <c r="P54" s="779"/>
      <c r="Q54" s="779"/>
      <c r="R54" s="779"/>
    </row>
    <row r="55" spans="1:18" ht="20.25" thickTop="1" thickBot="1">
      <c r="A55" s="780" t="s">
        <v>348</v>
      </c>
      <c r="B55" s="885"/>
      <c r="C55" s="837">
        <f t="shared" ref="C55:Q55" ca="1" si="7">IF(ISERROR(C53/C23),0,C53/C23)</f>
        <v>0.20642340014501967</v>
      </c>
      <c r="D55" s="837">
        <f t="shared" ca="1" si="7"/>
        <v>0</v>
      </c>
      <c r="E55" s="837">
        <f t="shared" ca="1" si="7"/>
        <v>0.20200000000000004</v>
      </c>
      <c r="F55" s="837">
        <f t="shared" si="7"/>
        <v>0.22700000000000004</v>
      </c>
      <c r="G55" s="837">
        <f t="shared" ca="1" si="7"/>
        <v>0.26700000000000007</v>
      </c>
      <c r="H55" s="837">
        <f t="shared" si="7"/>
        <v>0.26700000000000002</v>
      </c>
      <c r="I55" s="837">
        <f t="shared" si="7"/>
        <v>0.24899999999999997</v>
      </c>
      <c r="J55" s="837">
        <f t="shared" si="7"/>
        <v>0</v>
      </c>
      <c r="K55" s="837">
        <f t="shared" si="7"/>
        <v>0.35400000000000004</v>
      </c>
      <c r="L55" s="837">
        <f t="shared" si="7"/>
        <v>0</v>
      </c>
      <c r="M55" s="837">
        <f t="shared" ca="1" si="7"/>
        <v>0</v>
      </c>
      <c r="N55" s="837">
        <f t="shared" si="7"/>
        <v>0</v>
      </c>
      <c r="O55" s="837">
        <f t="shared" ca="1" si="7"/>
        <v>0</v>
      </c>
      <c r="P55" s="837">
        <f t="shared" si="7"/>
        <v>0</v>
      </c>
      <c r="Q55" s="837">
        <f t="shared" si="7"/>
        <v>0</v>
      </c>
      <c r="R55" s="779"/>
    </row>
    <row r="56" spans="1:18" ht="33" thickTop="1" thickBot="1">
      <c r="A56" s="892" t="s">
        <v>349</v>
      </c>
      <c r="B56" s="868"/>
      <c r="C56" s="838">
        <f>'EF ele_warmte'!B6</f>
        <v>0.221</v>
      </c>
      <c r="D56" s="839"/>
      <c r="E56" s="840"/>
      <c r="F56" s="841"/>
      <c r="G56" s="841"/>
      <c r="H56" s="841"/>
      <c r="I56" s="841"/>
      <c r="J56" s="841"/>
      <c r="K56" s="841"/>
      <c r="L56" s="841"/>
      <c r="M56" s="841"/>
      <c r="N56" s="841"/>
      <c r="O56" s="841"/>
      <c r="P56" s="841"/>
      <c r="Q56" s="841"/>
      <c r="R56" s="779"/>
    </row>
    <row r="57" spans="1:18" ht="15" thickTop="1">
      <c r="A57" s="781"/>
      <c r="B57" s="781"/>
      <c r="C57" s="779"/>
      <c r="D57" s="779"/>
      <c r="E57" s="779"/>
      <c r="F57" s="779"/>
      <c r="G57" s="779"/>
      <c r="H57" s="779"/>
      <c r="I57" s="779"/>
      <c r="J57" s="779"/>
      <c r="K57" s="779"/>
      <c r="L57" s="779"/>
      <c r="M57" s="779"/>
      <c r="N57" s="779"/>
      <c r="O57" s="779"/>
      <c r="P57" s="779"/>
      <c r="Q57" s="779"/>
      <c r="R57" s="779"/>
    </row>
    <row r="58" spans="1:18" ht="18.75">
      <c r="A58" s="782" t="s">
        <v>350</v>
      </c>
      <c r="B58" s="782"/>
      <c r="C58" s="749"/>
      <c r="D58" s="783"/>
      <c r="E58" s="749"/>
      <c r="F58" s="749"/>
      <c r="G58" s="749"/>
      <c r="H58" s="749"/>
      <c r="I58" s="749"/>
      <c r="J58" s="749"/>
      <c r="K58" s="749"/>
      <c r="L58" s="749"/>
      <c r="M58" s="749"/>
      <c r="N58" s="749"/>
      <c r="O58" s="749"/>
      <c r="P58" s="784"/>
      <c r="Q58" s="784"/>
      <c r="R58" s="784"/>
    </row>
    <row r="59" spans="1:18">
      <c r="A59" s="1102"/>
      <c r="B59" s="1102"/>
      <c r="C59" s="1102"/>
      <c r="D59" s="1102"/>
      <c r="E59" s="1102"/>
      <c r="F59" s="1102"/>
      <c r="G59" s="1102"/>
      <c r="H59" s="1102"/>
      <c r="I59" s="1102"/>
      <c r="J59" s="1102"/>
      <c r="K59" s="1102"/>
      <c r="L59" s="1102"/>
      <c r="M59" s="1102"/>
      <c r="N59" s="1102"/>
      <c r="O59" s="1102"/>
      <c r="P59" s="1102"/>
      <c r="Q59" s="1102"/>
      <c r="R59" s="785"/>
    </row>
    <row r="60" spans="1:18" ht="16.5" customHeight="1" thickBot="1">
      <c r="A60" s="752"/>
      <c r="B60" s="752"/>
      <c r="C60" s="753"/>
      <c r="D60" s="753"/>
      <c r="E60" s="753"/>
      <c r="F60" s="753"/>
      <c r="G60" s="753"/>
      <c r="H60" s="753"/>
      <c r="I60" s="753"/>
      <c r="J60" s="753"/>
      <c r="K60" s="753"/>
      <c r="L60" s="753"/>
      <c r="M60" s="753"/>
      <c r="N60" s="753"/>
      <c r="O60" s="753"/>
      <c r="P60" s="753"/>
      <c r="Q60" s="753"/>
      <c r="R60" s="753"/>
    </row>
    <row r="61" spans="1:18" ht="48.75" customHeight="1" thickTop="1" thickBot="1">
      <c r="A61" s="1115" t="s">
        <v>241</v>
      </c>
      <c r="B61" s="1140" t="s">
        <v>351</v>
      </c>
      <c r="C61" s="1131"/>
      <c r="D61" s="1137" t="s">
        <v>352</v>
      </c>
      <c r="E61" s="1138"/>
      <c r="F61" s="1138"/>
      <c r="G61" s="1138"/>
      <c r="H61" s="1138"/>
      <c r="I61" s="1138"/>
      <c r="J61" s="1138"/>
      <c r="K61" s="1138"/>
      <c r="L61" s="1138"/>
      <c r="M61" s="1139"/>
      <c r="N61" s="1131" t="s">
        <v>657</v>
      </c>
      <c r="O61" s="1142" t="s">
        <v>656</v>
      </c>
      <c r="P61" s="1143"/>
      <c r="Q61" s="786"/>
      <c r="R61" s="743"/>
    </row>
    <row r="62" spans="1:18" ht="31.5" thickTop="1" thickBot="1">
      <c r="A62" s="1130"/>
      <c r="B62" s="1141"/>
      <c r="C62" s="1133"/>
      <c r="D62" s="1134" t="s">
        <v>197</v>
      </c>
      <c r="E62" s="1135"/>
      <c r="F62" s="1135"/>
      <c r="G62" s="1135"/>
      <c r="H62" s="1136"/>
      <c r="I62" s="787" t="s">
        <v>245</v>
      </c>
      <c r="J62" s="788" t="s">
        <v>246</v>
      </c>
      <c r="K62" s="788" t="s">
        <v>234</v>
      </c>
      <c r="L62" s="788" t="s">
        <v>247</v>
      </c>
      <c r="M62" s="1147" t="s">
        <v>127</v>
      </c>
      <c r="N62" s="1132"/>
      <c r="O62" s="927"/>
      <c r="P62" s="928"/>
      <c r="Q62" s="786"/>
      <c r="R62" s="743"/>
    </row>
    <row r="63" spans="1:18" ht="95.25" customHeight="1" thickTop="1" thickBot="1">
      <c r="A63" s="1116"/>
      <c r="B63" s="855" t="s">
        <v>565</v>
      </c>
      <c r="C63" s="855" t="s">
        <v>655</v>
      </c>
      <c r="D63" s="789" t="s">
        <v>199</v>
      </c>
      <c r="E63" s="790" t="s">
        <v>200</v>
      </c>
      <c r="F63" s="791" t="s">
        <v>201</v>
      </c>
      <c r="G63" s="792" t="s">
        <v>203</v>
      </c>
      <c r="H63" s="793" t="s">
        <v>204</v>
      </c>
      <c r="I63" s="794"/>
      <c r="J63" s="790"/>
      <c r="K63" s="790"/>
      <c r="L63" s="790"/>
      <c r="M63" s="1148"/>
      <c r="N63" s="1133"/>
      <c r="O63" s="858" t="s">
        <v>658</v>
      </c>
      <c r="P63" s="856" t="s">
        <v>659</v>
      </c>
      <c r="Q63" s="786"/>
      <c r="R63" s="743"/>
    </row>
    <row r="64" spans="1:18" ht="15.75" thickTop="1">
      <c r="A64" s="795" t="s">
        <v>249</v>
      </c>
      <c r="B64" s="909">
        <f>'lokale energieproductie'!B4</f>
        <v>0</v>
      </c>
      <c r="C64" s="796">
        <f>'lokale energieproductie'!B4</f>
        <v>0</v>
      </c>
      <c r="D64" s="1149"/>
      <c r="E64" s="1117"/>
      <c r="F64" s="1117"/>
      <c r="G64" s="1120"/>
      <c r="H64" s="1123"/>
      <c r="I64" s="797"/>
      <c r="J64" s="797"/>
      <c r="K64" s="797"/>
      <c r="L64" s="797"/>
      <c r="M64" s="1144"/>
      <c r="N64" s="922">
        <v>0</v>
      </c>
      <c r="O64" s="929"/>
      <c r="P64" s="922">
        <v>0</v>
      </c>
      <c r="Q64" s="786"/>
      <c r="R64" s="784"/>
    </row>
    <row r="65" spans="1:18" ht="15">
      <c r="A65" s="798" t="s">
        <v>250</v>
      </c>
      <c r="B65" s="795">
        <f>'lokale energieproductie'!B5</f>
        <v>0</v>
      </c>
      <c r="C65" s="796">
        <f>'lokale energieproductie'!B5</f>
        <v>0</v>
      </c>
      <c r="D65" s="1150"/>
      <c r="E65" s="1118"/>
      <c r="F65" s="1118"/>
      <c r="G65" s="1121"/>
      <c r="H65" s="1124"/>
      <c r="I65" s="799"/>
      <c r="J65" s="799"/>
      <c r="K65" s="799"/>
      <c r="L65" s="799"/>
      <c r="M65" s="1145"/>
      <c r="N65" s="923">
        <v>0</v>
      </c>
      <c r="O65" s="929"/>
      <c r="P65" s="923">
        <v>0</v>
      </c>
      <c r="Q65" s="786"/>
      <c r="R65" s="749"/>
    </row>
    <row r="66" spans="1:18" ht="15">
      <c r="A66" s="798" t="s">
        <v>251</v>
      </c>
      <c r="B66" s="795">
        <f>'lokale energieproductie'!B6</f>
        <v>9143.1719817838966</v>
      </c>
      <c r="C66" s="796">
        <f>'lokale energieproductie'!B6</f>
        <v>9143.1719817838966</v>
      </c>
      <c r="D66" s="1151"/>
      <c r="E66" s="1119"/>
      <c r="F66" s="1119"/>
      <c r="G66" s="1122"/>
      <c r="H66" s="1125"/>
      <c r="I66" s="800"/>
      <c r="J66" s="800"/>
      <c r="K66" s="800"/>
      <c r="L66" s="800"/>
      <c r="M66" s="1146"/>
      <c r="N66" s="923">
        <v>0</v>
      </c>
      <c r="O66" s="929"/>
      <c r="P66" s="923">
        <v>0</v>
      </c>
      <c r="Q66" s="786"/>
      <c r="R66" s="784"/>
    </row>
    <row r="67" spans="1:18" ht="15">
      <c r="A67" s="801" t="s">
        <v>252</v>
      </c>
      <c r="B67" s="795">
        <f>'lokale energieproductie'!B7</f>
        <v>0</v>
      </c>
      <c r="C67" s="795">
        <f>B67*IFERROR(SUM(J67:L67)/SUM(D67:M67),0)</f>
        <v>0</v>
      </c>
      <c r="D67" s="827">
        <f>'lokale energieproductie'!C7</f>
        <v>0</v>
      </c>
      <c r="E67" s="828">
        <f>'lokale energieproductie'!D7</f>
        <v>0</v>
      </c>
      <c r="F67" s="828">
        <f>'lokale energieproductie'!E7</f>
        <v>0</v>
      </c>
      <c r="G67" s="828">
        <f>'lokale energieproductie'!F7</f>
        <v>0</v>
      </c>
      <c r="H67" s="828">
        <f>'lokale energieproductie'!G7</f>
        <v>0</v>
      </c>
      <c r="I67" s="828">
        <f>'lokale energieproductie'!H7</f>
        <v>0</v>
      </c>
      <c r="J67" s="828">
        <f>'lokale energieproductie'!I7</f>
        <v>0</v>
      </c>
      <c r="K67" s="828">
        <f>'lokale energieproductie'!J7</f>
        <v>0</v>
      </c>
      <c r="L67" s="828">
        <f>'lokale energieproductie'!K7</f>
        <v>0</v>
      </c>
      <c r="M67" s="829">
        <f>'lokale energieproductie'!L7</f>
        <v>0</v>
      </c>
      <c r="N67" s="912"/>
      <c r="O67" s="924">
        <f>D67*EF_CO2_aardgas+E67*EF_VLgas_CO2+'SEAP template'!F67*EF_stookolie_CO2+EF_bruinkool_CO2*'SEAP template'!G67+'SEAP template'!H67*EF_steenkool_CO2+'EF brandstof'!M4*'SEAP template'!I67+'SEAP template'!M67*EF_anderfossiel_CO2</f>
        <v>0</v>
      </c>
      <c r="P67" s="923">
        <v>0</v>
      </c>
      <c r="Q67" s="786"/>
      <c r="R67" s="743"/>
    </row>
    <row r="68" spans="1:18" ht="30.75" thickBot="1">
      <c r="A68" s="802" t="s">
        <v>353</v>
      </c>
      <c r="B68" s="795">
        <f>'lokale energieproductie'!B8</f>
        <v>2187</v>
      </c>
      <c r="C68" s="795">
        <f>B68*IFERROR(SUM(J68:L68)/SUM(D68:M68),0)</f>
        <v>2187</v>
      </c>
      <c r="D68" s="830">
        <f>'lokale energieproductie'!C8</f>
        <v>0</v>
      </c>
      <c r="E68" s="831">
        <f>'lokale energieproductie'!D8</f>
        <v>0</v>
      </c>
      <c r="F68" s="831">
        <f>'lokale energieproductie'!E8</f>
        <v>0</v>
      </c>
      <c r="G68" s="831">
        <f>'lokale energieproductie'!F8</f>
        <v>0</v>
      </c>
      <c r="H68" s="831">
        <f>'lokale energieproductie'!G8</f>
        <v>0</v>
      </c>
      <c r="I68" s="831">
        <f>'lokale energieproductie'!H8</f>
        <v>0</v>
      </c>
      <c r="J68" s="831">
        <f>'lokale energieproductie'!I8</f>
        <v>0</v>
      </c>
      <c r="K68" s="831">
        <f>'lokale energieproductie'!J8</f>
        <v>6248.5714285714294</v>
      </c>
      <c r="L68" s="831">
        <f>'lokale energieproductie'!K8</f>
        <v>0</v>
      </c>
      <c r="M68" s="832">
        <f>'lokale energieproductie'!L8</f>
        <v>0</v>
      </c>
      <c r="N68" s="913"/>
      <c r="O68" s="924">
        <f>D68*EF_CO2_aardgas+E68*EF_VLgas_CO2+'SEAP template'!F68*EF_stookolie_CO2+EF_bruinkool_CO2*'SEAP template'!G68+'SEAP template'!H68*EF_steenkool_CO2+'EF brandstof'!M4*'SEAP template'!I68+'SEAP template'!M68*EF_anderfossiel_CO2</f>
        <v>0</v>
      </c>
      <c r="P68" s="926">
        <v>0</v>
      </c>
      <c r="Q68" s="786"/>
      <c r="R68" s="743"/>
    </row>
    <row r="69" spans="1:18" ht="16.5" thickTop="1" thickBot="1">
      <c r="A69" s="803" t="s">
        <v>116</v>
      </c>
      <c r="B69" s="804">
        <f>SUM(B64:B68)</f>
        <v>11330.171981783897</v>
      </c>
      <c r="C69" s="804">
        <f>SUM(C64:C68)</f>
        <v>11330.171981783897</v>
      </c>
      <c r="D69" s="805">
        <f t="shared" ref="D69:M69" si="8">SUM(D67:D68)</f>
        <v>0</v>
      </c>
      <c r="E69" s="805">
        <f t="shared" si="8"/>
        <v>0</v>
      </c>
      <c r="F69" s="805">
        <f t="shared" si="8"/>
        <v>0</v>
      </c>
      <c r="G69" s="805">
        <f t="shared" si="8"/>
        <v>0</v>
      </c>
      <c r="H69" s="805">
        <f t="shared" si="8"/>
        <v>0</v>
      </c>
      <c r="I69" s="805">
        <f t="shared" si="8"/>
        <v>0</v>
      </c>
      <c r="J69" s="805">
        <f t="shared" si="8"/>
        <v>0</v>
      </c>
      <c r="K69" s="805">
        <f t="shared" si="8"/>
        <v>6248.5714285714294</v>
      </c>
      <c r="L69" s="805">
        <f t="shared" si="8"/>
        <v>0</v>
      </c>
      <c r="M69" s="931">
        <f t="shared" si="8"/>
        <v>0</v>
      </c>
      <c r="N69" s="806">
        <v>0</v>
      </c>
      <c r="O69" s="806">
        <f>SUM(O67:O68)</f>
        <v>0</v>
      </c>
      <c r="P69" s="806">
        <f>SUM(P64:P68)</f>
        <v>0</v>
      </c>
      <c r="Q69" s="786"/>
      <c r="R69" s="743"/>
    </row>
    <row r="70" spans="1:18" ht="15.75" thickTop="1">
      <c r="A70" s="807"/>
      <c r="B70" s="869"/>
      <c r="C70" s="808"/>
      <c r="D70" s="808"/>
      <c r="E70" s="750"/>
      <c r="F70" s="749"/>
      <c r="G70" s="749"/>
      <c r="H70" s="749"/>
      <c r="I70" s="809"/>
      <c r="J70" s="749"/>
      <c r="K70" s="749"/>
      <c r="L70" s="749"/>
      <c r="M70" s="749"/>
      <c r="N70" s="810"/>
      <c r="O70" s="749"/>
      <c r="P70" s="749"/>
      <c r="Q70" s="749"/>
      <c r="R70" s="749"/>
    </row>
    <row r="71" spans="1:18" ht="15">
      <c r="A71" s="777"/>
      <c r="B71" s="857"/>
      <c r="C71" s="808"/>
      <c r="D71" s="808"/>
      <c r="E71" s="749"/>
      <c r="F71" s="749"/>
      <c r="G71" s="749"/>
      <c r="H71" s="749"/>
      <c r="I71" s="749"/>
      <c r="J71" s="749"/>
      <c r="K71" s="749"/>
      <c r="L71" s="749"/>
      <c r="M71" s="749"/>
      <c r="N71" s="749"/>
      <c r="O71" s="749"/>
      <c r="P71" s="749"/>
      <c r="Q71" s="749"/>
      <c r="R71" s="749"/>
    </row>
    <row r="72" spans="1:18" ht="18.75">
      <c r="A72" s="811" t="s">
        <v>354</v>
      </c>
      <c r="B72" s="811"/>
      <c r="C72" s="812"/>
      <c r="D72" s="783"/>
      <c r="E72" s="749"/>
      <c r="F72" s="749"/>
      <c r="G72" s="749"/>
      <c r="H72" s="749"/>
      <c r="I72" s="749"/>
      <c r="J72" s="749"/>
      <c r="K72" s="749"/>
      <c r="L72" s="749"/>
      <c r="M72" s="749"/>
      <c r="N72" s="749"/>
      <c r="O72" s="749"/>
      <c r="P72" s="749"/>
      <c r="Q72" s="749"/>
      <c r="R72" s="749"/>
    </row>
    <row r="73" spans="1:18">
      <c r="A73" s="1102"/>
      <c r="B73" s="1102"/>
      <c r="C73" s="1102"/>
      <c r="D73" s="1102"/>
      <c r="E73" s="1102"/>
      <c r="F73" s="1102"/>
      <c r="G73" s="1102"/>
      <c r="H73" s="1102"/>
      <c r="I73" s="1102"/>
      <c r="J73" s="1102"/>
      <c r="K73" s="1102"/>
      <c r="L73" s="1102"/>
      <c r="M73" s="1102"/>
      <c r="N73" s="1102"/>
      <c r="O73" s="1102"/>
      <c r="P73" s="1102"/>
      <c r="Q73" s="785"/>
      <c r="R73" s="785"/>
    </row>
    <row r="74" spans="1:18" ht="15.75" thickBot="1">
      <c r="A74" s="752"/>
      <c r="B74" s="752"/>
      <c r="C74" s="753"/>
      <c r="D74" s="753"/>
      <c r="E74" s="753"/>
      <c r="F74" s="753"/>
      <c r="G74" s="753"/>
      <c r="H74" s="753"/>
      <c r="I74" s="753"/>
      <c r="J74" s="753"/>
      <c r="K74" s="753"/>
      <c r="L74" s="753"/>
      <c r="M74" s="753"/>
      <c r="N74" s="753"/>
      <c r="O74" s="753"/>
      <c r="P74" s="753"/>
      <c r="Q74" s="753"/>
      <c r="R74" s="753"/>
    </row>
    <row r="75" spans="1:18" ht="48.2" customHeight="1" thickTop="1" thickBot="1">
      <c r="A75" s="1115" t="s">
        <v>253</v>
      </c>
      <c r="B75" s="1140" t="s">
        <v>355</v>
      </c>
      <c r="C75" s="1131"/>
      <c r="D75" s="1137" t="s">
        <v>356</v>
      </c>
      <c r="E75" s="1138"/>
      <c r="F75" s="1138"/>
      <c r="G75" s="1138"/>
      <c r="H75" s="1138"/>
      <c r="I75" s="1138"/>
      <c r="J75" s="1138"/>
      <c r="K75" s="1138"/>
      <c r="L75" s="1138"/>
      <c r="M75" s="1139"/>
      <c r="N75" s="1131" t="s">
        <v>657</v>
      </c>
      <c r="O75" s="1140" t="s">
        <v>656</v>
      </c>
      <c r="P75" s="1131"/>
      <c r="Q75" s="813"/>
      <c r="R75" s="743"/>
    </row>
    <row r="76" spans="1:18" ht="16.5" thickTop="1" thickBot="1">
      <c r="A76" s="1130"/>
      <c r="B76" s="1157"/>
      <c r="C76" s="1132"/>
      <c r="D76" s="1152" t="s">
        <v>197</v>
      </c>
      <c r="E76" s="1153"/>
      <c r="F76" s="1153"/>
      <c r="G76" s="1153"/>
      <c r="H76" s="1154"/>
      <c r="I76" s="1155" t="s">
        <v>245</v>
      </c>
      <c r="J76" s="1155" t="s">
        <v>246</v>
      </c>
      <c r="K76" s="1110" t="s">
        <v>234</v>
      </c>
      <c r="L76" s="1159" t="s">
        <v>257</v>
      </c>
      <c r="M76" s="1147" t="s">
        <v>127</v>
      </c>
      <c r="N76" s="1132"/>
      <c r="O76" s="927"/>
      <c r="P76" s="928"/>
      <c r="Q76" s="813"/>
      <c r="R76" s="743"/>
    </row>
    <row r="77" spans="1:18" ht="110.25" customHeight="1" thickTop="1" thickBot="1">
      <c r="A77" s="1116"/>
      <c r="B77" s="910" t="s">
        <v>565</v>
      </c>
      <c r="C77" s="910" t="s">
        <v>655</v>
      </c>
      <c r="D77" s="814" t="s">
        <v>199</v>
      </c>
      <c r="E77" s="790" t="s">
        <v>200</v>
      </c>
      <c r="F77" s="815" t="s">
        <v>201</v>
      </c>
      <c r="G77" s="790" t="s">
        <v>203</v>
      </c>
      <c r="H77" s="816" t="s">
        <v>204</v>
      </c>
      <c r="I77" s="1156"/>
      <c r="J77" s="1156"/>
      <c r="K77" s="1158"/>
      <c r="L77" s="1111"/>
      <c r="M77" s="1160"/>
      <c r="N77" s="1133"/>
      <c r="O77" s="858" t="s">
        <v>658</v>
      </c>
      <c r="P77" s="856" t="s">
        <v>659</v>
      </c>
      <c r="Q77" s="813"/>
      <c r="R77" s="743"/>
    </row>
    <row r="78" spans="1:18" ht="15.75" thickTop="1">
      <c r="A78" s="817" t="s">
        <v>252</v>
      </c>
      <c r="B78" s="818">
        <f>'lokale energieproductie'!B16</f>
        <v>0</v>
      </c>
      <c r="C78" s="818">
        <f>B78*IFERROR(SUM(I78:L78)/SUM(D78:M78),0)</f>
        <v>0</v>
      </c>
      <c r="D78" s="833">
        <f>'lokale energieproductie'!C16</f>
        <v>0</v>
      </c>
      <c r="E78" s="833">
        <f>'lokale energieproductie'!D16</f>
        <v>0</v>
      </c>
      <c r="F78" s="833">
        <f>'lokale energieproductie'!E16</f>
        <v>0</v>
      </c>
      <c r="G78" s="833">
        <f>'lokale energieproductie'!F16</f>
        <v>0</v>
      </c>
      <c r="H78" s="833">
        <f>'lokale energieproductie'!G16</f>
        <v>0</v>
      </c>
      <c r="I78" s="833">
        <f>'lokale energieproductie'!H16</f>
        <v>0</v>
      </c>
      <c r="J78" s="833">
        <f>'lokale energieproductie'!I16</f>
        <v>0</v>
      </c>
      <c r="K78" s="833">
        <f>'lokale energieproductie'!J16</f>
        <v>0</v>
      </c>
      <c r="L78" s="833">
        <f>'lokale energieproductie'!K16</f>
        <v>0</v>
      </c>
      <c r="M78" s="833">
        <f>'lokale energieproductie'!L16</f>
        <v>0</v>
      </c>
      <c r="N78" s="911"/>
      <c r="O78" s="930">
        <f>D78*EF_CO2_aardgas+E78*EF_VLgas_CO2+'SEAP template'!F78*EF_stookolie_CO2+EF_bruinkool_CO2*'SEAP template'!G78+'SEAP template'!H78*EF_steenkool_CO2+'EF brandstof'!M4*'SEAP template'!I78+'SEAP template'!M78*EF_anderfossiel_CO2</f>
        <v>0</v>
      </c>
      <c r="P78" s="914">
        <v>0</v>
      </c>
      <c r="Q78" s="813"/>
      <c r="R78" s="743"/>
    </row>
    <row r="79" spans="1:18" ht="15">
      <c r="A79" s="819" t="s">
        <v>258</v>
      </c>
      <c r="B79" s="818">
        <f>'lokale energieproductie'!B17</f>
        <v>0</v>
      </c>
      <c r="C79" s="818">
        <f>B79*IFERROR(SUM(J79:L79)/SUM(D79:M79),0)</f>
        <v>0</v>
      </c>
      <c r="D79" s="833">
        <f>'lokale energieproductie'!C17</f>
        <v>0</v>
      </c>
      <c r="E79" s="833">
        <f>'lokale energieproductie'!D17</f>
        <v>0</v>
      </c>
      <c r="F79" s="833">
        <f>'lokale energieproductie'!E17</f>
        <v>0</v>
      </c>
      <c r="G79" s="833">
        <f>'lokale energieproductie'!F17</f>
        <v>0</v>
      </c>
      <c r="H79" s="833">
        <f>'lokale energieproductie'!G17</f>
        <v>0</v>
      </c>
      <c r="I79" s="833">
        <f>'lokale energieproductie'!H17</f>
        <v>0</v>
      </c>
      <c r="J79" s="833">
        <f>'lokale energieproductie'!I17</f>
        <v>0</v>
      </c>
      <c r="K79" s="833">
        <f>'lokale energieproductie'!J17</f>
        <v>0</v>
      </c>
      <c r="L79" s="833">
        <f>'lokale energieproductie'!K17</f>
        <v>0</v>
      </c>
      <c r="M79" s="833">
        <f>'lokale energieproductie'!L17</f>
        <v>0</v>
      </c>
      <c r="N79" s="912"/>
      <c r="O79" s="924">
        <f>D79*EF_CO2_aardgas+E79*EF_VLgas_CO2+'SEAP template'!F79*EF_stookolie_CO2+EF_bruinkool_CO2*'SEAP template'!G79+'SEAP template'!H79*EF_steenkool_CO2+'EF brandstof'!M4*'SEAP template'!I79+'SEAP template'!M79*EF_anderfossiel_CO2</f>
        <v>0</v>
      </c>
      <c r="P79" s="915">
        <v>0</v>
      </c>
      <c r="Q79" s="820"/>
      <c r="R79" s="743"/>
    </row>
    <row r="80" spans="1:18" ht="30.75" thickBot="1">
      <c r="A80" s="802" t="s">
        <v>353</v>
      </c>
      <c r="B80" s="818">
        <f>'lokale energieproductie'!B18</f>
        <v>0</v>
      </c>
      <c r="C80" s="818">
        <f>B80*IFERROR(SUM(J80:L80)/SUM(D80:M80),0)</f>
        <v>0</v>
      </c>
      <c r="D80" s="833">
        <f>'lokale energieproductie'!C18</f>
        <v>0</v>
      </c>
      <c r="E80" s="833">
        <f>'lokale energieproductie'!D18</f>
        <v>0</v>
      </c>
      <c r="F80" s="833">
        <f>'lokale energieproductie'!E18</f>
        <v>0</v>
      </c>
      <c r="G80" s="833">
        <f>'lokale energieproductie'!F18</f>
        <v>0</v>
      </c>
      <c r="H80" s="833">
        <f>'lokale energieproductie'!G18</f>
        <v>0</v>
      </c>
      <c r="I80" s="833">
        <f>'lokale energieproductie'!H18</f>
        <v>0</v>
      </c>
      <c r="J80" s="833">
        <f>'lokale energieproductie'!I18</f>
        <v>0</v>
      </c>
      <c r="K80" s="833">
        <f>'lokale energieproductie'!J18</f>
        <v>0</v>
      </c>
      <c r="L80" s="833">
        <f>'lokale energieproductie'!K18</f>
        <v>0</v>
      </c>
      <c r="M80" s="833">
        <f>'lokale energieproductie'!L18</f>
        <v>0</v>
      </c>
      <c r="N80" s="912"/>
      <c r="O80" s="925">
        <f>D80*EF_CO2_aardgas+E80*EF_VLgas_CO2+'SEAP template'!F80*EF_stookolie_CO2+EF_bruinkool_CO2*'SEAP template'!G80+'SEAP template'!H80*EF_steenkool_CO2+'EF brandstof'!M4*'SEAP template'!I80+'SEAP template'!M80*EF_anderfossiel_CO2</f>
        <v>0</v>
      </c>
      <c r="P80" s="916">
        <v>0</v>
      </c>
      <c r="Q80" s="820"/>
      <c r="R80" s="743"/>
    </row>
    <row r="81" spans="1:18" ht="16.5" thickTop="1" thickBot="1">
      <c r="A81" s="821" t="s">
        <v>116</v>
      </c>
      <c r="B81" s="804">
        <f>SUM(B78:B80)</f>
        <v>0</v>
      </c>
      <c r="C81" s="804">
        <f>SUM(C78:C80)</f>
        <v>0</v>
      </c>
      <c r="D81" s="804">
        <f t="shared" ref="D81:P81" si="9">SUM(D78:D80)</f>
        <v>0</v>
      </c>
      <c r="E81" s="804">
        <f t="shared" si="9"/>
        <v>0</v>
      </c>
      <c r="F81" s="804">
        <f t="shared" si="9"/>
        <v>0</v>
      </c>
      <c r="G81" s="804">
        <f t="shared" si="9"/>
        <v>0</v>
      </c>
      <c r="H81" s="804">
        <f t="shared" si="9"/>
        <v>0</v>
      </c>
      <c r="I81" s="804">
        <f t="shared" si="9"/>
        <v>0</v>
      </c>
      <c r="J81" s="804">
        <f t="shared" si="9"/>
        <v>0</v>
      </c>
      <c r="K81" s="804">
        <f t="shared" si="9"/>
        <v>0</v>
      </c>
      <c r="L81" s="804">
        <f t="shared" si="9"/>
        <v>0</v>
      </c>
      <c r="M81" s="804">
        <f t="shared" si="9"/>
        <v>0</v>
      </c>
      <c r="N81" s="804">
        <v>0</v>
      </c>
      <c r="O81" s="804">
        <f>SUM(O78:O80)</f>
        <v>0</v>
      </c>
      <c r="P81" s="931">
        <f t="shared" si="9"/>
        <v>0</v>
      </c>
      <c r="Q81" s="820"/>
      <c r="R81" s="743"/>
    </row>
    <row r="82" spans="1:18" ht="15.75" thickTop="1">
      <c r="A82" s="822"/>
      <c r="B82" s="822"/>
      <c r="C82" s="823"/>
      <c r="D82" s="824"/>
      <c r="E82" s="825"/>
      <c r="F82" s="809"/>
      <c r="G82" s="809"/>
      <c r="H82" s="809"/>
      <c r="I82" s="809"/>
      <c r="J82" s="809"/>
      <c r="K82" s="809"/>
      <c r="L82" s="809"/>
      <c r="M82" s="749"/>
      <c r="N82" s="809"/>
      <c r="O82" s="749"/>
      <c r="P82" s="784"/>
      <c r="Q82" s="749"/>
      <c r="R82" s="749"/>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4"/>
  <sheetViews>
    <sheetView workbookViewId="0">
      <selection activeCell="A25" sqref="A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5" t="s">
        <v>627</v>
      </c>
      <c r="B1" s="975" t="s">
        <v>628</v>
      </c>
      <c r="C1" s="975" t="s">
        <v>630</v>
      </c>
      <c r="D1" s="975" t="s">
        <v>629</v>
      </c>
    </row>
    <row r="2" spans="1:4" s="960" customFormat="1">
      <c r="A2" s="960" t="s">
        <v>679</v>
      </c>
      <c r="B2" s="986">
        <v>42433</v>
      </c>
      <c r="C2" s="960" t="s">
        <v>682</v>
      </c>
      <c r="D2" s="987" t="s">
        <v>677</v>
      </c>
    </row>
    <row r="3" spans="1:4" s="960" customFormat="1">
      <c r="A3" s="960" t="s">
        <v>679</v>
      </c>
      <c r="B3" s="986">
        <v>42425</v>
      </c>
      <c r="C3" s="960" t="s">
        <v>678</v>
      </c>
      <c r="D3" s="987" t="s">
        <v>673</v>
      </c>
    </row>
    <row r="4" spans="1:4" s="960" customFormat="1">
      <c r="A4" s="960" t="s">
        <v>679</v>
      </c>
      <c r="B4" s="986">
        <v>42433</v>
      </c>
      <c r="C4" s="960" t="s">
        <v>680</v>
      </c>
      <c r="D4" s="987" t="s">
        <v>674</v>
      </c>
    </row>
    <row r="5" spans="1:4" s="960" customFormat="1">
      <c r="A5" s="960" t="s">
        <v>679</v>
      </c>
      <c r="B5" s="986">
        <v>42433</v>
      </c>
      <c r="C5" s="960" t="s">
        <v>681</v>
      </c>
      <c r="D5" s="987" t="s">
        <v>675</v>
      </c>
    </row>
    <row r="6" spans="1:4" s="960" customFormat="1">
      <c r="A6" s="960" t="s">
        <v>679</v>
      </c>
      <c r="B6" s="986">
        <v>42433</v>
      </c>
      <c r="C6" s="960" t="s">
        <v>683</v>
      </c>
      <c r="D6" s="987" t="s">
        <v>676</v>
      </c>
    </row>
    <row r="7" spans="1:4" s="960" customFormat="1">
      <c r="A7" s="960" t="s">
        <v>679</v>
      </c>
      <c r="B7" s="986">
        <v>42436</v>
      </c>
      <c r="C7" s="960" t="s">
        <v>690</v>
      </c>
      <c r="D7" s="987" t="s">
        <v>645</v>
      </c>
    </row>
    <row r="8" spans="1:4" s="960" customFormat="1">
      <c r="A8" s="960" t="s">
        <v>679</v>
      </c>
      <c r="B8" s="986">
        <v>42436</v>
      </c>
      <c r="C8" s="960" t="s">
        <v>691</v>
      </c>
      <c r="D8" s="987" t="s">
        <v>646</v>
      </c>
    </row>
    <row r="9" spans="1:4" s="7" customFormat="1">
      <c r="A9" s="960" t="s">
        <v>679</v>
      </c>
      <c r="B9" s="986">
        <v>42436</v>
      </c>
      <c r="C9" s="986" t="s">
        <v>712</v>
      </c>
      <c r="D9" s="987" t="s">
        <v>697</v>
      </c>
    </row>
    <row r="10" spans="1:4" s="7" customFormat="1">
      <c r="A10" s="960" t="s">
        <v>679</v>
      </c>
      <c r="B10" s="986">
        <v>42436</v>
      </c>
      <c r="C10" s="986" t="s">
        <v>698</v>
      </c>
      <c r="D10" s="987" t="s">
        <v>660</v>
      </c>
    </row>
    <row r="11" spans="1:4" s="7" customFormat="1">
      <c r="A11" s="960" t="s">
        <v>679</v>
      </c>
      <c r="B11" s="986">
        <v>42538</v>
      </c>
      <c r="C11" s="986" t="s">
        <v>732</v>
      </c>
      <c r="D11" s="986"/>
    </row>
    <row r="12" spans="1:4" s="7" customFormat="1">
      <c r="A12" s="960" t="s">
        <v>679</v>
      </c>
      <c r="B12" s="986">
        <v>42538</v>
      </c>
      <c r="C12" s="986" t="s">
        <v>734</v>
      </c>
      <c r="D12" s="1002" t="s">
        <v>736</v>
      </c>
    </row>
    <row r="13" spans="1:4" s="7" customFormat="1">
      <c r="A13" s="960" t="s">
        <v>679</v>
      </c>
      <c r="B13" s="986">
        <v>42538</v>
      </c>
      <c r="C13" s="986" t="s">
        <v>735</v>
      </c>
      <c r="D13" s="1003" t="s">
        <v>737</v>
      </c>
    </row>
    <row r="14" spans="1:4" s="7" customFormat="1">
      <c r="A14" s="960" t="s">
        <v>679</v>
      </c>
      <c r="B14" s="986">
        <v>42538</v>
      </c>
      <c r="C14" s="986" t="s">
        <v>733</v>
      </c>
      <c r="D14" s="1002" t="s">
        <v>738</v>
      </c>
    </row>
    <row r="15" spans="1:4" s="7" customFormat="1">
      <c r="A15" s="960" t="s">
        <v>743</v>
      </c>
      <c r="B15" s="986">
        <v>42583</v>
      </c>
      <c r="C15" s="986" t="s">
        <v>744</v>
      </c>
      <c r="D15" s="968"/>
    </row>
    <row r="16" spans="1:4" s="7" customFormat="1">
      <c r="A16" s="960" t="s">
        <v>754</v>
      </c>
      <c r="B16" s="1011">
        <v>42877</v>
      </c>
      <c r="C16" s="959" t="s">
        <v>803</v>
      </c>
      <c r="D16" s="1012" t="s">
        <v>676</v>
      </c>
    </row>
    <row r="17" spans="1:4" s="7" customFormat="1">
      <c r="A17" s="960" t="s">
        <v>754</v>
      </c>
      <c r="B17" s="1011">
        <v>42877</v>
      </c>
      <c r="C17" s="959" t="s">
        <v>804</v>
      </c>
      <c r="D17" s="1012" t="s">
        <v>752</v>
      </c>
    </row>
    <row r="18" spans="1:4" s="7" customFormat="1">
      <c r="A18" s="960" t="s">
        <v>754</v>
      </c>
      <c r="B18" s="1011">
        <v>42877</v>
      </c>
      <c r="C18" s="959" t="s">
        <v>805</v>
      </c>
      <c r="D18" s="1012" t="s">
        <v>753</v>
      </c>
    </row>
    <row r="19" spans="1:4" s="7" customFormat="1">
      <c r="A19" s="960" t="s">
        <v>789</v>
      </c>
      <c r="B19" s="986">
        <v>43167</v>
      </c>
      <c r="C19" s="986" t="s">
        <v>790</v>
      </c>
      <c r="D19" s="1012" t="s">
        <v>791</v>
      </c>
    </row>
    <row r="20" spans="1:4" s="7" customFormat="1">
      <c r="A20" s="960" t="s">
        <v>789</v>
      </c>
      <c r="B20" s="986">
        <v>43167</v>
      </c>
      <c r="C20" s="986" t="s">
        <v>792</v>
      </c>
      <c r="D20" s="1024" t="s">
        <v>793</v>
      </c>
    </row>
    <row r="21" spans="1:4">
      <c r="A21" s="960" t="s">
        <v>789</v>
      </c>
      <c r="B21" s="986">
        <v>43167</v>
      </c>
      <c r="C21" s="986" t="s">
        <v>794</v>
      </c>
      <c r="D21" s="1024" t="s">
        <v>795</v>
      </c>
    </row>
    <row r="22" spans="1:4">
      <c r="A22" s="960" t="s">
        <v>789</v>
      </c>
      <c r="B22" s="986">
        <v>43167</v>
      </c>
      <c r="C22" s="986" t="s">
        <v>796</v>
      </c>
      <c r="D22" s="1024" t="s">
        <v>797</v>
      </c>
    </row>
    <row r="23" spans="1:4">
      <c r="A23" s="960" t="s">
        <v>789</v>
      </c>
      <c r="B23" s="986">
        <v>43278</v>
      </c>
      <c r="C23" s="986" t="s">
        <v>824</v>
      </c>
      <c r="D23" s="1012"/>
    </row>
    <row r="24" spans="1:4">
      <c r="A24" s="960" t="s">
        <v>826</v>
      </c>
      <c r="B24" s="986">
        <v>43425</v>
      </c>
      <c r="C24" s="986" t="s">
        <v>827</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7" bestFit="1" customWidth="1"/>
    <col min="2" max="2" width="11.28515625" style="477" bestFit="1" customWidth="1"/>
    <col min="3" max="3" width="15.42578125" style="477" bestFit="1" customWidth="1"/>
    <col min="4" max="4" width="9.140625" style="477"/>
    <col min="5" max="5" width="16.28515625" style="477" customWidth="1"/>
    <col min="6" max="8" width="9.140625" style="477"/>
    <col min="9" max="9" width="14.28515625" style="477" customWidth="1"/>
    <col min="10" max="10" width="18.5703125" style="477" customWidth="1"/>
    <col min="11" max="11" width="15.140625" style="477" customWidth="1"/>
    <col min="12" max="12" width="15.42578125" style="477" customWidth="1"/>
    <col min="13" max="13" width="17" style="477" customWidth="1"/>
    <col min="14" max="14" width="16.42578125" style="477" customWidth="1"/>
    <col min="15" max="15" width="13.42578125" style="477" customWidth="1"/>
    <col min="16" max="16" width="18.28515625" style="477" customWidth="1"/>
    <col min="17" max="17" width="10.5703125" style="477" bestFit="1" customWidth="1"/>
    <col min="18" max="18" width="9.5703125" style="477" bestFit="1" customWidth="1"/>
    <col min="19" max="16384" width="9.140625" style="477"/>
  </cols>
  <sheetData>
    <row r="1" spans="1:17" ht="15.75">
      <c r="A1" s="1161" t="s">
        <v>560</v>
      </c>
      <c r="B1" s="1162" t="s">
        <v>556</v>
      </c>
      <c r="C1" s="1162"/>
      <c r="D1" s="1162"/>
      <c r="E1" s="1162"/>
      <c r="F1" s="1162"/>
      <c r="G1" s="1162"/>
      <c r="H1" s="1162"/>
      <c r="I1" s="1162"/>
      <c r="J1" s="1162"/>
      <c r="K1" s="1162"/>
      <c r="L1" s="1162"/>
      <c r="M1" s="1162"/>
      <c r="N1" s="1162"/>
      <c r="O1" s="1162"/>
      <c r="P1" s="1163"/>
      <c r="Q1" s="476"/>
    </row>
    <row r="2" spans="1:17">
      <c r="A2" s="1161"/>
      <c r="B2" s="1164" t="s">
        <v>21</v>
      </c>
      <c r="C2" s="1166" t="s">
        <v>196</v>
      </c>
      <c r="D2" s="1168" t="s">
        <v>197</v>
      </c>
      <c r="E2" s="1169"/>
      <c r="F2" s="1169"/>
      <c r="G2" s="1169"/>
      <c r="H2" s="1169"/>
      <c r="I2" s="1169"/>
      <c r="J2" s="1169"/>
      <c r="K2" s="1165"/>
      <c r="L2" s="1168" t="s">
        <v>198</v>
      </c>
      <c r="M2" s="1169"/>
      <c r="N2" s="1169"/>
      <c r="O2" s="1169"/>
      <c r="P2" s="1165"/>
      <c r="Q2" s="476"/>
    </row>
    <row r="3" spans="1:17" ht="45">
      <c r="A3" s="1161"/>
      <c r="B3" s="1165"/>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c r="Q3" s="476" t="s">
        <v>116</v>
      </c>
    </row>
    <row r="4" spans="1:17">
      <c r="A4" s="478" t="s">
        <v>155</v>
      </c>
      <c r="B4" s="479">
        <f>huishoudens!B8</f>
        <v>70589.136068155785</v>
      </c>
      <c r="C4" s="479">
        <f>huishoudens!C8</f>
        <v>0</v>
      </c>
      <c r="D4" s="479">
        <f>huishoudens!D8</f>
        <v>99530.122274034569</v>
      </c>
      <c r="E4" s="479">
        <f>huishoudens!E8</f>
        <v>6681.3406170126927</v>
      </c>
      <c r="F4" s="479">
        <f>huishoudens!F8</f>
        <v>89155.988814448763</v>
      </c>
      <c r="G4" s="479">
        <f>huishoudens!G8</f>
        <v>0</v>
      </c>
      <c r="H4" s="479">
        <f>huishoudens!H8</f>
        <v>0</v>
      </c>
      <c r="I4" s="479">
        <f>huishoudens!I8</f>
        <v>0</v>
      </c>
      <c r="J4" s="479">
        <f>huishoudens!J8</f>
        <v>4790.7292750665238</v>
      </c>
      <c r="K4" s="479">
        <f>huishoudens!K8</f>
        <v>0</v>
      </c>
      <c r="L4" s="479">
        <f>huishoudens!L8</f>
        <v>0</v>
      </c>
      <c r="M4" s="479">
        <f>huishoudens!M8</f>
        <v>0</v>
      </c>
      <c r="N4" s="479">
        <f>huishoudens!N8</f>
        <v>28437.172040123252</v>
      </c>
      <c r="O4" s="479">
        <f>huishoudens!O8</f>
        <v>345.49666666666667</v>
      </c>
      <c r="P4" s="480">
        <f>huishoudens!P8</f>
        <v>991.4666666666667</v>
      </c>
      <c r="Q4" s="481">
        <f>SUM(B4:P4)</f>
        <v>300521.45242217492</v>
      </c>
    </row>
    <row r="5" spans="1:17">
      <c r="A5" s="478" t="s">
        <v>156</v>
      </c>
      <c r="B5" s="479">
        <f ca="1">tertiair!B16</f>
        <v>48894.059199999989</v>
      </c>
      <c r="C5" s="479">
        <f ca="1">tertiair!C16</f>
        <v>0</v>
      </c>
      <c r="D5" s="479">
        <f ca="1">tertiair!D16</f>
        <v>40476.795683557204</v>
      </c>
      <c r="E5" s="479">
        <f>tertiair!E16</f>
        <v>527.57795435049798</v>
      </c>
      <c r="F5" s="479">
        <f ca="1">tertiair!F16</f>
        <v>6914.6787545671541</v>
      </c>
      <c r="G5" s="479">
        <f>tertiair!G16</f>
        <v>0</v>
      </c>
      <c r="H5" s="479">
        <f>tertiair!H16</f>
        <v>0</v>
      </c>
      <c r="I5" s="479">
        <f>tertiair!I16</f>
        <v>0</v>
      </c>
      <c r="J5" s="479">
        <f>tertiair!J16</f>
        <v>0</v>
      </c>
      <c r="K5" s="479">
        <f>tertiair!K16</f>
        <v>0</v>
      </c>
      <c r="L5" s="479">
        <f ca="1">tertiair!L16</f>
        <v>0</v>
      </c>
      <c r="M5" s="479">
        <f>tertiair!M16</f>
        <v>0</v>
      </c>
      <c r="N5" s="479">
        <f ca="1">tertiair!N16</f>
        <v>0</v>
      </c>
      <c r="O5" s="479">
        <f>tertiair!O16</f>
        <v>3.1266666666666669</v>
      </c>
      <c r="P5" s="480">
        <f>tertiair!P16</f>
        <v>38.133333333333333</v>
      </c>
      <c r="Q5" s="478">
        <f t="shared" ref="Q5:Q13" ca="1" si="0">SUM(B5:P5)</f>
        <v>96854.371592474839</v>
      </c>
    </row>
    <row r="6" spans="1:17">
      <c r="A6" s="478" t="s">
        <v>194</v>
      </c>
      <c r="B6" s="479">
        <f>'openbare verlichting'!B8</f>
        <v>2562.3310000000001</v>
      </c>
      <c r="C6" s="479"/>
      <c r="D6" s="479"/>
      <c r="E6" s="479"/>
      <c r="F6" s="479"/>
      <c r="G6" s="479"/>
      <c r="H6" s="479"/>
      <c r="I6" s="479"/>
      <c r="J6" s="479"/>
      <c r="K6" s="479"/>
      <c r="L6" s="479"/>
      <c r="M6" s="479"/>
      <c r="N6" s="479"/>
      <c r="O6" s="479"/>
      <c r="P6" s="480"/>
      <c r="Q6" s="478">
        <f t="shared" si="0"/>
        <v>2562.3310000000001</v>
      </c>
    </row>
    <row r="7" spans="1:17">
      <c r="A7" s="478" t="s">
        <v>112</v>
      </c>
      <c r="B7" s="479">
        <f>landbouw!B8</f>
        <v>1220.7645</v>
      </c>
      <c r="C7" s="479">
        <f>landbouw!C8</f>
        <v>0</v>
      </c>
      <c r="D7" s="479">
        <f>landbouw!D8</f>
        <v>4489.5136417382491</v>
      </c>
      <c r="E7" s="479">
        <f>landbouw!E8</f>
        <v>11.307232102172572</v>
      </c>
      <c r="F7" s="479">
        <f>landbouw!F8</f>
        <v>3097.3120918985969</v>
      </c>
      <c r="G7" s="479">
        <f>landbouw!G8</f>
        <v>0</v>
      </c>
      <c r="H7" s="479">
        <f>landbouw!H8</f>
        <v>0</v>
      </c>
      <c r="I7" s="479">
        <f>landbouw!I8</f>
        <v>0</v>
      </c>
      <c r="J7" s="479">
        <f>landbouw!J8</f>
        <v>187.15682162158228</v>
      </c>
      <c r="K7" s="479">
        <f>landbouw!K8</f>
        <v>0</v>
      </c>
      <c r="L7" s="479">
        <f>landbouw!L8</f>
        <v>0</v>
      </c>
      <c r="M7" s="479">
        <f>landbouw!M8</f>
        <v>0</v>
      </c>
      <c r="N7" s="479">
        <f>landbouw!N8</f>
        <v>0</v>
      </c>
      <c r="O7" s="479">
        <f>landbouw!O8</f>
        <v>0</v>
      </c>
      <c r="P7" s="480">
        <f>landbouw!P8</f>
        <v>0</v>
      </c>
      <c r="Q7" s="478">
        <f t="shared" si="0"/>
        <v>9006.0542873606009</v>
      </c>
    </row>
    <row r="8" spans="1:17">
      <c r="A8" s="478" t="s">
        <v>650</v>
      </c>
      <c r="B8" s="479">
        <f>industrie!B18</f>
        <v>48487.308199999999</v>
      </c>
      <c r="C8" s="479">
        <f>industrie!C18</f>
        <v>0</v>
      </c>
      <c r="D8" s="479">
        <f>industrie!D18</f>
        <v>50947.502040572392</v>
      </c>
      <c r="E8" s="479">
        <f>industrie!E18</f>
        <v>2327.7749981210227</v>
      </c>
      <c r="F8" s="479">
        <f>industrie!F18</f>
        <v>37456.152532902684</v>
      </c>
      <c r="G8" s="479">
        <f>industrie!G18</f>
        <v>0</v>
      </c>
      <c r="H8" s="479">
        <f>industrie!H18</f>
        <v>0</v>
      </c>
      <c r="I8" s="479">
        <f>industrie!I18</f>
        <v>0</v>
      </c>
      <c r="J8" s="479">
        <f>industrie!J18</f>
        <v>473.69467849118979</v>
      </c>
      <c r="K8" s="479">
        <f>industrie!K18</f>
        <v>0</v>
      </c>
      <c r="L8" s="479">
        <f>industrie!L18</f>
        <v>0</v>
      </c>
      <c r="M8" s="479">
        <f>industrie!M18</f>
        <v>0</v>
      </c>
      <c r="N8" s="479">
        <f>industrie!N18</f>
        <v>14047.740359325067</v>
      </c>
      <c r="O8" s="479">
        <f>industrie!O18</f>
        <v>0</v>
      </c>
      <c r="P8" s="480">
        <f>industrie!P18</f>
        <v>0</v>
      </c>
      <c r="Q8" s="478">
        <f t="shared" si="0"/>
        <v>153740.17280941235</v>
      </c>
    </row>
    <row r="9" spans="1:17" s="484" customFormat="1">
      <c r="A9" s="482" t="s">
        <v>571</v>
      </c>
      <c r="B9" s="483">
        <f>transport!B14</f>
        <v>26.379414025501468</v>
      </c>
      <c r="C9" s="483"/>
      <c r="D9" s="483">
        <f>transport!D14</f>
        <v>73.701390547953181</v>
      </c>
      <c r="E9" s="483">
        <f>transport!E14</f>
        <v>465.24803551140923</v>
      </c>
      <c r="F9" s="483"/>
      <c r="G9" s="483">
        <f>transport!G14</f>
        <v>153830.69292947472</v>
      </c>
      <c r="H9" s="483">
        <f>transport!H14</f>
        <v>27754.334381743756</v>
      </c>
      <c r="I9" s="483"/>
      <c r="J9" s="483"/>
      <c r="K9" s="483"/>
      <c r="L9" s="483"/>
      <c r="M9" s="483">
        <f>transport!M14</f>
        <v>9752.7847133006326</v>
      </c>
      <c r="N9" s="483"/>
      <c r="O9" s="483"/>
      <c r="P9" s="483"/>
      <c r="Q9" s="482">
        <f>SUM(B9:P9)</f>
        <v>191903.14086460398</v>
      </c>
    </row>
    <row r="10" spans="1:17">
      <c r="A10" s="478" t="s">
        <v>561</v>
      </c>
      <c r="B10" s="479">
        <f>transport!B54</f>
        <v>0</v>
      </c>
      <c r="C10" s="479"/>
      <c r="D10" s="479">
        <f>transport!D54</f>
        <v>0</v>
      </c>
      <c r="E10" s="479"/>
      <c r="F10" s="479"/>
      <c r="G10" s="479">
        <f>transport!G54</f>
        <v>2823.8461029894011</v>
      </c>
      <c r="H10" s="479"/>
      <c r="I10" s="479"/>
      <c r="J10" s="479"/>
      <c r="K10" s="479"/>
      <c r="L10" s="479"/>
      <c r="M10" s="479">
        <f>transport!M54</f>
        <v>161.03571129740715</v>
      </c>
      <c r="N10" s="479"/>
      <c r="O10" s="479"/>
      <c r="P10" s="480"/>
      <c r="Q10" s="478">
        <f t="shared" si="0"/>
        <v>2984.8818142868081</v>
      </c>
    </row>
    <row r="11" spans="1:17">
      <c r="A11" s="478" t="s">
        <v>562</v>
      </c>
      <c r="B11" s="479">
        <f>'Eigen gebouwen'!B15</f>
        <v>0</v>
      </c>
      <c r="C11" s="479">
        <f>'Eigen gebouwen'!C15</f>
        <v>0</v>
      </c>
      <c r="D11" s="479">
        <f>'Eigen gebouwen'!D15</f>
        <v>0</v>
      </c>
      <c r="E11" s="479">
        <f>'Eigen gebouwen'!E15</f>
        <v>0</v>
      </c>
      <c r="F11" s="479">
        <f>'Eigen gebouwen'!F15</f>
        <v>0</v>
      </c>
      <c r="G11" s="479">
        <f>'Eigen gebouwen'!G15</f>
        <v>0</v>
      </c>
      <c r="H11" s="479">
        <f>'Eigen gebouwen'!H15</f>
        <v>0</v>
      </c>
      <c r="I11" s="479">
        <f>'Eigen gebouwen'!I15</f>
        <v>0</v>
      </c>
      <c r="J11" s="479">
        <f>'Eigen gebouwen'!J15</f>
        <v>0</v>
      </c>
      <c r="K11" s="479">
        <f>'Eigen gebouwen'!K15</f>
        <v>0</v>
      </c>
      <c r="L11" s="479">
        <f>'Eigen gebouwen'!L15</f>
        <v>0</v>
      </c>
      <c r="M11" s="479">
        <f>'Eigen gebouwen'!M15</f>
        <v>0</v>
      </c>
      <c r="N11" s="479">
        <f>'Eigen gebouwen'!N15</f>
        <v>0</v>
      </c>
      <c r="O11" s="479">
        <f>'Eigen gebouwen'!O15</f>
        <v>0</v>
      </c>
      <c r="P11" s="480">
        <f>'Eigen gebouwen'!P15</f>
        <v>0</v>
      </c>
      <c r="Q11" s="478">
        <f t="shared" si="0"/>
        <v>0</v>
      </c>
    </row>
    <row r="12" spans="1:17">
      <c r="A12" s="478" t="s">
        <v>563</v>
      </c>
      <c r="B12" s="479">
        <f>'Eigen openbare verlichting'!B15</f>
        <v>0</v>
      </c>
      <c r="C12" s="479"/>
      <c r="D12" s="479"/>
      <c r="E12" s="479"/>
      <c r="F12" s="479"/>
      <c r="G12" s="479"/>
      <c r="H12" s="479"/>
      <c r="I12" s="479"/>
      <c r="J12" s="479"/>
      <c r="K12" s="479"/>
      <c r="L12" s="479"/>
      <c r="M12" s="479"/>
      <c r="N12" s="479"/>
      <c r="O12" s="479"/>
      <c r="P12" s="480"/>
      <c r="Q12" s="478">
        <f t="shared" si="0"/>
        <v>0</v>
      </c>
    </row>
    <row r="13" spans="1:17">
      <c r="A13" s="485" t="s">
        <v>564</v>
      </c>
      <c r="B13" s="486">
        <f>'Eigen vloot'!B27</f>
        <v>0</v>
      </c>
      <c r="C13" s="486"/>
      <c r="D13" s="486">
        <f>'Eigen vloot'!D27</f>
        <v>0</v>
      </c>
      <c r="E13" s="486">
        <f>'Eigen vloot'!E27</f>
        <v>0</v>
      </c>
      <c r="F13" s="486"/>
      <c r="G13" s="486">
        <f>'Eigen vloot'!G27</f>
        <v>0</v>
      </c>
      <c r="H13" s="486">
        <f>'Eigen vloot'!H27</f>
        <v>0</v>
      </c>
      <c r="I13" s="486"/>
      <c r="J13" s="486"/>
      <c r="K13" s="486"/>
      <c r="L13" s="486"/>
      <c r="M13" s="486">
        <f>'Eigen vloot'!M27</f>
        <v>0</v>
      </c>
      <c r="N13" s="486"/>
      <c r="O13" s="486"/>
      <c r="P13" s="487"/>
      <c r="Q13" s="485">
        <f t="shared" si="0"/>
        <v>0</v>
      </c>
    </row>
    <row r="14" spans="1:17" s="491" customFormat="1">
      <c r="A14" s="488" t="s">
        <v>565</v>
      </c>
      <c r="B14" s="489">
        <f ca="1">SUM(B4:B13)</f>
        <v>171779.97838218129</v>
      </c>
      <c r="C14" s="489">
        <f t="shared" ref="C14:Q14" ca="1" si="1">SUM(C4:C13)</f>
        <v>0</v>
      </c>
      <c r="D14" s="489">
        <f t="shared" ca="1" si="1"/>
        <v>195517.63503045033</v>
      </c>
      <c r="E14" s="489">
        <f t="shared" si="1"/>
        <v>10013.248837097795</v>
      </c>
      <c r="F14" s="489">
        <f t="shared" ca="1" si="1"/>
        <v>136624.1321938172</v>
      </c>
      <c r="G14" s="489">
        <f t="shared" si="1"/>
        <v>156654.53903246412</v>
      </c>
      <c r="H14" s="489">
        <f t="shared" si="1"/>
        <v>27754.334381743756</v>
      </c>
      <c r="I14" s="489">
        <f t="shared" si="1"/>
        <v>0</v>
      </c>
      <c r="J14" s="489">
        <f t="shared" si="1"/>
        <v>5451.5807751792954</v>
      </c>
      <c r="K14" s="489">
        <f t="shared" si="1"/>
        <v>0</v>
      </c>
      <c r="L14" s="489">
        <f t="shared" ca="1" si="1"/>
        <v>0</v>
      </c>
      <c r="M14" s="489">
        <f t="shared" si="1"/>
        <v>9913.8204245980396</v>
      </c>
      <c r="N14" s="489">
        <f t="shared" ca="1" si="1"/>
        <v>42484.912399448323</v>
      </c>
      <c r="O14" s="489">
        <f t="shared" si="1"/>
        <v>348.62333333333333</v>
      </c>
      <c r="P14" s="490">
        <f t="shared" si="1"/>
        <v>1029.6000000000001</v>
      </c>
      <c r="Q14" s="490">
        <f t="shared" ca="1" si="1"/>
        <v>757572.40479031345</v>
      </c>
    </row>
    <row r="16" spans="1:17">
      <c r="A16" s="492" t="s">
        <v>566</v>
      </c>
      <c r="B16" s="842">
        <f ca="1">huishoudens!B10</f>
        <v>0.20642340014501959</v>
      </c>
      <c r="C16" s="842">
        <f ca="1">huishoudens!C10</f>
        <v>0</v>
      </c>
      <c r="D16" s="842">
        <f>huishoudens!D10</f>
        <v>0.20200000000000001</v>
      </c>
      <c r="E16" s="842">
        <f>huishoudens!E10</f>
        <v>0.22700000000000001</v>
      </c>
      <c r="F16" s="842">
        <f>huishoudens!F10</f>
        <v>0.26700000000000002</v>
      </c>
      <c r="G16" s="842">
        <f>huishoudens!G10</f>
        <v>0.26700000000000002</v>
      </c>
      <c r="H16" s="842">
        <f>huishoudens!H10</f>
        <v>0.249</v>
      </c>
      <c r="I16" s="842">
        <f>huishoudens!I10</f>
        <v>0.35099999999999998</v>
      </c>
      <c r="J16" s="842">
        <f>huishoudens!J10</f>
        <v>0.35399999999999998</v>
      </c>
      <c r="K16" s="842">
        <f>huishoudens!K10</f>
        <v>0.26400000000000001</v>
      </c>
      <c r="L16" s="842">
        <f>huishoudens!L10</f>
        <v>0</v>
      </c>
      <c r="M16" s="842">
        <f>huishoudens!M10</f>
        <v>0</v>
      </c>
      <c r="N16" s="842">
        <f>huishoudens!N10</f>
        <v>0</v>
      </c>
      <c r="O16" s="842">
        <f>huishoudens!O10</f>
        <v>0</v>
      </c>
      <c r="P16" s="842">
        <f>huishoudens!P10</f>
        <v>0</v>
      </c>
    </row>
    <row r="18" spans="1:17" ht="15.75">
      <c r="A18" s="1161" t="s">
        <v>568</v>
      </c>
      <c r="B18" s="1162" t="s">
        <v>567</v>
      </c>
      <c r="C18" s="1162"/>
      <c r="D18" s="1162"/>
      <c r="E18" s="1162"/>
      <c r="F18" s="1162"/>
      <c r="G18" s="1162"/>
      <c r="H18" s="1162"/>
      <c r="I18" s="1162"/>
      <c r="J18" s="1162"/>
      <c r="K18" s="1162"/>
      <c r="L18" s="1162"/>
      <c r="M18" s="1162"/>
      <c r="N18" s="1162"/>
      <c r="O18" s="1162"/>
      <c r="P18" s="1163"/>
      <c r="Q18" s="476"/>
    </row>
    <row r="19" spans="1:17" ht="15" customHeight="1">
      <c r="A19" s="1161"/>
      <c r="B19" s="1164" t="s">
        <v>21</v>
      </c>
      <c r="C19" s="1166" t="s">
        <v>196</v>
      </c>
      <c r="D19" s="1168" t="s">
        <v>197</v>
      </c>
      <c r="E19" s="1169"/>
      <c r="F19" s="1169"/>
      <c r="G19" s="1169"/>
      <c r="H19" s="1169"/>
      <c r="I19" s="1169"/>
      <c r="J19" s="1169"/>
      <c r="K19" s="1165"/>
      <c r="L19" s="1168" t="s">
        <v>198</v>
      </c>
      <c r="M19" s="1169"/>
      <c r="N19" s="1169"/>
      <c r="O19" s="1169"/>
      <c r="P19" s="1165"/>
      <c r="Q19" s="476"/>
    </row>
    <row r="20" spans="1:17" ht="45">
      <c r="A20" s="1161"/>
      <c r="B20" s="1165"/>
      <c r="C20" s="1167"/>
      <c r="D20" s="476" t="s">
        <v>199</v>
      </c>
      <c r="E20" s="476" t="s">
        <v>200</v>
      </c>
      <c r="F20" s="476" t="s">
        <v>201</v>
      </c>
      <c r="G20" s="476" t="s">
        <v>202</v>
      </c>
      <c r="H20" s="476" t="s">
        <v>120</v>
      </c>
      <c r="I20" s="476" t="s">
        <v>203</v>
      </c>
      <c r="J20" s="476" t="s">
        <v>204</v>
      </c>
      <c r="K20" s="476" t="s">
        <v>205</v>
      </c>
      <c r="L20" s="476" t="s">
        <v>206</v>
      </c>
      <c r="M20" s="476" t="s">
        <v>207</v>
      </c>
      <c r="N20" s="476" t="s">
        <v>208</v>
      </c>
      <c r="O20" s="476" t="s">
        <v>209</v>
      </c>
      <c r="P20" s="476" t="s">
        <v>210</v>
      </c>
      <c r="Q20" s="476" t="s">
        <v>116</v>
      </c>
    </row>
    <row r="21" spans="1:17">
      <c r="A21" s="478" t="s">
        <v>155</v>
      </c>
      <c r="B21" s="479">
        <f t="shared" ref="B21:B30" ca="1" si="2">B4*$B$16</f>
        <v>14571.249480488157</v>
      </c>
      <c r="C21" s="479">
        <f t="shared" ref="C21:C28" ca="1" si="3">C4*$C$16</f>
        <v>0</v>
      </c>
      <c r="D21" s="479">
        <f t="shared" ref="D21:D30" si="4">D4*$D$16</f>
        <v>20105.084699354986</v>
      </c>
      <c r="E21" s="479">
        <f t="shared" ref="E21:E30" si="5">E4*$E$16</f>
        <v>1516.6643200618812</v>
      </c>
      <c r="F21" s="479">
        <f t="shared" ref="F21:F28" si="6">F4*$F$16</f>
        <v>23804.64901345782</v>
      </c>
      <c r="G21" s="479">
        <f t="shared" ref="G21:G30" si="7">G4*$G$16</f>
        <v>0</v>
      </c>
      <c r="H21" s="479">
        <f t="shared" ref="H21:H30" si="8">H4*$H$16</f>
        <v>0</v>
      </c>
      <c r="I21" s="479">
        <f t="shared" ref="I21:I28" si="9">I4*$I$16</f>
        <v>0</v>
      </c>
      <c r="J21" s="479">
        <f t="shared" ref="J21:J28" si="10">J4*$J$16</f>
        <v>1695.9181633735493</v>
      </c>
      <c r="K21" s="479">
        <f t="shared" ref="K21:K28" si="11">K4*$K$16</f>
        <v>0</v>
      </c>
      <c r="L21" s="479">
        <f t="shared" ref="L21:L28" si="12">L4*$L$16</f>
        <v>0</v>
      </c>
      <c r="M21" s="479">
        <f t="shared" ref="M21:M30" si="13">M4*$M$16</f>
        <v>0</v>
      </c>
      <c r="N21" s="479">
        <f t="shared" ref="N21:N28" si="14">N4*$N$16</f>
        <v>0</v>
      </c>
      <c r="O21" s="479">
        <f t="shared" ref="O21:O28" si="15">O4*$O$16</f>
        <v>0</v>
      </c>
      <c r="P21" s="493">
        <f t="shared" ref="P21:P28" si="16">P4*$P$16</f>
        <v>0</v>
      </c>
      <c r="Q21" s="481">
        <f ca="1">SUM(B21:P21)</f>
        <v>61693.565676736391</v>
      </c>
    </row>
    <row r="22" spans="1:17">
      <c r="A22" s="478" t="s">
        <v>156</v>
      </c>
      <c r="B22" s="479">
        <f t="shared" ca="1" si="2"/>
        <v>10092.877946955874</v>
      </c>
      <c r="C22" s="479">
        <f t="shared" ca="1" si="3"/>
        <v>0</v>
      </c>
      <c r="D22" s="479">
        <f t="shared" ca="1" si="4"/>
        <v>8176.3127280785557</v>
      </c>
      <c r="E22" s="479">
        <f t="shared" si="5"/>
        <v>119.76019563756304</v>
      </c>
      <c r="F22" s="479">
        <f t="shared" ca="1" si="6"/>
        <v>1846.2192274694303</v>
      </c>
      <c r="G22" s="479">
        <f t="shared" si="7"/>
        <v>0</v>
      </c>
      <c r="H22" s="479">
        <f t="shared" si="8"/>
        <v>0</v>
      </c>
      <c r="I22" s="479">
        <f t="shared" si="9"/>
        <v>0</v>
      </c>
      <c r="J22" s="479">
        <f t="shared" si="10"/>
        <v>0</v>
      </c>
      <c r="K22" s="479">
        <f t="shared" si="11"/>
        <v>0</v>
      </c>
      <c r="L22" s="479">
        <f t="shared" ca="1" si="12"/>
        <v>0</v>
      </c>
      <c r="M22" s="479">
        <f t="shared" si="13"/>
        <v>0</v>
      </c>
      <c r="N22" s="479">
        <f t="shared" ca="1" si="14"/>
        <v>0</v>
      </c>
      <c r="O22" s="479">
        <f t="shared" si="15"/>
        <v>0</v>
      </c>
      <c r="P22" s="480">
        <f t="shared" si="16"/>
        <v>0</v>
      </c>
      <c r="Q22" s="478">
        <f t="shared" ref="Q22:Q30" ca="1" si="17">SUM(B22:P22)</f>
        <v>20235.170098141421</v>
      </c>
    </row>
    <row r="23" spans="1:17">
      <c r="A23" s="478" t="s">
        <v>194</v>
      </c>
      <c r="B23" s="479">
        <f t="shared" ca="1" si="2"/>
        <v>528.92507731698822</v>
      </c>
      <c r="C23" s="479"/>
      <c r="D23" s="479"/>
      <c r="E23" s="479"/>
      <c r="F23" s="479"/>
      <c r="G23" s="479"/>
      <c r="H23" s="479"/>
      <c r="I23" s="479"/>
      <c r="J23" s="479"/>
      <c r="K23" s="479"/>
      <c r="L23" s="479"/>
      <c r="M23" s="479"/>
      <c r="N23" s="479"/>
      <c r="O23" s="479"/>
      <c r="P23" s="480"/>
      <c r="Q23" s="478">
        <f t="shared" ca="1" si="17"/>
        <v>528.92507731698822</v>
      </c>
    </row>
    <row r="24" spans="1:17">
      <c r="A24" s="478" t="s">
        <v>112</v>
      </c>
      <c r="B24" s="479">
        <f t="shared" ca="1" si="2"/>
        <v>251.99435886633475</v>
      </c>
      <c r="C24" s="479">
        <f t="shared" ca="1" si="3"/>
        <v>0</v>
      </c>
      <c r="D24" s="479">
        <f t="shared" si="4"/>
        <v>906.88175563112634</v>
      </c>
      <c r="E24" s="479">
        <f t="shared" si="5"/>
        <v>2.5667416871931739</v>
      </c>
      <c r="F24" s="479">
        <f t="shared" si="6"/>
        <v>826.98232853692548</v>
      </c>
      <c r="G24" s="479">
        <f t="shared" si="7"/>
        <v>0</v>
      </c>
      <c r="H24" s="479">
        <f t="shared" si="8"/>
        <v>0</v>
      </c>
      <c r="I24" s="479">
        <f t="shared" si="9"/>
        <v>0</v>
      </c>
      <c r="J24" s="479">
        <f t="shared" si="10"/>
        <v>66.25351485404012</v>
      </c>
      <c r="K24" s="479">
        <f t="shared" si="11"/>
        <v>0</v>
      </c>
      <c r="L24" s="479">
        <f t="shared" si="12"/>
        <v>0</v>
      </c>
      <c r="M24" s="479">
        <f t="shared" si="13"/>
        <v>0</v>
      </c>
      <c r="N24" s="479">
        <f t="shared" si="14"/>
        <v>0</v>
      </c>
      <c r="O24" s="479">
        <f t="shared" si="15"/>
        <v>0</v>
      </c>
      <c r="P24" s="480">
        <f t="shared" si="16"/>
        <v>0</v>
      </c>
      <c r="Q24" s="478">
        <f t="shared" ca="1" si="17"/>
        <v>2054.6786995756197</v>
      </c>
    </row>
    <row r="25" spans="1:17">
      <c r="A25" s="478" t="s">
        <v>650</v>
      </c>
      <c r="B25" s="479">
        <f t="shared" ca="1" si="2"/>
        <v>10008.91502252349</v>
      </c>
      <c r="C25" s="479">
        <f t="shared" ca="1" si="3"/>
        <v>0</v>
      </c>
      <c r="D25" s="479">
        <f t="shared" si="4"/>
        <v>10291.395412195623</v>
      </c>
      <c r="E25" s="479">
        <f t="shared" si="5"/>
        <v>528.40492457347216</v>
      </c>
      <c r="F25" s="479">
        <f t="shared" si="6"/>
        <v>10000.792726285017</v>
      </c>
      <c r="G25" s="479">
        <f t="shared" si="7"/>
        <v>0</v>
      </c>
      <c r="H25" s="479">
        <f t="shared" si="8"/>
        <v>0</v>
      </c>
      <c r="I25" s="479">
        <f t="shared" si="9"/>
        <v>0</v>
      </c>
      <c r="J25" s="479">
        <f t="shared" si="10"/>
        <v>167.68791618588116</v>
      </c>
      <c r="K25" s="479">
        <f t="shared" si="11"/>
        <v>0</v>
      </c>
      <c r="L25" s="479">
        <f t="shared" si="12"/>
        <v>0</v>
      </c>
      <c r="M25" s="479">
        <f t="shared" si="13"/>
        <v>0</v>
      </c>
      <c r="N25" s="479">
        <f t="shared" si="14"/>
        <v>0</v>
      </c>
      <c r="O25" s="479">
        <f t="shared" si="15"/>
        <v>0</v>
      </c>
      <c r="P25" s="480">
        <f t="shared" si="16"/>
        <v>0</v>
      </c>
      <c r="Q25" s="478">
        <f t="shared" ca="1" si="17"/>
        <v>30997.196001763481</v>
      </c>
    </row>
    <row r="26" spans="1:17" s="484" customFormat="1">
      <c r="A26" s="482" t="s">
        <v>571</v>
      </c>
      <c r="B26" s="836">
        <f t="shared" ca="1" si="2"/>
        <v>5.4453283369772318</v>
      </c>
      <c r="C26" s="483"/>
      <c r="D26" s="483">
        <f t="shared" si="4"/>
        <v>14.887680890686543</v>
      </c>
      <c r="E26" s="483">
        <f t="shared" si="5"/>
        <v>105.6113040610899</v>
      </c>
      <c r="F26" s="483"/>
      <c r="G26" s="483">
        <f t="shared" si="7"/>
        <v>41072.79501216975</v>
      </c>
      <c r="H26" s="483">
        <f t="shared" si="8"/>
        <v>6910.8292610541948</v>
      </c>
      <c r="I26" s="483"/>
      <c r="J26" s="483"/>
      <c r="K26" s="483"/>
      <c r="L26" s="483"/>
      <c r="M26" s="483">
        <f t="shared" si="13"/>
        <v>0</v>
      </c>
      <c r="N26" s="483"/>
      <c r="O26" s="483"/>
      <c r="P26" s="494"/>
      <c r="Q26" s="482">
        <f t="shared" ca="1" si="17"/>
        <v>48109.568586512702</v>
      </c>
    </row>
    <row r="27" spans="1:17">
      <c r="A27" s="478" t="s">
        <v>561</v>
      </c>
      <c r="B27" s="479">
        <f t="shared" ca="1" si="2"/>
        <v>0</v>
      </c>
      <c r="C27" s="479"/>
      <c r="D27" s="483">
        <f t="shared" si="4"/>
        <v>0</v>
      </c>
      <c r="E27" s="479"/>
      <c r="F27" s="479"/>
      <c r="G27" s="479">
        <f t="shared" si="7"/>
        <v>753.96690949817014</v>
      </c>
      <c r="H27" s="479"/>
      <c r="I27" s="479"/>
      <c r="J27" s="479"/>
      <c r="K27" s="479"/>
      <c r="L27" s="479"/>
      <c r="M27" s="479">
        <f t="shared" si="13"/>
        <v>0</v>
      </c>
      <c r="N27" s="479"/>
      <c r="O27" s="479"/>
      <c r="P27" s="480"/>
      <c r="Q27" s="478">
        <f t="shared" ca="1" si="17"/>
        <v>753.96690949817014</v>
      </c>
    </row>
    <row r="28" spans="1:17">
      <c r="A28" s="478" t="s">
        <v>562</v>
      </c>
      <c r="B28" s="479">
        <f t="shared" ca="1" si="2"/>
        <v>0</v>
      </c>
      <c r="C28" s="479">
        <f t="shared" ca="1" si="3"/>
        <v>0</v>
      </c>
      <c r="D28" s="479">
        <f t="shared" si="4"/>
        <v>0</v>
      </c>
      <c r="E28" s="479">
        <f t="shared" si="5"/>
        <v>0</v>
      </c>
      <c r="F28" s="479">
        <f t="shared" si="6"/>
        <v>0</v>
      </c>
      <c r="G28" s="479">
        <f t="shared" si="7"/>
        <v>0</v>
      </c>
      <c r="H28" s="479">
        <f t="shared" si="8"/>
        <v>0</v>
      </c>
      <c r="I28" s="479">
        <f t="shared" si="9"/>
        <v>0</v>
      </c>
      <c r="J28" s="479">
        <f t="shared" si="10"/>
        <v>0</v>
      </c>
      <c r="K28" s="479">
        <f t="shared" si="11"/>
        <v>0</v>
      </c>
      <c r="L28" s="479">
        <f t="shared" si="12"/>
        <v>0</v>
      </c>
      <c r="M28" s="479">
        <f t="shared" si="13"/>
        <v>0</v>
      </c>
      <c r="N28" s="479">
        <f t="shared" si="14"/>
        <v>0</v>
      </c>
      <c r="O28" s="479">
        <f t="shared" si="15"/>
        <v>0</v>
      </c>
      <c r="P28" s="480">
        <f t="shared" si="16"/>
        <v>0</v>
      </c>
      <c r="Q28" s="478">
        <f t="shared" ca="1" si="17"/>
        <v>0</v>
      </c>
    </row>
    <row r="29" spans="1:17">
      <c r="A29" s="478" t="s">
        <v>563</v>
      </c>
      <c r="B29" s="479">
        <f t="shared" ca="1" si="2"/>
        <v>0</v>
      </c>
      <c r="C29" s="479"/>
      <c r="D29" s="479"/>
      <c r="E29" s="479"/>
      <c r="F29" s="479"/>
      <c r="G29" s="479"/>
      <c r="H29" s="479"/>
      <c r="I29" s="479"/>
      <c r="J29" s="479"/>
      <c r="K29" s="479"/>
      <c r="L29" s="479"/>
      <c r="M29" s="479"/>
      <c r="N29" s="479"/>
      <c r="O29" s="479"/>
      <c r="P29" s="480"/>
      <c r="Q29" s="478">
        <f t="shared" ca="1" si="17"/>
        <v>0</v>
      </c>
    </row>
    <row r="30" spans="1:17">
      <c r="A30" s="485" t="s">
        <v>564</v>
      </c>
      <c r="B30" s="479">
        <f t="shared" ca="1" si="2"/>
        <v>0</v>
      </c>
      <c r="C30" s="479"/>
      <c r="D30" s="479">
        <f t="shared" si="4"/>
        <v>0</v>
      </c>
      <c r="E30" s="479">
        <f t="shared" si="5"/>
        <v>0</v>
      </c>
      <c r="F30" s="479"/>
      <c r="G30" s="479">
        <f t="shared" si="7"/>
        <v>0</v>
      </c>
      <c r="H30" s="479">
        <f t="shared" si="8"/>
        <v>0</v>
      </c>
      <c r="I30" s="479"/>
      <c r="J30" s="479"/>
      <c r="K30" s="479"/>
      <c r="L30" s="479"/>
      <c r="M30" s="479">
        <f t="shared" si="13"/>
        <v>0</v>
      </c>
      <c r="N30" s="479"/>
      <c r="O30" s="479"/>
      <c r="P30" s="480"/>
      <c r="Q30" s="478">
        <f t="shared" ca="1" si="17"/>
        <v>0</v>
      </c>
    </row>
    <row r="31" spans="1:17" s="491" customFormat="1">
      <c r="A31" s="488" t="s">
        <v>565</v>
      </c>
      <c r="B31" s="489">
        <f t="shared" ref="B31:Q31" ca="1" si="18">SUM(B21:B30)</f>
        <v>35459.407214487823</v>
      </c>
      <c r="C31" s="489">
        <f t="shared" ca="1" si="18"/>
        <v>0</v>
      </c>
      <c r="D31" s="489">
        <f t="shared" ca="1" si="18"/>
        <v>39494.56227615098</v>
      </c>
      <c r="E31" s="489">
        <f t="shared" si="18"/>
        <v>2273.0074860211994</v>
      </c>
      <c r="F31" s="489">
        <f t="shared" ca="1" si="18"/>
        <v>36478.643295749192</v>
      </c>
      <c r="G31" s="489">
        <f t="shared" si="18"/>
        <v>41826.761921667923</v>
      </c>
      <c r="H31" s="489">
        <f t="shared" si="18"/>
        <v>6910.8292610541948</v>
      </c>
      <c r="I31" s="489">
        <f t="shared" si="18"/>
        <v>0</v>
      </c>
      <c r="J31" s="489">
        <f t="shared" si="18"/>
        <v>1929.8595944134706</v>
      </c>
      <c r="K31" s="489">
        <f t="shared" si="18"/>
        <v>0</v>
      </c>
      <c r="L31" s="489">
        <f t="shared" ca="1" si="18"/>
        <v>0</v>
      </c>
      <c r="M31" s="489">
        <f t="shared" si="18"/>
        <v>0</v>
      </c>
      <c r="N31" s="489">
        <f t="shared" ca="1" si="18"/>
        <v>0</v>
      </c>
      <c r="O31" s="489">
        <f t="shared" si="18"/>
        <v>0</v>
      </c>
      <c r="P31" s="490">
        <f t="shared" si="18"/>
        <v>0</v>
      </c>
      <c r="Q31" s="490">
        <f t="shared" ca="1" si="18"/>
        <v>164373.07104954481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7" customWidth="1"/>
    <col min="2" max="8" width="26.28515625" style="477" customWidth="1"/>
    <col min="9" max="9" width="32" style="477" customWidth="1"/>
    <col min="10" max="11" width="26.28515625" style="477" customWidth="1"/>
    <col min="12" max="12" width="23.7109375" style="477" customWidth="1"/>
    <col min="13" max="15" width="26.28515625" style="477" customWidth="1"/>
    <col min="16" max="16" width="42" style="477" customWidth="1"/>
    <col min="17" max="17" width="26.28515625" style="477" customWidth="1"/>
    <col min="18" max="18" width="9.5703125" style="477" bestFit="1" customWidth="1"/>
    <col min="19" max="16384" width="9.140625" style="477"/>
  </cols>
  <sheetData>
    <row r="1" spans="1:17" s="1028" customFormat="1" ht="21">
      <c r="A1" s="1170" t="s">
        <v>560</v>
      </c>
      <c r="B1" s="1171" t="s">
        <v>828</v>
      </c>
      <c r="C1" s="1171"/>
      <c r="D1" s="1171"/>
      <c r="E1" s="1171"/>
      <c r="F1" s="1171"/>
      <c r="G1" s="1171"/>
      <c r="H1" s="1171"/>
      <c r="I1" s="1171"/>
      <c r="J1" s="1171"/>
      <c r="K1" s="1171"/>
      <c r="L1" s="1171"/>
      <c r="M1" s="1171"/>
      <c r="N1" s="1171"/>
      <c r="O1" s="1171"/>
      <c r="P1" s="1172"/>
      <c r="Q1" s="1027"/>
    </row>
    <row r="2" spans="1:17" s="1028" customFormat="1" ht="21">
      <c r="A2" s="1170"/>
      <c r="B2" s="1173" t="s">
        <v>21</v>
      </c>
      <c r="C2" s="1175" t="s">
        <v>196</v>
      </c>
      <c r="D2" s="1177" t="s">
        <v>197</v>
      </c>
      <c r="E2" s="1178"/>
      <c r="F2" s="1178"/>
      <c r="G2" s="1178"/>
      <c r="H2" s="1178"/>
      <c r="I2" s="1178"/>
      <c r="J2" s="1178"/>
      <c r="K2" s="1174"/>
      <c r="L2" s="1177" t="s">
        <v>198</v>
      </c>
      <c r="M2" s="1178"/>
      <c r="N2" s="1178"/>
      <c r="O2" s="1178"/>
      <c r="P2" s="1174"/>
      <c r="Q2" s="1027"/>
    </row>
    <row r="3" spans="1:17" s="1028" customFormat="1" ht="42">
      <c r="A3" s="1170"/>
      <c r="B3" s="1174"/>
      <c r="C3" s="1176"/>
      <c r="D3" s="1029" t="s">
        <v>199</v>
      </c>
      <c r="E3" s="1029" t="s">
        <v>200</v>
      </c>
      <c r="F3" s="1029" t="s">
        <v>201</v>
      </c>
      <c r="G3" s="1029" t="s">
        <v>202</v>
      </c>
      <c r="H3" s="1029" t="s">
        <v>120</v>
      </c>
      <c r="I3" s="1029" t="s">
        <v>203</v>
      </c>
      <c r="J3" s="1029" t="s">
        <v>204</v>
      </c>
      <c r="K3" s="1029" t="s">
        <v>205</v>
      </c>
      <c r="L3" s="1029" t="s">
        <v>206</v>
      </c>
      <c r="M3" s="1029" t="s">
        <v>207</v>
      </c>
      <c r="N3" s="1029" t="s">
        <v>208</v>
      </c>
      <c r="O3" s="1029" t="s">
        <v>209</v>
      </c>
      <c r="P3" s="1029" t="s">
        <v>210</v>
      </c>
      <c r="Q3" s="1027" t="s">
        <v>116</v>
      </c>
    </row>
    <row r="4" spans="1:17" ht="124.35" customHeight="1">
      <c r="A4" s="1030" t="s">
        <v>155</v>
      </c>
      <c r="B4" s="1031" t="s">
        <v>829</v>
      </c>
      <c r="C4" s="1032" t="s">
        <v>830</v>
      </c>
      <c r="D4" s="1033" t="s">
        <v>831</v>
      </c>
      <c r="E4" s="1034" t="s">
        <v>832</v>
      </c>
      <c r="F4" s="1034" t="s">
        <v>833</v>
      </c>
      <c r="G4" s="1035" t="s">
        <v>836</v>
      </c>
      <c r="H4" s="1035" t="s">
        <v>836</v>
      </c>
      <c r="I4" s="1035" t="s">
        <v>836</v>
      </c>
      <c r="J4" s="1034" t="s">
        <v>835</v>
      </c>
      <c r="K4" s="1035" t="s">
        <v>836</v>
      </c>
      <c r="L4" s="1035" t="s">
        <v>836</v>
      </c>
      <c r="M4" s="1035" t="s">
        <v>836</v>
      </c>
      <c r="N4" s="1034" t="s">
        <v>837</v>
      </c>
      <c r="O4" s="1036" t="s">
        <v>838</v>
      </c>
      <c r="P4" s="1037" t="s">
        <v>839</v>
      </c>
      <c r="Q4" s="1038"/>
    </row>
    <row r="5" spans="1:17" ht="124.35" customHeight="1">
      <c r="A5" s="1039" t="s">
        <v>156</v>
      </c>
      <c r="B5" s="1040" t="s">
        <v>840</v>
      </c>
      <c r="C5" s="1041" t="s">
        <v>841</v>
      </c>
      <c r="D5" s="1041" t="s">
        <v>842</v>
      </c>
      <c r="E5" s="1042" t="s">
        <v>843</v>
      </c>
      <c r="F5" s="1042" t="s">
        <v>844</v>
      </c>
      <c r="G5" s="1043" t="s">
        <v>836</v>
      </c>
      <c r="H5" s="1043" t="s">
        <v>836</v>
      </c>
      <c r="I5" s="1043" t="s">
        <v>836</v>
      </c>
      <c r="J5" s="1042" t="s">
        <v>845</v>
      </c>
      <c r="K5" s="1040" t="s">
        <v>846</v>
      </c>
      <c r="L5" s="1043" t="s">
        <v>836</v>
      </c>
      <c r="M5" s="1043" t="s">
        <v>836</v>
      </c>
      <c r="N5" s="1042" t="s">
        <v>847</v>
      </c>
      <c r="O5" s="1044" t="s">
        <v>838</v>
      </c>
      <c r="P5" s="1045" t="s">
        <v>839</v>
      </c>
      <c r="Q5" s="1046"/>
    </row>
    <row r="6" spans="1:17" ht="124.35" customHeight="1">
      <c r="A6" s="1039" t="s">
        <v>194</v>
      </c>
      <c r="B6" s="1047" t="s">
        <v>848</v>
      </c>
      <c r="C6" s="1048" t="s">
        <v>834</v>
      </c>
      <c r="D6" s="1043" t="s">
        <v>834</v>
      </c>
      <c r="E6" s="1043" t="s">
        <v>834</v>
      </c>
      <c r="F6" s="1043" t="s">
        <v>834</v>
      </c>
      <c r="G6" s="1043" t="s">
        <v>834</v>
      </c>
      <c r="H6" s="1043" t="s">
        <v>834</v>
      </c>
      <c r="I6" s="1043" t="s">
        <v>834</v>
      </c>
      <c r="J6" s="1043" t="s">
        <v>834</v>
      </c>
      <c r="K6" s="1043" t="s">
        <v>834</v>
      </c>
      <c r="L6" s="1043" t="s">
        <v>834</v>
      </c>
      <c r="M6" s="1043" t="s">
        <v>834</v>
      </c>
      <c r="N6" s="1043" t="s">
        <v>834</v>
      </c>
      <c r="O6" s="1049" t="s">
        <v>834</v>
      </c>
      <c r="P6" s="1050" t="s">
        <v>834</v>
      </c>
      <c r="Q6" s="1051"/>
    </row>
    <row r="7" spans="1:17" ht="124.35" customHeight="1">
      <c r="A7" s="1039" t="s">
        <v>112</v>
      </c>
      <c r="B7" s="1047" t="s">
        <v>848</v>
      </c>
      <c r="C7" s="1041" t="s">
        <v>841</v>
      </c>
      <c r="D7" s="1041" t="s">
        <v>842</v>
      </c>
      <c r="E7" s="1042" t="s">
        <v>843</v>
      </c>
      <c r="F7" s="1042" t="s">
        <v>844</v>
      </c>
      <c r="G7" s="1043" t="s">
        <v>836</v>
      </c>
      <c r="H7" s="1043" t="s">
        <v>836</v>
      </c>
      <c r="I7" s="1043" t="s">
        <v>836</v>
      </c>
      <c r="J7" s="1042" t="s">
        <v>845</v>
      </c>
      <c r="K7" s="1043" t="s">
        <v>836</v>
      </c>
      <c r="L7" s="1043" t="s">
        <v>836</v>
      </c>
      <c r="M7" s="1043" t="s">
        <v>836</v>
      </c>
      <c r="N7" s="1052" t="s">
        <v>836</v>
      </c>
      <c r="O7" s="1048" t="s">
        <v>836</v>
      </c>
      <c r="P7" s="1053" t="s">
        <v>836</v>
      </c>
      <c r="Q7" s="1046"/>
    </row>
    <row r="8" spans="1:17" ht="124.35" customHeight="1">
      <c r="A8" s="1039" t="s">
        <v>650</v>
      </c>
      <c r="B8" s="1040" t="s">
        <v>849</v>
      </c>
      <c r="C8" s="1041" t="s">
        <v>841</v>
      </c>
      <c r="D8" s="1041" t="s">
        <v>842</v>
      </c>
      <c r="E8" s="1042" t="s">
        <v>843</v>
      </c>
      <c r="F8" s="1042" t="s">
        <v>844</v>
      </c>
      <c r="G8" s="1043" t="s">
        <v>836</v>
      </c>
      <c r="H8" s="1043" t="s">
        <v>836</v>
      </c>
      <c r="I8" s="1043" t="s">
        <v>836</v>
      </c>
      <c r="J8" s="1042" t="s">
        <v>845</v>
      </c>
      <c r="K8" s="1040" t="s">
        <v>846</v>
      </c>
      <c r="L8" s="1043" t="s">
        <v>836</v>
      </c>
      <c r="M8" s="1043" t="s">
        <v>836</v>
      </c>
      <c r="N8" s="1042" t="s">
        <v>847</v>
      </c>
      <c r="O8" s="1044" t="s">
        <v>838</v>
      </c>
      <c r="P8" s="1045" t="s">
        <v>839</v>
      </c>
      <c r="Q8" s="1046"/>
    </row>
    <row r="9" spans="1:17" s="484" customFormat="1" ht="124.35" customHeight="1">
      <c r="A9" s="1054" t="s">
        <v>571</v>
      </c>
      <c r="B9" s="1042" t="s">
        <v>850</v>
      </c>
      <c r="C9" s="1049" t="s">
        <v>834</v>
      </c>
      <c r="D9" s="1042" t="s">
        <v>851</v>
      </c>
      <c r="E9" s="1042" t="s">
        <v>852</v>
      </c>
      <c r="F9" s="1043" t="s">
        <v>834</v>
      </c>
      <c r="G9" s="1042" t="s">
        <v>853</v>
      </c>
      <c r="H9" s="1042" t="s">
        <v>854</v>
      </c>
      <c r="I9" s="1043" t="s">
        <v>834</v>
      </c>
      <c r="J9" s="1043" t="s">
        <v>834</v>
      </c>
      <c r="K9" s="1043" t="s">
        <v>834</v>
      </c>
      <c r="L9" s="1043" t="s">
        <v>834</v>
      </c>
      <c r="M9" s="1042" t="s">
        <v>850</v>
      </c>
      <c r="N9" s="1043" t="s">
        <v>834</v>
      </c>
      <c r="O9" s="1043" t="s">
        <v>834</v>
      </c>
      <c r="P9" s="1055" t="s">
        <v>834</v>
      </c>
      <c r="Q9" s="1056"/>
    </row>
    <row r="10" spans="1:17" ht="124.35" customHeight="1">
      <c r="A10" s="1039" t="s">
        <v>561</v>
      </c>
      <c r="B10" s="1040" t="s">
        <v>862</v>
      </c>
      <c r="C10" s="1049" t="s">
        <v>834</v>
      </c>
      <c r="D10" s="1049" t="s">
        <v>834</v>
      </c>
      <c r="E10" s="1049" t="s">
        <v>834</v>
      </c>
      <c r="F10" s="1043" t="s">
        <v>834</v>
      </c>
      <c r="G10" s="1040" t="s">
        <v>855</v>
      </c>
      <c r="H10" s="1043" t="s">
        <v>834</v>
      </c>
      <c r="I10" s="1043" t="s">
        <v>834</v>
      </c>
      <c r="J10" s="1043" t="s">
        <v>834</v>
      </c>
      <c r="K10" s="1043" t="s">
        <v>834</v>
      </c>
      <c r="L10" s="1043" t="s">
        <v>834</v>
      </c>
      <c r="M10" s="1040" t="s">
        <v>856</v>
      </c>
      <c r="N10" s="1043" t="s">
        <v>834</v>
      </c>
      <c r="O10" s="1043" t="s">
        <v>834</v>
      </c>
      <c r="P10" s="1055" t="s">
        <v>834</v>
      </c>
      <c r="Q10" s="1046"/>
    </row>
    <row r="11" spans="1:17" ht="21">
      <c r="A11" s="1039" t="s">
        <v>562</v>
      </c>
      <c r="B11" s="1057" t="s">
        <v>857</v>
      </c>
      <c r="C11" s="1057" t="s">
        <v>857</v>
      </c>
      <c r="D11" s="1057" t="s">
        <v>857</v>
      </c>
      <c r="E11" s="1057" t="s">
        <v>857</v>
      </c>
      <c r="F11" s="1057" t="s">
        <v>857</v>
      </c>
      <c r="G11" s="1057" t="s">
        <v>857</v>
      </c>
      <c r="H11" s="1057" t="s">
        <v>857</v>
      </c>
      <c r="I11" s="1057" t="s">
        <v>857</v>
      </c>
      <c r="J11" s="1057" t="s">
        <v>857</v>
      </c>
      <c r="K11" s="1057" t="s">
        <v>857</v>
      </c>
      <c r="L11" s="1057" t="s">
        <v>857</v>
      </c>
      <c r="M11" s="1057" t="s">
        <v>857</v>
      </c>
      <c r="N11" s="1057" t="s">
        <v>857</v>
      </c>
      <c r="O11" s="1057" t="s">
        <v>857</v>
      </c>
      <c r="P11" s="1075" t="s">
        <v>857</v>
      </c>
      <c r="Q11" s="1076"/>
    </row>
    <row r="12" spans="1:17" ht="21">
      <c r="A12" s="1039" t="s">
        <v>563</v>
      </c>
      <c r="B12" s="1057" t="s">
        <v>857</v>
      </c>
      <c r="C12" s="1057" t="s">
        <v>834</v>
      </c>
      <c r="D12" s="1057" t="s">
        <v>834</v>
      </c>
      <c r="E12" s="1057" t="s">
        <v>834</v>
      </c>
      <c r="F12" s="1057" t="s">
        <v>834</v>
      </c>
      <c r="G12" s="1057" t="s">
        <v>834</v>
      </c>
      <c r="H12" s="1057" t="s">
        <v>834</v>
      </c>
      <c r="I12" s="1057" t="s">
        <v>834</v>
      </c>
      <c r="J12" s="1057" t="s">
        <v>834</v>
      </c>
      <c r="K12" s="1057" t="s">
        <v>834</v>
      </c>
      <c r="L12" s="1057" t="s">
        <v>834</v>
      </c>
      <c r="M12" s="1057" t="s">
        <v>834</v>
      </c>
      <c r="N12" s="1057" t="s">
        <v>834</v>
      </c>
      <c r="O12" s="1057" t="s">
        <v>834</v>
      </c>
      <c r="P12" s="1058" t="s">
        <v>834</v>
      </c>
      <c r="Q12" s="480"/>
    </row>
    <row r="13" spans="1:17" ht="21">
      <c r="A13" s="1059" t="s">
        <v>564</v>
      </c>
      <c r="B13" s="1060" t="s">
        <v>857</v>
      </c>
      <c r="C13" s="479" t="s">
        <v>834</v>
      </c>
      <c r="D13" s="486" t="s">
        <v>857</v>
      </c>
      <c r="E13" s="486" t="s">
        <v>857</v>
      </c>
      <c r="F13" s="486" t="s">
        <v>834</v>
      </c>
      <c r="G13" s="486" t="s">
        <v>857</v>
      </c>
      <c r="H13" s="486" t="s">
        <v>857</v>
      </c>
      <c r="I13" s="486" t="s">
        <v>834</v>
      </c>
      <c r="J13" s="486" t="s">
        <v>834</v>
      </c>
      <c r="K13" s="486" t="s">
        <v>834</v>
      </c>
      <c r="L13" s="486" t="s">
        <v>834</v>
      </c>
      <c r="M13" s="1061" t="s">
        <v>857</v>
      </c>
      <c r="N13" s="486" t="s">
        <v>834</v>
      </c>
      <c r="O13" s="486" t="s">
        <v>834</v>
      </c>
      <c r="P13" s="486" t="s">
        <v>834</v>
      </c>
      <c r="Q13" s="485"/>
    </row>
    <row r="14" spans="1:17" s="491" customFormat="1" ht="21">
      <c r="A14" s="1062" t="s">
        <v>565</v>
      </c>
      <c r="B14" s="1063"/>
      <c r="C14" s="1063"/>
      <c r="D14" s="1063"/>
      <c r="E14" s="1063"/>
      <c r="F14" s="1063"/>
      <c r="G14" s="1063"/>
      <c r="H14" s="1063"/>
      <c r="I14" s="1063"/>
      <c r="J14" s="1063"/>
      <c r="K14" s="1063"/>
      <c r="L14" s="1063"/>
      <c r="M14" s="1064"/>
      <c r="N14" s="1063"/>
      <c r="O14" s="1063"/>
      <c r="P14" s="1065"/>
      <c r="Q14" s="1066"/>
    </row>
    <row r="15" spans="1:17">
      <c r="M15" s="1067"/>
    </row>
    <row r="16" spans="1:17">
      <c r="B16" s="1068">
        <v>1</v>
      </c>
      <c r="C16" s="1069">
        <v>2</v>
      </c>
      <c r="D16" s="1070">
        <v>3</v>
      </c>
    </row>
    <row r="17" spans="1:4" ht="252">
      <c r="A17" s="1071" t="s">
        <v>858</v>
      </c>
      <c r="B17" s="1072" t="s">
        <v>859</v>
      </c>
      <c r="C17" s="1073" t="s">
        <v>860</v>
      </c>
      <c r="D17" s="1074" t="s">
        <v>861</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61" t="s">
        <v>572</v>
      </c>
    </row>
    <row r="7" spans="1:3">
      <c r="A7" s="125"/>
      <c r="B7" s="129"/>
      <c r="C7" s="122"/>
    </row>
    <row r="8" spans="1:3">
      <c r="A8" s="113" t="s">
        <v>591</v>
      </c>
      <c r="B8" s="75" t="s">
        <v>590</v>
      </c>
      <c r="C8" s="461" t="s">
        <v>387</v>
      </c>
    </row>
    <row r="9" spans="1:3">
      <c r="A9" s="125"/>
      <c r="B9" s="129"/>
      <c r="C9" s="122"/>
    </row>
    <row r="10" spans="1:3">
      <c r="A10" s="113" t="s">
        <v>328</v>
      </c>
      <c r="B10" s="75" t="s">
        <v>385</v>
      </c>
      <c r="C10" s="114" t="s">
        <v>387</v>
      </c>
    </row>
    <row r="11" spans="1:3">
      <c r="A11" s="125"/>
      <c r="B11" s="129"/>
      <c r="C11" s="122"/>
    </row>
    <row r="12" spans="1:3" ht="30">
      <c r="A12" s="113" t="s">
        <v>413</v>
      </c>
      <c r="B12" s="75" t="s">
        <v>531</v>
      </c>
      <c r="C12" s="314" t="s">
        <v>625</v>
      </c>
    </row>
    <row r="13" spans="1:3">
      <c r="A13" s="140"/>
      <c r="B13" s="124"/>
      <c r="C13" s="302"/>
    </row>
    <row r="14" spans="1:3" s="11" customFormat="1">
      <c r="A14" s="113" t="s">
        <v>608</v>
      </c>
      <c r="B14" s="130" t="s">
        <v>609</v>
      </c>
      <c r="C14" s="131" t="s">
        <v>610</v>
      </c>
    </row>
    <row r="15" spans="1:3" s="11" customFormat="1">
      <c r="A15" s="140"/>
      <c r="B15" s="158"/>
      <c r="C15" s="159"/>
    </row>
    <row r="16" spans="1:3" ht="21">
      <c r="A16" s="126" t="s">
        <v>476</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8.5703125" style="477" bestFit="1" customWidth="1"/>
    <col min="8" max="8" width="10.8554687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35.7109375" style="477"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714" t="s">
        <v>620</v>
      </c>
      <c r="B4" s="495"/>
      <c r="C4" s="495"/>
      <c r="D4" s="495"/>
      <c r="E4" s="495"/>
      <c r="F4" s="495"/>
      <c r="G4" s="527"/>
      <c r="H4" s="527"/>
      <c r="I4" s="495"/>
      <c r="J4" s="495"/>
      <c r="K4" s="495"/>
      <c r="L4" s="495"/>
      <c r="M4" s="495"/>
      <c r="N4" s="495"/>
      <c r="O4" s="495"/>
      <c r="P4" s="495"/>
    </row>
    <row r="5" spans="1:16" outlineLevel="1">
      <c r="A5" s="714" t="s">
        <v>621</v>
      </c>
      <c r="B5" s="495"/>
      <c r="C5" s="495"/>
      <c r="D5" s="495"/>
      <c r="E5" s="495"/>
      <c r="F5" s="495"/>
      <c r="G5" s="527"/>
      <c r="H5" s="527"/>
      <c r="I5" s="495"/>
      <c r="J5" s="495"/>
      <c r="K5" s="495"/>
      <c r="L5" s="495"/>
      <c r="M5" s="495"/>
      <c r="N5" s="495"/>
      <c r="O5" s="495"/>
      <c r="P5" s="495"/>
    </row>
    <row r="6" spans="1:16" outlineLevel="1">
      <c r="A6" s="714" t="s">
        <v>622</v>
      </c>
      <c r="B6" s="495"/>
      <c r="C6" s="495"/>
      <c r="D6" s="495"/>
      <c r="E6" s="495"/>
      <c r="F6" s="495"/>
      <c r="G6" s="527"/>
      <c r="H6" s="527"/>
      <c r="I6" s="495"/>
      <c r="J6" s="495"/>
      <c r="K6" s="495"/>
      <c r="L6" s="495"/>
      <c r="M6" s="495"/>
      <c r="N6" s="495"/>
      <c r="O6" s="495"/>
      <c r="P6" s="495"/>
    </row>
    <row r="7" spans="1:16" outlineLevel="1">
      <c r="A7" s="497"/>
      <c r="B7" s="495"/>
      <c r="C7" s="495"/>
      <c r="D7" s="495"/>
      <c r="E7" s="495"/>
      <c r="F7" s="495"/>
      <c r="G7" s="527"/>
      <c r="H7" s="527"/>
      <c r="I7" s="495"/>
      <c r="J7" s="495"/>
      <c r="K7" s="495"/>
      <c r="L7" s="495"/>
      <c r="M7" s="495"/>
      <c r="N7" s="495"/>
      <c r="O7" s="495"/>
      <c r="P7" s="495"/>
    </row>
    <row r="8" spans="1:16" outlineLevel="1">
      <c r="A8" s="715" t="s">
        <v>623</v>
      </c>
      <c r="B8" s="495"/>
      <c r="C8" s="495"/>
      <c r="D8" s="495"/>
      <c r="E8" s="495"/>
      <c r="F8" s="495"/>
      <c r="G8" s="527"/>
      <c r="H8" s="527"/>
      <c r="I8" s="495"/>
      <c r="J8" s="495"/>
      <c r="K8" s="495"/>
      <c r="L8" s="495"/>
      <c r="M8" s="495"/>
      <c r="N8" s="495"/>
      <c r="O8" s="495"/>
      <c r="P8" s="495"/>
    </row>
    <row r="9" spans="1:16" outlineLevel="1">
      <c r="A9" s="497"/>
      <c r="B9" s="495"/>
      <c r="C9" s="495"/>
      <c r="D9" s="495"/>
      <c r="E9" s="495"/>
      <c r="F9" s="495"/>
      <c r="G9" s="527"/>
      <c r="H9" s="527"/>
      <c r="I9" s="495"/>
      <c r="J9" s="495"/>
      <c r="K9" s="495"/>
      <c r="L9" s="495"/>
      <c r="M9" s="495"/>
      <c r="N9" s="495"/>
      <c r="O9" s="495"/>
      <c r="P9" s="495"/>
    </row>
    <row r="10" spans="1:16" outlineLevel="1">
      <c r="A10" s="497" t="s">
        <v>624</v>
      </c>
      <c r="B10" s="495"/>
      <c r="C10" s="495"/>
      <c r="D10" s="495"/>
      <c r="E10" s="495"/>
      <c r="F10" s="495"/>
      <c r="G10" s="527"/>
      <c r="H10" s="527"/>
      <c r="I10" s="495"/>
      <c r="J10" s="495"/>
      <c r="K10" s="495"/>
      <c r="L10" s="495"/>
      <c r="M10" s="495"/>
      <c r="N10" s="495"/>
      <c r="O10" s="495"/>
      <c r="P10" s="495"/>
    </row>
    <row r="11" spans="1:16" outlineLevel="1">
      <c r="A11" s="497"/>
      <c r="B11" s="495"/>
      <c r="C11" s="495"/>
      <c r="D11" s="495"/>
      <c r="E11" s="495"/>
      <c r="F11" s="495"/>
      <c r="G11" s="527"/>
      <c r="H11" s="527"/>
      <c r="I11" s="495"/>
      <c r="J11" s="495"/>
      <c r="K11" s="495"/>
      <c r="L11" s="495"/>
      <c r="M11" s="495"/>
      <c r="N11" s="495"/>
      <c r="O11" s="495"/>
      <c r="P11" s="495"/>
    </row>
    <row r="12" spans="1:16" ht="15.75" outlineLevel="1" thickBot="1">
      <c r="B12" s="495"/>
      <c r="C12" s="495"/>
      <c r="D12" s="495"/>
      <c r="E12" s="495"/>
      <c r="F12" s="495"/>
      <c r="G12" s="527"/>
      <c r="H12" s="527"/>
      <c r="I12" s="495"/>
      <c r="J12" s="495"/>
      <c r="K12" s="495"/>
      <c r="L12" s="495"/>
      <c r="M12" s="495"/>
      <c r="N12" s="495"/>
      <c r="O12" s="495"/>
      <c r="P12" s="495"/>
    </row>
    <row r="13" spans="1:16" ht="25.5" customHeight="1" outlineLevel="1" thickBot="1">
      <c r="A13" s="498" t="s">
        <v>586</v>
      </c>
      <c r="B13" s="479"/>
      <c r="C13" s="499"/>
      <c r="D13" s="499"/>
      <c r="E13" s="499"/>
      <c r="F13" s="499"/>
      <c r="G13" s="499"/>
      <c r="H13" s="499"/>
      <c r="I13" s="499"/>
      <c r="J13" s="499"/>
      <c r="K13" s="499"/>
      <c r="L13" s="499"/>
      <c r="M13" s="499"/>
      <c r="N13" s="499"/>
      <c r="O13" s="843" t="s">
        <v>644</v>
      </c>
      <c r="P13" s="843" t="s">
        <v>643</v>
      </c>
    </row>
    <row r="14" spans="1:16" outlineLevel="1"/>
    <row r="15" spans="1:16" s="491" customFormat="1" outlineLevel="1">
      <c r="A15" s="500" t="s">
        <v>305</v>
      </c>
      <c r="B15" s="501">
        <f>SUM(B4:B12)</f>
        <v>0</v>
      </c>
      <c r="C15" s="501">
        <f t="shared" ref="C15:P15" si="0">SUM(C4:C13)</f>
        <v>0</v>
      </c>
      <c r="D15" s="501">
        <f t="shared" si="0"/>
        <v>0</v>
      </c>
      <c r="E15" s="501">
        <f t="shared" si="0"/>
        <v>0</v>
      </c>
      <c r="F15" s="501">
        <f t="shared" si="0"/>
        <v>0</v>
      </c>
      <c r="G15" s="501"/>
      <c r="H15" s="501"/>
      <c r="I15" s="501">
        <f t="shared" si="0"/>
        <v>0</v>
      </c>
      <c r="J15" s="501">
        <f t="shared" si="0"/>
        <v>0</v>
      </c>
      <c r="K15" s="501">
        <f t="shared" si="0"/>
        <v>0</v>
      </c>
      <c r="L15" s="501">
        <f t="shared" si="0"/>
        <v>0</v>
      </c>
      <c r="M15" s="501">
        <f>SUM(M4:M13)</f>
        <v>0</v>
      </c>
      <c r="N15" s="501">
        <f t="shared" si="0"/>
        <v>0</v>
      </c>
      <c r="O15" s="501">
        <f>SUM(O4:O13)</f>
        <v>0</v>
      </c>
      <c r="P15" s="501">
        <f t="shared" si="0"/>
        <v>0</v>
      </c>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0.20642340014501959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f ca="1">C15*C17</f>
        <v>0</v>
      </c>
      <c r="D19" s="506">
        <f>D15*D17</f>
        <v>0</v>
      </c>
      <c r="E19" s="506">
        <f>E15*E17</f>
        <v>0</v>
      </c>
      <c r="F19" s="506">
        <f>F15*F17</f>
        <v>0</v>
      </c>
      <c r="G19" s="506"/>
      <c r="H19" s="506"/>
      <c r="I19" s="506">
        <f t="shared" ref="I19:P19" si="1">I15*I17</f>
        <v>0</v>
      </c>
      <c r="J19" s="506">
        <f t="shared" si="1"/>
        <v>0</v>
      </c>
      <c r="K19" s="506">
        <f t="shared" si="1"/>
        <v>0</v>
      </c>
      <c r="L19" s="506">
        <f t="shared" si="1"/>
        <v>0</v>
      </c>
      <c r="M19" s="506">
        <f t="shared" si="1"/>
        <v>0</v>
      </c>
      <c r="N19" s="506">
        <f t="shared" si="1"/>
        <v>0</v>
      </c>
      <c r="O19" s="506">
        <f t="shared" si="1"/>
        <v>0</v>
      </c>
      <c r="P19" s="506">
        <f t="shared" si="1"/>
        <v>0</v>
      </c>
    </row>
    <row r="22" spans="1:16" s="479" customFormat="1" ht="15" customHeight="1" outlineLevel="1">
      <c r="A22" s="507" t="s">
        <v>489</v>
      </c>
      <c r="B22" s="508"/>
      <c r="C22" s="509"/>
      <c r="D22" s="510"/>
      <c r="E22" s="511"/>
    </row>
    <row r="23" spans="1:16" s="48" customFormat="1" ht="15" customHeight="1" outlineLevel="1">
      <c r="A23" s="512"/>
      <c r="B23" s="513"/>
      <c r="C23" s="514" t="s">
        <v>377</v>
      </c>
      <c r="D23" s="514" t="s">
        <v>182</v>
      </c>
      <c r="E23" s="515"/>
    </row>
    <row r="24" spans="1:16" s="479" customFormat="1" ht="15" customHeight="1" outlineLevel="1">
      <c r="A24" s="516" t="s">
        <v>266</v>
      </c>
      <c r="B24" s="47">
        <f>EigenZB</f>
        <v>1</v>
      </c>
      <c r="C24" s="517"/>
      <c r="D24" s="965" t="s">
        <v>668</v>
      </c>
      <c r="E24" s="480"/>
    </row>
    <row r="25" spans="1:16" s="479" customFormat="1" outlineLevel="1">
      <c r="A25" s="516" t="s">
        <v>456</v>
      </c>
      <c r="B25" s="48">
        <v>4.2</v>
      </c>
      <c r="C25" s="517"/>
      <c r="D25" s="518" t="s">
        <v>517</v>
      </c>
      <c r="E25" s="494"/>
    </row>
    <row r="26" spans="1:16" s="479" customFormat="1" outlineLevel="1">
      <c r="A26" s="847" t="s">
        <v>457</v>
      </c>
      <c r="B26" s="848">
        <f>1.34/3.6</f>
        <v>0.37222222222222223</v>
      </c>
      <c r="C26" s="517" t="s">
        <v>218</v>
      </c>
      <c r="D26" s="518" t="s">
        <v>517</v>
      </c>
      <c r="E26" s="494"/>
    </row>
    <row r="27" spans="1:16" s="479" customFormat="1" outlineLevel="1">
      <c r="A27" s="519" t="s">
        <v>632</v>
      </c>
      <c r="B27" s="850">
        <f>B24*B25*B26</f>
        <v>1.5633333333333335</v>
      </c>
      <c r="C27" s="520" t="s">
        <v>633</v>
      </c>
      <c r="D27" s="521"/>
      <c r="E27" s="522"/>
    </row>
    <row r="28" spans="1:16" s="479" customFormat="1" outlineLevel="1">
      <c r="A28" s="48"/>
      <c r="B28" s="48"/>
      <c r="C28" s="523"/>
      <c r="D28" s="517"/>
    </row>
    <row r="29" spans="1:16" s="479" customFormat="1" outlineLevel="1">
      <c r="A29" s="524" t="s">
        <v>490</v>
      </c>
      <c r="B29" s="508"/>
      <c r="C29" s="509"/>
      <c r="D29" s="510"/>
      <c r="E29" s="511"/>
    </row>
    <row r="30" spans="1:16" s="48" customFormat="1" outlineLevel="1">
      <c r="A30" s="525"/>
      <c r="B30" s="513"/>
      <c r="C30" s="514" t="s">
        <v>377</v>
      </c>
      <c r="D30" s="514" t="s">
        <v>182</v>
      </c>
      <c r="E30" s="515"/>
    </row>
    <row r="31" spans="1:16" s="479" customFormat="1" outlineLevel="1">
      <c r="A31" s="516" t="s">
        <v>455</v>
      </c>
      <c r="B31" s="47">
        <f>EigenWP</f>
        <v>0</v>
      </c>
      <c r="C31" s="517"/>
      <c r="D31" s="965" t="s">
        <v>668</v>
      </c>
      <c r="E31" s="480"/>
    </row>
    <row r="32" spans="1:16" s="479" customFormat="1" outlineLevel="1">
      <c r="A32" s="516" t="s">
        <v>453</v>
      </c>
      <c r="B32" s="48">
        <v>13</v>
      </c>
      <c r="C32" s="523" t="s">
        <v>263</v>
      </c>
      <c r="D32" s="518" t="s">
        <v>517</v>
      </c>
      <c r="E32" s="480"/>
    </row>
    <row r="33" spans="1:5" s="479" customFormat="1" outlineLevel="1">
      <c r="A33" s="516" t="s">
        <v>454</v>
      </c>
      <c r="B33" s="48">
        <v>2000</v>
      </c>
      <c r="C33" s="523" t="s">
        <v>265</v>
      </c>
      <c r="D33" s="518" t="s">
        <v>517</v>
      </c>
      <c r="E33" s="480"/>
    </row>
    <row r="34" spans="1:5" s="479" customFormat="1" outlineLevel="1">
      <c r="A34" s="847" t="s">
        <v>382</v>
      </c>
      <c r="B34" s="48">
        <v>3.75</v>
      </c>
      <c r="C34" s="523"/>
      <c r="D34" s="518" t="s">
        <v>517</v>
      </c>
      <c r="E34" s="480"/>
    </row>
    <row r="35" spans="1:5" s="479" customFormat="1" outlineLevel="1">
      <c r="A35" s="519" t="s">
        <v>632</v>
      </c>
      <c r="B35" s="849">
        <f>B31*B32*B33/1000-B31*B32*B33/1000/B34</f>
        <v>0</v>
      </c>
      <c r="C35" s="526" t="s">
        <v>633</v>
      </c>
      <c r="D35" s="521"/>
      <c r="E35" s="48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7" customWidth="1"/>
    <col min="2" max="2" width="15" style="477" customWidth="1"/>
    <col min="3" max="3" width="25.140625" style="477" customWidth="1"/>
    <col min="4" max="4" width="15" style="477" customWidth="1"/>
    <col min="5" max="5" width="40.5703125" style="477" customWidth="1"/>
    <col min="6" max="6" width="14.85546875" style="477" customWidth="1"/>
    <col min="7" max="7" width="6.5703125" style="477" bestFit="1" customWidth="1"/>
    <col min="8" max="8" width="8.140625" style="477" bestFit="1"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26.42578125" style="477" bestFit="1" customWidth="1"/>
    <col min="16" max="16" width="43.5703125" style="477" customWidth="1"/>
    <col min="17" max="17" width="9.140625" style="477"/>
    <col min="18" max="18" width="20.42578125" style="477" customWidth="1"/>
    <col min="19" max="16384" width="9.140625" style="477"/>
  </cols>
  <sheetData>
    <row r="1" spans="1:16" ht="15.75" customHeight="1" outlineLevel="1" thickTop="1" thickBot="1">
      <c r="A1" s="1161" t="s">
        <v>386</v>
      </c>
      <c r="B1" s="1179" t="s">
        <v>195</v>
      </c>
      <c r="C1" s="1180"/>
      <c r="D1" s="1180"/>
      <c r="E1" s="1180"/>
      <c r="F1" s="1180"/>
      <c r="G1" s="1180"/>
      <c r="H1" s="1180"/>
      <c r="I1" s="1180"/>
      <c r="J1" s="1180"/>
      <c r="K1" s="1180"/>
      <c r="L1" s="1180"/>
      <c r="M1" s="1180"/>
      <c r="N1" s="1180"/>
      <c r="O1" s="1180"/>
      <c r="P1" s="1180"/>
    </row>
    <row r="2" spans="1:16" ht="15" customHeight="1" outlineLevel="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outlineLevel="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outlineLevel="1">
      <c r="A4" s="497"/>
      <c r="B4" s="495"/>
      <c r="C4" s="527"/>
      <c r="D4" s="527"/>
      <c r="E4" s="527"/>
      <c r="F4" s="527"/>
      <c r="G4" s="527"/>
      <c r="H4" s="527"/>
      <c r="I4" s="527"/>
      <c r="J4" s="527"/>
      <c r="K4" s="527"/>
      <c r="L4" s="527"/>
      <c r="M4" s="527"/>
      <c r="N4" s="527"/>
      <c r="O4" s="527"/>
      <c r="P4" s="527"/>
    </row>
    <row r="5" spans="1:16" outlineLevel="1">
      <c r="A5" s="497"/>
      <c r="B5" s="495"/>
      <c r="C5" s="527"/>
      <c r="D5" s="527"/>
      <c r="E5" s="527"/>
      <c r="F5" s="527"/>
      <c r="G5" s="527"/>
      <c r="H5" s="527"/>
      <c r="I5" s="527"/>
      <c r="J5" s="527"/>
      <c r="K5" s="527"/>
      <c r="L5" s="527"/>
      <c r="M5" s="527"/>
      <c r="N5" s="527"/>
      <c r="O5" s="527"/>
      <c r="P5" s="527"/>
    </row>
    <row r="6" spans="1:16" outlineLevel="1">
      <c r="A6" s="497"/>
      <c r="B6" s="495"/>
      <c r="C6" s="527"/>
      <c r="D6" s="527"/>
      <c r="E6" s="527"/>
      <c r="F6" s="527"/>
      <c r="G6" s="527"/>
      <c r="H6" s="527"/>
      <c r="I6" s="527"/>
      <c r="J6" s="527"/>
      <c r="K6" s="527"/>
      <c r="L6" s="527"/>
      <c r="M6" s="527"/>
      <c r="N6" s="527"/>
      <c r="O6" s="527"/>
      <c r="P6" s="527"/>
    </row>
    <row r="7" spans="1:16" outlineLevel="1">
      <c r="A7" s="497"/>
      <c r="B7" s="495"/>
      <c r="C7" s="527"/>
      <c r="D7" s="527"/>
      <c r="E7" s="527"/>
      <c r="F7" s="527"/>
      <c r="G7" s="527"/>
      <c r="H7" s="527"/>
      <c r="I7" s="527"/>
      <c r="J7" s="527"/>
      <c r="K7" s="527"/>
      <c r="L7" s="527"/>
      <c r="M7" s="527"/>
      <c r="N7" s="527"/>
      <c r="O7" s="527"/>
      <c r="P7" s="527"/>
    </row>
    <row r="8" spans="1:16" outlineLevel="1">
      <c r="A8" s="715"/>
      <c r="B8" s="495"/>
      <c r="C8" s="527"/>
      <c r="D8" s="527"/>
      <c r="E8" s="527"/>
      <c r="F8" s="527"/>
      <c r="G8" s="527"/>
      <c r="H8" s="527"/>
      <c r="I8" s="527"/>
      <c r="J8" s="527"/>
      <c r="K8" s="527"/>
      <c r="L8" s="527"/>
      <c r="M8" s="527"/>
      <c r="N8" s="527"/>
      <c r="O8" s="527"/>
      <c r="P8" s="527"/>
    </row>
    <row r="9" spans="1:16" outlineLevel="1">
      <c r="A9" s="497"/>
      <c r="B9" s="495"/>
      <c r="C9" s="527"/>
      <c r="D9" s="527"/>
      <c r="E9" s="527"/>
      <c r="F9" s="527"/>
      <c r="G9" s="527"/>
      <c r="H9" s="527"/>
      <c r="I9" s="527"/>
      <c r="J9" s="527"/>
      <c r="K9" s="527"/>
      <c r="L9" s="527"/>
      <c r="M9" s="527"/>
      <c r="N9" s="527"/>
      <c r="O9" s="527"/>
      <c r="P9" s="527"/>
    </row>
    <row r="10" spans="1:16" outlineLevel="1">
      <c r="A10" s="497"/>
      <c r="B10" s="495"/>
      <c r="C10" s="527"/>
      <c r="D10" s="527"/>
      <c r="E10" s="527"/>
      <c r="F10" s="527"/>
      <c r="G10" s="527"/>
      <c r="H10" s="527"/>
      <c r="I10" s="527"/>
      <c r="J10" s="527"/>
      <c r="K10" s="527"/>
      <c r="L10" s="527"/>
      <c r="M10" s="527"/>
      <c r="N10" s="527"/>
      <c r="O10" s="527"/>
      <c r="P10" s="527"/>
    </row>
    <row r="11" spans="1:16" outlineLevel="1">
      <c r="A11" s="497"/>
      <c r="B11" s="495"/>
      <c r="C11" s="527"/>
      <c r="D11" s="527"/>
      <c r="E11" s="527"/>
      <c r="F11" s="527"/>
      <c r="G11" s="527"/>
      <c r="H11" s="527"/>
      <c r="I11" s="527"/>
      <c r="J11" s="527"/>
      <c r="K11" s="527"/>
      <c r="L11" s="527"/>
      <c r="M11" s="527"/>
      <c r="N11" s="527"/>
      <c r="O11" s="527"/>
      <c r="P11" s="527"/>
    </row>
    <row r="12" spans="1:16" ht="15.75" outlineLevel="1" thickBot="1">
      <c r="A12" s="497"/>
      <c r="B12" s="495"/>
      <c r="C12" s="527"/>
      <c r="D12" s="527"/>
      <c r="E12" s="527"/>
      <c r="F12" s="527"/>
      <c r="G12" s="527"/>
      <c r="H12" s="527"/>
      <c r="I12" s="527"/>
      <c r="J12" s="527"/>
      <c r="K12" s="527"/>
      <c r="L12" s="527"/>
      <c r="M12" s="527"/>
      <c r="N12" s="527"/>
      <c r="O12" s="527"/>
      <c r="P12" s="527"/>
    </row>
    <row r="13" spans="1:16" ht="25.5" customHeight="1" outlineLevel="1" thickBot="1">
      <c r="A13" s="498" t="s">
        <v>586</v>
      </c>
      <c r="B13" s="479"/>
      <c r="C13" s="499"/>
      <c r="D13" s="499"/>
      <c r="E13" s="499"/>
      <c r="F13" s="499"/>
      <c r="G13" s="499"/>
      <c r="H13" s="499"/>
      <c r="I13" s="499"/>
      <c r="J13" s="499"/>
      <c r="K13" s="499"/>
      <c r="L13" s="499"/>
      <c r="M13" s="499"/>
      <c r="N13" s="499"/>
      <c r="O13" s="1185"/>
      <c r="P13" s="1185"/>
    </row>
    <row r="14" spans="1:16" outlineLevel="1">
      <c r="A14" s="497"/>
      <c r="B14" s="52"/>
      <c r="C14" s="527"/>
      <c r="D14" s="527"/>
      <c r="E14" s="527"/>
      <c r="F14" s="527"/>
      <c r="G14" s="527"/>
      <c r="H14" s="527"/>
      <c r="I14" s="527"/>
      <c r="J14" s="527"/>
      <c r="K14" s="527"/>
      <c r="L14" s="527"/>
      <c r="M14" s="527"/>
      <c r="N14" s="527"/>
      <c r="O14" s="527"/>
      <c r="P14" s="527"/>
    </row>
    <row r="15" spans="1:16" s="491" customFormat="1" outlineLevel="1">
      <c r="A15" s="500" t="s">
        <v>306</v>
      </c>
      <c r="B15" s="501">
        <f>SUM(B4:B12)</f>
        <v>0</v>
      </c>
      <c r="C15" s="502"/>
      <c r="D15" s="502"/>
      <c r="E15" s="502"/>
      <c r="F15" s="502"/>
      <c r="G15" s="502"/>
      <c r="H15" s="502"/>
      <c r="I15" s="502"/>
      <c r="J15" s="502"/>
      <c r="K15" s="502"/>
      <c r="L15" s="502"/>
      <c r="M15" s="502"/>
      <c r="N15" s="502"/>
      <c r="O15" s="503"/>
      <c r="P15" s="503"/>
    </row>
    <row r="16" spans="1:16" outlineLevel="1">
      <c r="B16" s="504"/>
      <c r="C16" s="504"/>
      <c r="D16" s="504"/>
      <c r="E16" s="504"/>
      <c r="F16" s="504"/>
      <c r="G16" s="504"/>
      <c r="H16" s="504"/>
      <c r="I16" s="504"/>
      <c r="J16" s="504"/>
      <c r="K16" s="504"/>
      <c r="L16" s="504"/>
      <c r="M16" s="504"/>
      <c r="N16" s="504"/>
      <c r="O16" s="504"/>
      <c r="P16" s="504"/>
    </row>
    <row r="17" spans="1:16" outlineLevel="1">
      <c r="A17" s="505" t="s">
        <v>613</v>
      </c>
      <c r="B17" s="529">
        <f ca="1">'EF ele_warmte'!B12</f>
        <v>0.20642340014501959</v>
      </c>
      <c r="C17" s="529">
        <f ca="1">'EF ele_warmte'!B22</f>
        <v>0</v>
      </c>
      <c r="D17" s="529">
        <f>EF_CO2_aardgas</f>
        <v>0.20200000000000001</v>
      </c>
      <c r="E17" s="529">
        <f>EF_VLgas_CO2</f>
        <v>0.22700000000000001</v>
      </c>
      <c r="F17" s="529">
        <f>EF_stookolie_CO2</f>
        <v>0.26700000000000002</v>
      </c>
      <c r="G17" s="529"/>
      <c r="H17" s="529"/>
      <c r="I17" s="529">
        <f>EF_bruinkool_CO2</f>
        <v>0.35099999999999998</v>
      </c>
      <c r="J17" s="529">
        <f>EF_steenkool_CO2</f>
        <v>0.35399999999999998</v>
      </c>
      <c r="K17" s="529">
        <f>EF_anderfossiel_CO2</f>
        <v>0.26400000000000001</v>
      </c>
      <c r="L17" s="529">
        <f>'EF brandstof'!J4</f>
        <v>0</v>
      </c>
      <c r="M17" s="529">
        <f>'EF brandstof'!K4</f>
        <v>0</v>
      </c>
      <c r="N17" s="529">
        <f>'EF brandstof'!L4</f>
        <v>0</v>
      </c>
      <c r="O17" s="529">
        <v>0</v>
      </c>
      <c r="P17" s="529">
        <v>0</v>
      </c>
    </row>
    <row r="18" spans="1:16" outlineLevel="1">
      <c r="B18" s="504"/>
      <c r="C18" s="504"/>
      <c r="D18" s="504"/>
      <c r="E18" s="504"/>
      <c r="F18" s="504"/>
      <c r="G18" s="504"/>
      <c r="H18" s="504"/>
      <c r="I18" s="504"/>
      <c r="J18" s="504"/>
      <c r="K18" s="504"/>
      <c r="L18" s="504"/>
      <c r="M18" s="504"/>
      <c r="N18" s="504"/>
      <c r="O18" s="504"/>
      <c r="P18" s="504"/>
    </row>
    <row r="19" spans="1:16" outlineLevel="1">
      <c r="A19" s="500" t="s">
        <v>213</v>
      </c>
      <c r="B19" s="506">
        <f ca="1">B15*B17</f>
        <v>0</v>
      </c>
      <c r="C19" s="506"/>
      <c r="D19" s="506"/>
      <c r="E19" s="506"/>
      <c r="F19" s="506"/>
      <c r="G19" s="506"/>
      <c r="H19" s="506"/>
      <c r="I19" s="506"/>
      <c r="J19" s="506"/>
      <c r="K19" s="506"/>
      <c r="L19" s="506"/>
      <c r="M19" s="506"/>
      <c r="N19" s="506"/>
      <c r="O19" s="506"/>
      <c r="P19" s="50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7" customWidth="1"/>
    <col min="2" max="2" width="14.140625" style="477" customWidth="1"/>
    <col min="3" max="3" width="16.42578125" style="477" customWidth="1"/>
    <col min="4" max="4" width="15" style="477" customWidth="1"/>
    <col min="5" max="5" width="13.85546875" style="477" customWidth="1"/>
    <col min="6" max="6" width="14.85546875" style="477" customWidth="1"/>
    <col min="7" max="7" width="14.7109375" style="477" customWidth="1"/>
    <col min="8" max="8" width="14.28515625" style="477" customWidth="1"/>
    <col min="9" max="9" width="15.7109375" style="477" customWidth="1"/>
    <col min="10" max="10" width="15.42578125" style="477" customWidth="1"/>
    <col min="11" max="11" width="17.42578125" style="477" customWidth="1"/>
    <col min="12" max="12" width="14.5703125" style="477" customWidth="1"/>
    <col min="13" max="13" width="15.5703125" style="477" customWidth="1"/>
    <col min="14" max="14" width="17.85546875" style="477" customWidth="1"/>
    <col min="15" max="15" width="16.140625" style="477" customWidth="1"/>
    <col min="16" max="16" width="17.5703125" style="477" customWidth="1"/>
    <col min="17" max="17" width="9.140625" style="477"/>
    <col min="18" max="18" width="20.42578125" style="477" customWidth="1"/>
    <col min="19" max="16384" width="9.140625" style="477"/>
  </cols>
  <sheetData>
    <row r="1" spans="1:16" ht="15.75" customHeight="1" thickTop="1" thickBot="1">
      <c r="A1" s="1161" t="s">
        <v>328</v>
      </c>
      <c r="B1" s="1179" t="s">
        <v>195</v>
      </c>
      <c r="C1" s="1180"/>
      <c r="D1" s="1180"/>
      <c r="E1" s="1180"/>
      <c r="F1" s="1180"/>
      <c r="G1" s="1180"/>
      <c r="H1" s="1180"/>
      <c r="I1" s="1180"/>
      <c r="J1" s="1180"/>
      <c r="K1" s="1180"/>
      <c r="L1" s="1180"/>
      <c r="M1" s="1180"/>
      <c r="N1" s="1180"/>
      <c r="O1" s="1180"/>
      <c r="P1" s="1180"/>
    </row>
    <row r="2" spans="1:16" ht="15" customHeight="1" thickTop="1">
      <c r="A2" s="1161"/>
      <c r="B2" s="1181" t="s">
        <v>21</v>
      </c>
      <c r="C2" s="1181" t="s">
        <v>196</v>
      </c>
      <c r="D2" s="1182" t="s">
        <v>197</v>
      </c>
      <c r="E2" s="1183"/>
      <c r="F2" s="1183"/>
      <c r="G2" s="1183"/>
      <c r="H2" s="1183"/>
      <c r="I2" s="1183"/>
      <c r="J2" s="1183"/>
      <c r="K2" s="1184"/>
      <c r="L2" s="1182" t="s">
        <v>198</v>
      </c>
      <c r="M2" s="1183"/>
      <c r="N2" s="1183"/>
      <c r="O2" s="1183"/>
      <c r="P2" s="1184"/>
    </row>
    <row r="3" spans="1:16" ht="56.25" customHeight="1">
      <c r="A3" s="1161"/>
      <c r="B3" s="1167"/>
      <c r="C3" s="1167"/>
      <c r="D3" s="476" t="s">
        <v>199</v>
      </c>
      <c r="E3" s="476" t="s">
        <v>200</v>
      </c>
      <c r="F3" s="476" t="s">
        <v>201</v>
      </c>
      <c r="G3" s="476" t="s">
        <v>202</v>
      </c>
      <c r="H3" s="476" t="s">
        <v>120</v>
      </c>
      <c r="I3" s="476" t="s">
        <v>203</v>
      </c>
      <c r="J3" s="476" t="s">
        <v>204</v>
      </c>
      <c r="K3" s="476" t="s">
        <v>205</v>
      </c>
      <c r="L3" s="476" t="s">
        <v>206</v>
      </c>
      <c r="M3" s="476" t="s">
        <v>207</v>
      </c>
      <c r="N3" s="476" t="s">
        <v>208</v>
      </c>
      <c r="O3" s="476" t="s">
        <v>209</v>
      </c>
      <c r="P3" s="476" t="s">
        <v>210</v>
      </c>
    </row>
    <row r="4" spans="1:16">
      <c r="B4" s="495"/>
      <c r="C4" s="527"/>
      <c r="D4" s="496"/>
      <c r="E4" s="496"/>
      <c r="F4" s="527"/>
      <c r="G4" s="496"/>
      <c r="H4" s="496"/>
      <c r="I4" s="527"/>
      <c r="J4" s="527"/>
      <c r="K4" s="527"/>
      <c r="L4" s="527"/>
      <c r="M4" s="527"/>
      <c r="N4" s="527"/>
      <c r="O4" s="527"/>
      <c r="P4" s="527"/>
    </row>
    <row r="5" spans="1:16">
      <c r="B5" s="495"/>
      <c r="C5" s="52"/>
      <c r="D5" s="495"/>
      <c r="E5" s="495"/>
      <c r="F5" s="52"/>
      <c r="G5" s="495"/>
      <c r="H5" s="495"/>
      <c r="I5" s="52"/>
      <c r="J5" s="52"/>
      <c r="K5" s="52"/>
      <c r="L5" s="52"/>
      <c r="M5" s="52"/>
      <c r="N5" s="52"/>
      <c r="O5" s="52"/>
      <c r="P5" s="52"/>
    </row>
    <row r="6" spans="1:16">
      <c r="B6" s="495"/>
      <c r="C6" s="52"/>
      <c r="D6" s="495"/>
      <c r="E6" s="495"/>
      <c r="F6" s="52"/>
      <c r="G6" s="495"/>
      <c r="H6" s="495"/>
      <c r="I6" s="52"/>
      <c r="J6" s="52"/>
      <c r="K6" s="52"/>
      <c r="L6" s="52"/>
      <c r="M6" s="52"/>
      <c r="N6" s="52"/>
      <c r="O6" s="52"/>
      <c r="P6" s="52"/>
    </row>
    <row r="7" spans="1:16">
      <c r="B7" s="495"/>
      <c r="C7" s="52"/>
      <c r="D7" s="495"/>
      <c r="E7" s="495"/>
      <c r="F7" s="52"/>
      <c r="G7" s="495"/>
      <c r="H7" s="495"/>
      <c r="I7" s="52"/>
      <c r="J7" s="52"/>
      <c r="K7" s="52"/>
      <c r="L7" s="52"/>
      <c r="M7" s="52"/>
      <c r="N7" s="52"/>
      <c r="O7" s="52"/>
      <c r="P7" s="52"/>
    </row>
    <row r="8" spans="1:16">
      <c r="A8" s="491"/>
      <c r="B8" s="495"/>
      <c r="C8" s="52"/>
      <c r="D8" s="495"/>
      <c r="E8" s="495"/>
      <c r="F8" s="52"/>
      <c r="G8" s="495"/>
      <c r="H8" s="495"/>
      <c r="I8" s="52"/>
      <c r="J8" s="52"/>
      <c r="K8" s="52"/>
      <c r="L8" s="52"/>
      <c r="M8" s="52"/>
      <c r="N8" s="52"/>
      <c r="O8" s="52"/>
      <c r="P8" s="52"/>
    </row>
    <row r="9" spans="1:16">
      <c r="B9" s="495"/>
      <c r="C9" s="52"/>
      <c r="D9" s="495"/>
      <c r="E9" s="495"/>
      <c r="F9" s="52"/>
      <c r="G9" s="495"/>
      <c r="H9" s="495"/>
      <c r="I9" s="52"/>
      <c r="J9" s="52"/>
      <c r="K9" s="52"/>
      <c r="L9" s="52"/>
      <c r="M9" s="52"/>
      <c r="N9" s="52"/>
      <c r="O9" s="52"/>
      <c r="P9" s="52"/>
    </row>
    <row r="10" spans="1:16">
      <c r="B10" s="495"/>
      <c r="C10" s="52"/>
      <c r="D10" s="495"/>
      <c r="E10" s="495"/>
      <c r="F10" s="52"/>
      <c r="G10" s="495"/>
      <c r="H10" s="495"/>
      <c r="I10" s="52"/>
      <c r="J10" s="52"/>
      <c r="K10" s="52"/>
      <c r="L10" s="52"/>
      <c r="M10" s="52"/>
      <c r="N10" s="52"/>
      <c r="O10" s="52"/>
      <c r="P10" s="52"/>
    </row>
    <row r="11" spans="1:16">
      <c r="B11" s="495"/>
      <c r="C11" s="52"/>
      <c r="D11" s="495"/>
      <c r="E11" s="495"/>
      <c r="F11" s="52"/>
      <c r="G11" s="495"/>
      <c r="H11" s="495"/>
      <c r="I11" s="52"/>
      <c r="J11" s="52"/>
      <c r="K11" s="52"/>
      <c r="L11" s="52"/>
      <c r="M11" s="52"/>
      <c r="N11" s="52"/>
      <c r="O11" s="52"/>
      <c r="P11" s="52"/>
    </row>
    <row r="12" spans="1:16">
      <c r="B12" s="495"/>
      <c r="C12" s="52"/>
      <c r="D12" s="495"/>
      <c r="E12" s="495"/>
      <c r="F12" s="52"/>
      <c r="G12" s="495"/>
      <c r="H12" s="495"/>
      <c r="I12" s="52"/>
      <c r="J12" s="52"/>
      <c r="K12" s="52"/>
      <c r="L12" s="52"/>
      <c r="M12" s="52"/>
      <c r="N12" s="52"/>
      <c r="O12" s="52"/>
      <c r="P12" s="52"/>
    </row>
    <row r="13" spans="1:16">
      <c r="B13" s="495"/>
      <c r="C13" s="52"/>
      <c r="D13" s="495"/>
      <c r="E13" s="495"/>
      <c r="F13" s="52"/>
      <c r="G13" s="495"/>
      <c r="H13" s="495"/>
      <c r="I13" s="52"/>
      <c r="J13" s="52"/>
      <c r="K13" s="52"/>
      <c r="L13" s="52"/>
      <c r="M13" s="52"/>
      <c r="N13" s="52"/>
      <c r="O13" s="52"/>
      <c r="P13" s="52"/>
    </row>
    <row r="14" spans="1:16">
      <c r="B14" s="495"/>
      <c r="C14" s="52"/>
      <c r="D14" s="495"/>
      <c r="E14" s="495"/>
      <c r="F14" s="52"/>
      <c r="G14" s="495"/>
      <c r="H14" s="495"/>
      <c r="I14" s="52"/>
      <c r="J14" s="52"/>
      <c r="K14" s="52"/>
      <c r="L14" s="52"/>
      <c r="M14" s="52"/>
      <c r="N14" s="52"/>
      <c r="O14" s="52"/>
      <c r="P14" s="52"/>
    </row>
    <row r="15" spans="1:16">
      <c r="B15" s="495"/>
      <c r="C15" s="52"/>
      <c r="D15" s="495"/>
      <c r="E15" s="495"/>
      <c r="F15" s="52"/>
      <c r="G15" s="495"/>
      <c r="H15" s="495"/>
      <c r="I15" s="52"/>
      <c r="J15" s="52"/>
      <c r="K15" s="52"/>
      <c r="L15" s="52"/>
      <c r="M15" s="52"/>
      <c r="N15" s="52"/>
      <c r="O15" s="52"/>
      <c r="P15" s="52"/>
    </row>
    <row r="16" spans="1:16">
      <c r="B16" s="495"/>
      <c r="C16" s="52"/>
      <c r="D16" s="495"/>
      <c r="E16" s="495"/>
      <c r="F16" s="52"/>
      <c r="G16" s="495"/>
      <c r="H16" s="495"/>
      <c r="I16" s="52"/>
      <c r="J16" s="52"/>
      <c r="K16" s="52"/>
      <c r="L16" s="52"/>
      <c r="M16" s="52"/>
      <c r="N16" s="52"/>
      <c r="O16" s="52"/>
      <c r="P16" s="52"/>
    </row>
    <row r="17" spans="1:16">
      <c r="B17" s="495"/>
      <c r="C17" s="52"/>
      <c r="D17" s="495"/>
      <c r="E17" s="495"/>
      <c r="F17" s="52"/>
      <c r="G17" s="495"/>
      <c r="H17" s="495"/>
      <c r="I17" s="52"/>
      <c r="J17" s="52"/>
      <c r="K17" s="52"/>
      <c r="L17" s="52"/>
      <c r="M17" s="52"/>
      <c r="N17" s="52"/>
      <c r="O17" s="52"/>
      <c r="P17" s="52"/>
    </row>
    <row r="18" spans="1:16">
      <c r="B18" s="495"/>
      <c r="C18" s="52"/>
      <c r="D18" s="495"/>
      <c r="E18" s="495"/>
      <c r="F18" s="52"/>
      <c r="G18" s="495"/>
      <c r="H18" s="495"/>
      <c r="I18" s="52"/>
      <c r="J18" s="52"/>
      <c r="K18" s="52"/>
      <c r="L18" s="52"/>
      <c r="M18" s="52"/>
      <c r="N18" s="52"/>
      <c r="O18" s="52"/>
      <c r="P18" s="52"/>
    </row>
    <row r="19" spans="1:16">
      <c r="B19" s="495"/>
      <c r="C19" s="52"/>
      <c r="D19" s="495"/>
      <c r="E19" s="495"/>
      <c r="F19" s="52"/>
      <c r="G19" s="495"/>
      <c r="H19" s="495"/>
      <c r="I19" s="52"/>
      <c r="J19" s="52"/>
      <c r="K19" s="52"/>
      <c r="L19" s="52"/>
      <c r="M19" s="52"/>
      <c r="N19" s="52"/>
      <c r="O19" s="52"/>
      <c r="P19" s="52"/>
    </row>
    <row r="20" spans="1:16">
      <c r="B20" s="495"/>
      <c r="C20" s="52"/>
      <c r="D20" s="495"/>
      <c r="E20" s="495"/>
      <c r="F20" s="52"/>
      <c r="G20" s="495"/>
      <c r="H20" s="495"/>
      <c r="I20" s="52"/>
      <c r="J20" s="52"/>
      <c r="K20" s="52"/>
      <c r="L20" s="52"/>
      <c r="M20" s="52"/>
      <c r="N20" s="52"/>
      <c r="O20" s="52"/>
      <c r="P20" s="52"/>
    </row>
    <row r="21" spans="1:16">
      <c r="B21" s="495"/>
      <c r="C21" s="52"/>
      <c r="D21" s="495"/>
      <c r="E21" s="495"/>
      <c r="F21" s="52"/>
      <c r="G21" s="495"/>
      <c r="H21" s="495"/>
      <c r="I21" s="52"/>
      <c r="J21" s="52"/>
      <c r="K21" s="52"/>
      <c r="L21" s="52"/>
      <c r="M21" s="52"/>
      <c r="N21" s="52"/>
      <c r="O21" s="52"/>
      <c r="P21" s="52"/>
    </row>
    <row r="22" spans="1:16">
      <c r="B22" s="495"/>
      <c r="C22" s="52"/>
      <c r="D22" s="495"/>
      <c r="E22" s="495"/>
      <c r="F22" s="52"/>
      <c r="G22" s="495"/>
      <c r="H22" s="495"/>
      <c r="I22" s="52"/>
      <c r="J22" s="52"/>
      <c r="K22" s="52"/>
      <c r="L22" s="52"/>
      <c r="M22" s="52"/>
      <c r="N22" s="52"/>
      <c r="O22" s="52"/>
      <c r="P22" s="52"/>
    </row>
    <row r="23" spans="1:16" ht="15.75" thickBot="1">
      <c r="B23" s="495"/>
      <c r="C23" s="52"/>
      <c r="D23" s="495"/>
      <c r="E23" s="495"/>
      <c r="F23" s="52"/>
      <c r="G23" s="495"/>
      <c r="H23" s="495"/>
      <c r="I23" s="52"/>
      <c r="J23" s="52"/>
      <c r="K23" s="52"/>
      <c r="L23" s="52"/>
      <c r="M23" s="52"/>
      <c r="N23" s="52"/>
      <c r="O23" s="52"/>
      <c r="P23" s="52"/>
    </row>
    <row r="24" spans="1:16" ht="15.75" thickBot="1">
      <c r="A24" s="498" t="s">
        <v>586</v>
      </c>
    </row>
    <row r="26" spans="1:16" s="491" customFormat="1">
      <c r="A26" s="500" t="s">
        <v>535</v>
      </c>
      <c r="B26" s="500">
        <f t="shared" ref="B26:H26" si="0">SUM(B4:B23)</f>
        <v>0</v>
      </c>
      <c r="C26" s="500"/>
      <c r="D26" s="500">
        <f t="shared" si="0"/>
        <v>0</v>
      </c>
      <c r="E26" s="500">
        <f t="shared" si="0"/>
        <v>0</v>
      </c>
      <c r="F26" s="500"/>
      <c r="G26" s="500">
        <f t="shared" si="0"/>
        <v>0</v>
      </c>
      <c r="H26" s="500">
        <f t="shared" si="0"/>
        <v>0</v>
      </c>
      <c r="I26" s="500"/>
      <c r="J26" s="500"/>
      <c r="K26" s="500"/>
      <c r="L26" s="500"/>
      <c r="M26" s="500"/>
      <c r="N26" s="500"/>
      <c r="O26" s="500"/>
      <c r="P26" s="500"/>
    </row>
    <row r="27" spans="1:16" s="491" customFormat="1">
      <c r="A27" s="500" t="s">
        <v>604</v>
      </c>
      <c r="B27" s="500">
        <f>B26</f>
        <v>0</v>
      </c>
      <c r="C27" s="500"/>
      <c r="D27" s="500">
        <f>D26</f>
        <v>0</v>
      </c>
      <c r="E27" s="500">
        <f>E26</f>
        <v>0</v>
      </c>
      <c r="F27" s="500"/>
      <c r="G27" s="500">
        <f>(1-transport!C35)*'Eigen vloot'!G26</f>
        <v>0</v>
      </c>
      <c r="H27" s="500">
        <f>(1-transport!C42)*'Eigen vloot'!H26</f>
        <v>0</v>
      </c>
      <c r="I27" s="500"/>
      <c r="J27" s="500"/>
      <c r="K27" s="500"/>
      <c r="L27" s="500"/>
      <c r="M27" s="716">
        <f>G26*transport!C35+'Eigen vloot'!H26*transport!C42</f>
        <v>0</v>
      </c>
      <c r="N27" s="500"/>
      <c r="O27" s="500"/>
      <c r="P27" s="500"/>
    </row>
    <row r="29" spans="1:16">
      <c r="A29" s="505" t="s">
        <v>613</v>
      </c>
      <c r="B29" s="530">
        <f ca="1">'EF ele_warmte'!B12</f>
        <v>0.20642340014501959</v>
      </c>
      <c r="C29" s="530">
        <f ca="1">'EF ele_warmte'!B22</f>
        <v>0</v>
      </c>
      <c r="D29" s="530">
        <f>EF_CO2_aardgas</f>
        <v>0.20200000000000001</v>
      </c>
      <c r="E29" s="530">
        <f>EF_VLgas_CO2</f>
        <v>0.22700000000000001</v>
      </c>
      <c r="F29" s="530">
        <f>EF_stookolie_CO2</f>
        <v>0.26700000000000002</v>
      </c>
      <c r="G29" s="530">
        <f>EF_diesel_CO2</f>
        <v>0.26700000000000002</v>
      </c>
      <c r="H29" s="530">
        <f>EF_benzine_CO2</f>
        <v>0.249</v>
      </c>
      <c r="I29" s="530">
        <f>EF_bruinkool_CO2</f>
        <v>0.35099999999999998</v>
      </c>
      <c r="J29" s="530">
        <f>EF_steenkool_CO2</f>
        <v>0.35399999999999998</v>
      </c>
      <c r="K29" s="530">
        <f>EF_anderfossiel_CO2</f>
        <v>0.26400000000000001</v>
      </c>
      <c r="L29" s="530">
        <f>'EF brandstof'!J4</f>
        <v>0</v>
      </c>
      <c r="M29" s="530">
        <f>'EF brandstof'!K4</f>
        <v>0</v>
      </c>
      <c r="N29" s="530">
        <f>'EF brandstof'!L4</f>
        <v>0</v>
      </c>
      <c r="O29" s="530">
        <v>0</v>
      </c>
      <c r="P29" s="530">
        <v>0</v>
      </c>
    </row>
    <row r="31" spans="1:16">
      <c r="A31" s="500" t="s">
        <v>213</v>
      </c>
      <c r="B31" s="717">
        <f ca="1">B27*B29</f>
        <v>0</v>
      </c>
      <c r="C31" s="717"/>
      <c r="D31" s="717">
        <f>D27*D29</f>
        <v>0</v>
      </c>
      <c r="E31" s="717">
        <f>E27*E29</f>
        <v>0</v>
      </c>
      <c r="F31" s="717"/>
      <c r="G31" s="717">
        <f>G27*G29</f>
        <v>0</v>
      </c>
      <c r="H31" s="717">
        <f>H27*H29</f>
        <v>0</v>
      </c>
      <c r="I31" s="717"/>
      <c r="J31" s="717"/>
      <c r="K31" s="717"/>
      <c r="L31" s="717"/>
      <c r="M31" s="717">
        <f>M27*M29</f>
        <v>0</v>
      </c>
      <c r="N31" s="528"/>
      <c r="O31" s="528"/>
      <c r="P31" s="52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2014</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2019-01-01T21:33:08Z</dcterms:modified>
</cp:coreProperties>
</file>