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H14" i="15" l="1"/>
  <c r="H16" s="1"/>
  <c r="G14"/>
  <c r="G16" s="1"/>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D8" s="1"/>
  <c r="O60" i="18"/>
  <c r="N60"/>
  <c r="M60"/>
  <c r="W59"/>
  <c r="V59"/>
  <c r="U59"/>
  <c r="T59"/>
  <c r="S59"/>
  <c r="R59"/>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I79" i="14" s="1"/>
  <c r="G17" i="18"/>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E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F8" i="17" l="1"/>
  <c r="G22" i="14" s="1"/>
  <c r="J15" i="16"/>
  <c r="L16"/>
  <c r="L18" s="1"/>
  <c r="F16"/>
  <c r="D13" i="15"/>
  <c r="C13"/>
  <c r="C16" s="1"/>
  <c r="D10" i="14" s="1"/>
  <c r="L6" i="17"/>
  <c r="L5" s="1"/>
  <c r="B13" i="16"/>
  <c r="C35"/>
  <c r="E9" i="14"/>
  <c r="D14" i="15"/>
  <c r="P18" i="16"/>
  <c r="P22" s="1"/>
  <c r="Q39" i="14" s="1"/>
  <c r="N6" i="17"/>
  <c r="N5" s="1"/>
  <c r="I14" i="15"/>
  <c r="I16" s="1"/>
  <c r="J10" i="14" s="1"/>
  <c r="J8" i="17"/>
  <c r="K22" i="14" s="1"/>
  <c r="N16" i="16"/>
  <c r="N13" i="15"/>
  <c r="L13"/>
  <c r="L16" s="1"/>
  <c r="F13"/>
  <c r="B67" i="22"/>
  <c r="M11"/>
  <c r="G10"/>
  <c r="M9"/>
  <c r="G8"/>
  <c r="M7"/>
  <c r="G6"/>
  <c r="G11"/>
  <c r="M8"/>
  <c r="G7"/>
  <c r="M10"/>
  <c r="G9"/>
  <c r="M6"/>
  <c r="L68" i="14"/>
  <c r="L69" s="1"/>
  <c r="B12" i="48"/>
  <c r="Q12" s="1"/>
  <c r="O9" i="14"/>
  <c r="B7" i="15"/>
  <c r="O5" i="16"/>
  <c r="B38" i="13"/>
  <c r="B50" s="1"/>
  <c r="B11" i="15"/>
  <c r="B11" i="16"/>
  <c r="J9" i="14"/>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O80"/>
  <c r="L4" i="48"/>
  <c r="L22" i="16"/>
  <c r="M39" i="14" s="1"/>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D16" s="1"/>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P8" i="48" l="1"/>
  <c r="P25" s="1"/>
  <c r="J15" i="14"/>
  <c r="J23" s="1"/>
  <c r="B34" i="13"/>
  <c r="B46" s="1"/>
  <c r="E5" s="1"/>
  <c r="E8" s="1"/>
  <c r="E12" s="1"/>
  <c r="F37" i="14" s="1"/>
  <c r="N8" i="17"/>
  <c r="O22" i="14" s="1"/>
  <c r="B35" i="13"/>
  <c r="B47" s="1"/>
  <c r="O18" i="16"/>
  <c r="O22" s="1"/>
  <c r="P39" i="14" s="1"/>
  <c r="B36" i="13"/>
  <c r="G31" i="20"/>
  <c r="H43" i="14" s="1"/>
  <c r="G12" i="22"/>
  <c r="D18" i="16"/>
  <c r="D22" s="1"/>
  <c r="E39" i="14" s="1"/>
  <c r="E8" i="17"/>
  <c r="E7" i="48" s="1"/>
  <c r="E24" s="1"/>
  <c r="H13"/>
  <c r="H30" s="1"/>
  <c r="H12" i="22"/>
  <c r="L8" i="17"/>
  <c r="L12" s="1"/>
  <c r="M48" i="14" s="1"/>
  <c r="M50" i="22"/>
  <c r="M54" s="1"/>
  <c r="M10" i="48" s="1"/>
  <c r="M27" s="1"/>
  <c r="G51" i="22"/>
  <c r="G50" s="1"/>
  <c r="G54" s="1"/>
  <c r="H18" i="14" s="1"/>
  <c r="P13"/>
  <c r="E22"/>
  <c r="B9" i="48"/>
  <c r="E100" i="18"/>
  <c r="E7" s="1"/>
  <c r="F67" i="14" s="1"/>
  <c r="F69" s="1"/>
  <c r="F7" i="48"/>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I7" s="1"/>
  <c r="H9"/>
  <c r="I69" i="14"/>
  <c r="B100" i="18"/>
  <c r="C7" s="1"/>
  <c r="D67" i="14" s="1"/>
  <c r="D69" s="1"/>
  <c r="L21" i="48"/>
  <c r="M22"/>
  <c r="N41" i="14"/>
  <c r="M21" i="48"/>
  <c r="J41" i="14"/>
  <c r="J53" s="1"/>
  <c r="I17"/>
  <c r="D81"/>
  <c r="O79"/>
  <c r="L25" i="48"/>
  <c r="D9"/>
  <c r="D26" s="1"/>
  <c r="C79" i="14"/>
  <c r="D13"/>
  <c r="D15" s="1"/>
  <c r="F19"/>
  <c r="F20" s="1"/>
  <c r="D20" i="15"/>
  <c r="B81" i="14"/>
  <c r="O68"/>
  <c r="C68"/>
  <c r="B19" i="18"/>
  <c r="C7" i="48"/>
  <c r="D22" i="14"/>
  <c r="L28" i="48"/>
  <c r="C19" i="18"/>
  <c r="M31" i="20"/>
  <c r="N43" i="14" s="1"/>
  <c r="N17"/>
  <c r="M13" i="48"/>
  <c r="M30" s="1"/>
  <c r="H31" i="20"/>
  <c r="I43" i="14" s="1"/>
  <c r="G13" i="48"/>
  <c r="G30" s="1"/>
  <c r="H17" i="14"/>
  <c r="M5" i="22"/>
  <c r="M14" s="1"/>
  <c r="G5"/>
  <c r="H5"/>
  <c r="I14" i="48"/>
  <c r="E5" i="15"/>
  <c r="O20"/>
  <c r="P36" i="14" s="1"/>
  <c r="P10"/>
  <c r="P20" i="15"/>
  <c r="Q36" i="14" s="1"/>
  <c r="Q41" s="1"/>
  <c r="Q53" s="1"/>
  <c r="Q10"/>
  <c r="Q15" s="1"/>
  <c r="Q23" s="1"/>
  <c r="J5" i="15"/>
  <c r="F4" i="48"/>
  <c r="F21" s="1"/>
  <c r="B69" i="14"/>
  <c r="B4" i="6" s="1"/>
  <c r="F5" i="15"/>
  <c r="F16" s="1"/>
  <c r="B5"/>
  <c r="B16" s="1"/>
  <c r="E13" i="14"/>
  <c r="B5" i="16"/>
  <c r="B18" s="1"/>
  <c r="C13" i="14" s="1"/>
  <c r="N5" i="15"/>
  <c r="N16" s="1"/>
  <c r="F12" i="13"/>
  <c r="G37" i="14" s="1"/>
  <c r="P5" i="48"/>
  <c r="P22" s="1"/>
  <c r="F13" i="16"/>
  <c r="E13"/>
  <c r="N13"/>
  <c r="J13"/>
  <c r="N12"/>
  <c r="J12"/>
  <c r="F12"/>
  <c r="E12"/>
  <c r="Q11" i="48"/>
  <c r="O5"/>
  <c r="R9" i="14"/>
  <c r="O28" i="48"/>
  <c r="H22"/>
  <c r="K31"/>
  <c r="B48" i="13"/>
  <c r="C48" s="1"/>
  <c r="N5" s="1"/>
  <c r="N8" s="1"/>
  <c r="N4" i="48" s="1"/>
  <c r="N21" s="1"/>
  <c r="M25"/>
  <c r="M24"/>
  <c r="I31"/>
  <c r="C50" i="13"/>
  <c r="J5" s="1"/>
  <c r="J8" s="1"/>
  <c r="C5" i="48"/>
  <c r="G14" i="22" l="1"/>
  <c r="G9" i="48" s="1"/>
  <c r="N7"/>
  <c r="N24" s="1"/>
  <c r="P31"/>
  <c r="F22" i="14"/>
  <c r="E12" i="17"/>
  <c r="F48" i="14" s="1"/>
  <c r="P41"/>
  <c r="P53" s="1"/>
  <c r="O8" i="48"/>
  <c r="O25" s="1"/>
  <c r="D8"/>
  <c r="D25" s="1"/>
  <c r="J16" i="15"/>
  <c r="J5" i="48" s="1"/>
  <c r="J22" s="1"/>
  <c r="E16" i="15"/>
  <c r="F10" i="14" s="1"/>
  <c r="H14" i="22"/>
  <c r="I19" i="14" s="1"/>
  <c r="I20" s="1"/>
  <c r="I23" s="1"/>
  <c r="N12" i="17"/>
  <c r="O48" i="14" s="1"/>
  <c r="L7" i="48"/>
  <c r="L24" s="1"/>
  <c r="M22" i="14"/>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D31" s="1"/>
  <c r="J67" i="14"/>
  <c r="I9" i="18"/>
  <c r="G58" i="22"/>
  <c r="H44" i="14" s="1"/>
  <c r="G10" i="48"/>
  <c r="R17" i="14"/>
  <c r="Q13" i="48"/>
  <c r="M18" i="22"/>
  <c r="N45" i="14" s="1"/>
  <c r="M9" i="48"/>
  <c r="N19" i="14"/>
  <c r="P14" i="48"/>
  <c r="B8"/>
  <c r="J55" i="14"/>
  <c r="L55"/>
  <c r="E36"/>
  <c r="E41" s="1"/>
  <c r="N20" i="15"/>
  <c r="O36" i="14" s="1"/>
  <c r="O10"/>
  <c r="L5" i="48"/>
  <c r="L22" s="1"/>
  <c r="M10" i="14"/>
  <c r="M15" s="1"/>
  <c r="F20" i="15"/>
  <c r="G36" i="14" s="1"/>
  <c r="G10"/>
  <c r="C10"/>
  <c r="B5" i="48"/>
  <c r="D23" i="14"/>
  <c r="B20" i="6" s="1"/>
  <c r="B22" s="1"/>
  <c r="Q55" i="14"/>
  <c r="P55"/>
  <c r="N5" i="16"/>
  <c r="F5" i="48"/>
  <c r="F22" s="1"/>
  <c r="E5" i="16"/>
  <c r="J5"/>
  <c r="C35" i="13"/>
  <c r="F5" i="16"/>
  <c r="C36" i="13"/>
  <c r="O22" i="48"/>
  <c r="N12" i="13"/>
  <c r="O37" i="14" s="1"/>
  <c r="O11"/>
  <c r="C38" i="13"/>
  <c r="C39"/>
  <c r="C32"/>
  <c r="C34"/>
  <c r="E4" i="48"/>
  <c r="E21" s="1"/>
  <c r="F11" i="14"/>
  <c r="J4" i="48"/>
  <c r="J12" i="13"/>
  <c r="K37" i="14" s="1"/>
  <c r="K11"/>
  <c r="N5" i="48"/>
  <c r="L20" i="15"/>
  <c r="N20" i="14" l="1"/>
  <c r="N23" s="1"/>
  <c r="E5" i="48"/>
  <c r="E22" s="1"/>
  <c r="R22" i="14"/>
  <c r="E20" i="15"/>
  <c r="F36" i="14" s="1"/>
  <c r="O31" i="48"/>
  <c r="F18" i="16"/>
  <c r="G13" i="14" s="1"/>
  <c r="G15" s="1"/>
  <c r="G23" s="1"/>
  <c r="M16" i="18"/>
  <c r="M19" s="1"/>
  <c r="K10" i="14"/>
  <c r="R10" s="1"/>
  <c r="J18" i="16"/>
  <c r="J22" s="1"/>
  <c r="K39" i="14" s="1"/>
  <c r="Q7" i="48"/>
  <c r="E18" i="16"/>
  <c r="E22" s="1"/>
  <c r="F39" i="14" s="1"/>
  <c r="F41" s="1"/>
  <c r="F53" s="1"/>
  <c r="J20" i="15"/>
  <c r="K36" i="14" s="1"/>
  <c r="J9" i="18"/>
  <c r="M7"/>
  <c r="M9" s="1"/>
  <c r="N18" i="16"/>
  <c r="N8" i="48" s="1"/>
  <c r="L31"/>
  <c r="N46" i="14"/>
  <c r="N53" s="1"/>
  <c r="G18" i="22"/>
  <c r="H45" i="14" s="1"/>
  <c r="H46" s="1"/>
  <c r="H53" s="1"/>
  <c r="I19" i="18"/>
  <c r="J19"/>
  <c r="K78" i="14"/>
  <c r="K81" s="1"/>
  <c r="I81"/>
  <c r="O78"/>
  <c r="O81" s="1"/>
  <c r="B17" i="6" s="1"/>
  <c r="E23" i="14"/>
  <c r="D14" i="48"/>
  <c r="B14"/>
  <c r="J69" i="14"/>
  <c r="C67"/>
  <c r="C69" s="1"/>
  <c r="H19"/>
  <c r="H20" s="1"/>
  <c r="H23" s="1"/>
  <c r="J81"/>
  <c r="H18" i="22"/>
  <c r="I45" i="14" s="1"/>
  <c r="I46" s="1"/>
  <c r="I53" s="1"/>
  <c r="I55" s="1"/>
  <c r="G27" i="48"/>
  <c r="Q10"/>
  <c r="H9"/>
  <c r="Q9" s="1"/>
  <c r="M14"/>
  <c r="M26"/>
  <c r="M31" s="1"/>
  <c r="G26"/>
  <c r="G14"/>
  <c r="C15" i="14"/>
  <c r="C23" s="1"/>
  <c r="B3" i="6" s="1"/>
  <c r="E53" i="14"/>
  <c r="M36"/>
  <c r="M41" s="1"/>
  <c r="L14" i="48"/>
  <c r="M23" i="14"/>
  <c r="C10" i="17"/>
  <c r="C12" s="1"/>
  <c r="D48" i="14" s="1"/>
  <c r="C16" i="22"/>
  <c r="C10" i="13"/>
  <c r="C16" i="48" s="1"/>
  <c r="C18" i="15"/>
  <c r="C20" s="1"/>
  <c r="D36" i="14" s="1"/>
  <c r="C20" i="16"/>
  <c r="C22" s="1"/>
  <c r="D39" i="14" s="1"/>
  <c r="C17" i="19"/>
  <c r="C19" s="1"/>
  <c r="D35" i="14" s="1"/>
  <c r="C29" i="20"/>
  <c r="C17" i="49"/>
  <c r="C56" i="22"/>
  <c r="C58" s="1"/>
  <c r="D44" i="14" s="1"/>
  <c r="D46" s="1"/>
  <c r="Q5" i="48"/>
  <c r="O13" i="14"/>
  <c r="O15" s="1"/>
  <c r="F22" i="16"/>
  <c r="G39" i="14" s="1"/>
  <c r="G41" s="1"/>
  <c r="N22" i="16"/>
  <c r="O39" i="14" s="1"/>
  <c r="O41" s="1"/>
  <c r="F8" i="48"/>
  <c r="Q4"/>
  <c r="N22"/>
  <c r="R11" i="14"/>
  <c r="J21" i="48"/>
  <c r="F13" i="14" l="1"/>
  <c r="F15" s="1"/>
  <c r="F23" s="1"/>
  <c r="F55" s="1"/>
  <c r="K13"/>
  <c r="K15" s="1"/>
  <c r="K23" s="1"/>
  <c r="E8" i="48"/>
  <c r="E25" s="1"/>
  <c r="E31" s="1"/>
  <c r="N55" i="14"/>
  <c r="J8" i="48"/>
  <c r="J25" s="1"/>
  <c r="J31" s="1"/>
  <c r="N25"/>
  <c r="N31" s="1"/>
  <c r="N14"/>
  <c r="K41" i="14"/>
  <c r="K53" s="1"/>
  <c r="E14" i="48"/>
  <c r="H55" i="14"/>
  <c r="E55"/>
  <c r="C78"/>
  <c r="C81" s="1"/>
  <c r="Q8" i="48"/>
  <c r="Q14" s="1"/>
  <c r="R19" i="14"/>
  <c r="R20" s="1"/>
  <c r="H14" i="48"/>
  <c r="G31"/>
  <c r="H26"/>
  <c r="H31" s="1"/>
  <c r="O53" i="14"/>
  <c r="G53"/>
  <c r="G55" s="1"/>
  <c r="O69" s="1"/>
  <c r="B9" i="6" s="1"/>
  <c r="B12" s="1"/>
  <c r="M53" i="14"/>
  <c r="M55" s="1"/>
  <c r="C12" i="13"/>
  <c r="D37" i="14" s="1"/>
  <c r="D41" s="1"/>
  <c r="C24" i="48"/>
  <c r="C28"/>
  <c r="C22"/>
  <c r="C25"/>
  <c r="C21"/>
  <c r="F25"/>
  <c r="F31" s="1"/>
  <c r="F14"/>
  <c r="K55" i="14" l="1"/>
  <c r="J14" i="48"/>
  <c r="R13" i="14"/>
  <c r="R15" s="1"/>
  <c r="R23" s="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<sst xmlns="http://schemas.openxmlformats.org/spreadsheetml/2006/main" count="2137" uniqueCount="871">
  <si>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</si>
  <si>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</si>
  <si>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</si>
  <si>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</si>
  <si>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</si>
  <si>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</si>
  <si>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</si>
  <si>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</si>
  <si>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</si>
  <si>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</si>
  <si>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</si>
  <si>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</si>
  <si>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</si>
  <si>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</si>
  <si>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</si>
  <si>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</si>
  <si>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</si>
  <si>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</si>
  <si>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</si>
  <si>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</si>
  <si>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</si>
  <si>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</si>
  <si>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</si>
  <si>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</si>
  <si>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</si>
  <si>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</si>
  <si>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</si>
  <si>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</si>
  <si>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</si>
  <si>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</si>
  <si>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</si>
  <si>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</si>
  <si>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</si>
  <si>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</si>
  <si>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</si>
  <si>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</si>
  <si>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</si>
  <si>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</si>
  <si>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</si>
  <si>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</si>
  <si>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</si>
  <si>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</si>
  <si>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</si>
  <si>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</si>
  <si>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</si>
  <si>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</si>
  <si>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</si>
  <si>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</si>
  <si>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</si>
  <si>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</si>
  <si>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</si>
  <si>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</si>
  <si>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</si>
  <si>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</si>
  <si>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</si>
  <si>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</si>
  <si>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</si>
  <si>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</si>
  <si>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</si>
  <si>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</si>
  <si>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</si>
  <si>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</si>
  <si>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</si>
  <si>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</si>
  <si>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</si>
  <si>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</si>
  <si>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</si>
  <si>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</si>
  <si>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</si>
  <si>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</si>
  <si>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</si>
  <si>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</si>
  <si>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</si>
  <si>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</si>
  <si>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</si>
  <si>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</si>
  <si>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</si>
  <si>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</si>
  <si>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</si>
  <si>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</si>
  <si>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</si>
  <si>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</si>
  <si>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</si>
  <si>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</si>
  <si>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</si>
  <si>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</si>
  <si>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</si>
  <si>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</si>
  <si>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</si>
  <si>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</si>
  <si>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</si>
  <si>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</si>
  <si>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</si>
  <si>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</si>
  <si>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</si>
  <si>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</si>
  <si>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</si>
  <si>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</si>
  <si>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</si>
  <si>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</si>
  <si>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</si>
  <si>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</si>
  <si>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</si>
  <si>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</si>
  <si>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</si>
  <si>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</si>
  <si>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</si>
  <si>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</si>
  <si>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</si>
  <si>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</si>
  <si>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</si>
  <si>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</si>
  <si>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</si>
  <si>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</si>
  <si>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</si>
  <si>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</si>
  <si>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</si>
  <si>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</si>
  <si>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</si>
  <si>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</si>
  <si>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</si>
  <si>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</si>
  <si>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</si>
  <si>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</si>
  <si>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</si>
  <si>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</si>
  <si>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</si>
  <si>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</si>
  <si>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</si>
  <si>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</si>
  <si>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</si>
  <si>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</si>
  <si>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</si>
  <si>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</si>
  <si>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</si>
  <si>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</si>
  <si>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</si>
  <si>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</si>
  <si>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</si>
  <si>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</si>
  <si>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</si>
  <si>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</si>
  <si>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</si>
  <si>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</si>
  <si>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</si>
  <si>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</si>
  <si>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</si>
  <si>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</si>
  <si>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</si>
  <si>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</si>
  <si>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</si>
  <si>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</si>
  <si>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</si>
  <si>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</si>
  <si>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</si>
  <si>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</si>
  <si>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</si>
  <si>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</si>
  <si>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</si>
  <si>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</si>
  <si>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</si>
  <si>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</si>
  <si>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</si>
  <si>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</si>
  <si>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</si>
  <si>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</si>
  <si>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</si>
  <si>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</si>
  <si>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</si>
  <si>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</si>
  <si>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</si>
  <si>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</si>
  <si>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</si>
  <si>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</si>
  <si>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</si>
  <si>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</si>
  <si>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</si>
  <si>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</si>
  <si>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</si>
  <si>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</si>
  <si>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</si>
  <si>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</si>
  <si>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</si>
  <si>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</si>
  <si>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</si>
  <si>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</si>
  <si>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</si>
  <si>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</si>
  <si>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</si>
  <si>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</si>
  <si>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</si>
  <si>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</si>
  <si>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</si>
  <si>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</si>
  <si>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</si>
  <si>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</si>
  <si>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</si>
  <si>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</si>
  <si>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</si>
  <si>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</si>
  <si>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</si>
  <si>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</si>
  <si>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</si>
  <si>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</si>
  <si>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</si>
  <si>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</si>
  <si>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</si>
  <si>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</si>
  <si>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</si>
  <si>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</si>
  <si>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</si>
  <si>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</si>
  <si>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</si>
  <si>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</si>
  <si>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</si>
  <si>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</si>
  <si>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</si>
  <si>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</si>
  <si>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</si>
  <si>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</si>
  <si>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</si>
  <si>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</si>
  <si>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</si>
  <si>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</si>
  <si>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</si>
  <si>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</si>
  <si>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</si>
  <si>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</si>
  <si>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</si>
  <si>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</si>
  <si>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</si>
  <si>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</si>
  <si>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</si>
  <si>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</si>
  <si>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</si>
  <si>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</si>
  <si>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</si>
  <si>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</si>
  <si>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</si>
  <si>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</si>
  <si>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</si>
  <si>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</si>
  <si>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</si>
  <si>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</si>
  <si>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</si>
  <si>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</si>
  <si>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</si>
  <si>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</si>
  <si>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</si>
  <si>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</si>
  <si>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</si>
  <si>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</si>
  <si>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</si>
  <si>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</si>
  <si>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</si>
  <si>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</si>
  <si>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</si>
  <si>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</si>
  <si>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</si>
  <si>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</si>
  <si>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</si>
  <si>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</si>
  <si>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</si>
  <si>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</si>
  <si>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</si>
  <si>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</si>
  <si>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</si>
  <si>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</si>
  <si>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</si>
  <si>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</si>
  <si>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</si>
  <si>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</si>
  <si>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</si>
  <si>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</si>
  <si>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</si>
  <si>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</si>
  <si>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</si>
  <si>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</si>
  <si>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</si>
  <si>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</si>
  <si>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</si>
  <si>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</si>
  <si>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</si>
  <si>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</si>
  <si>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</si>
  <si>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</si>
  <si>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</si>
  <si>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</si>
  <si>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</si>
  <si>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</si>
  <si>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</si>
  <si>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</si>
  <si>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</si>
  <si>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</si>
  <si>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</si>
  <si>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</si>
  <si>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</si>
  <si>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</si>
  <si>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</si>
  <si>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</si>
  <si>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</si>
  <si>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</si>
  <si>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</si>
  <si>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</si>
  <si>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</si>
  <si>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</si>
  <si>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</si>
  <si>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</si>
  <si>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</si>
  <si>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</si>
  <si>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</si>
  <si>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</si>
  <si>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</si>
  <si>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</si>
  <si>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</si>
  <si>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</si>
  <si>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</si>
  <si>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</si>
  <si>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</si>
  <si>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</si>
  <si>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</si>
  <si>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</si>
  <si>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</si>
  <si>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</si>
  <si>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</si>
  <si>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</si>
  <si>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</si>
  <si>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</si>
  <si>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</si>
  <si>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</si>
  <si>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</si>
  <si>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</si>
  <si>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</si>
  <si>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</si>
  <si>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</si>
  <si>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</si>
  <si>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</si>
  <si>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</si>
  <si>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</si>
  <si>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</si>
  <si>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</si>
  <si>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</si>
  <si>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</si>
  <si>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</si>
  <si>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</si>
  <si>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</si>
  <si>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</si>
  <si>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</si>
  <si>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</si>
  <si>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</si>
  <si>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</si>
  <si>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</si>
  <si>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</si>
  <si>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</si>
  <si>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</si>
  <si>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</si>
  <si>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</si>
  <si>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</si>
  <si>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</si>
  <si>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</si>
  <si>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</si>
  <si>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</si>
  <si>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</si>
  <si>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</si>
  <si>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</si>
  <si>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</si>
  <si>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</si>
  <si>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</si>
  <si>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</si>
  <si>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</si>
  <si>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</si>
  <si>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</si>
  <si>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</si>
  <si>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</si>
  <si>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</si>
  <si>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</si>
  <si>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</si>
  <si>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</si>
  <si>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</si>
  <si>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</si>
  <si>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</si>
  <si>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</si>
  <si>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</si>
  <si>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</si>
  <si>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</si>
  <si>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</si>
  <si>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</si>
  <si>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</si>
  <si>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</si>
  <si>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</si>
  <si>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</si>
  <si>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</si>
  <si>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</si>
  <si>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</si>
  <si>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</si>
  <si>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</si>
  <si>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</si>
  <si>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</si>
  <si>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</si>
  <si>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</si>
  <si>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</si>
  <si>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</si>
  <si>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</si>
  <si>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</si>
  <si>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</si>
  <si>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</si>
  <si>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</si>
  <si>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</si>
  <si>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</si>
  <si>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</si>
  <si>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</si>
  <si>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</si>
  <si>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</si>
  <si>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</si>
  <si>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</si>
  <si>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</si>
  <si>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</si>
  <si>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</si>
  <si>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</si>
  <si>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</si>
  <si>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</si>
  <si>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</si>
  <si>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</si>
  <si>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</si>
  <si>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</si>
  <si>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</si>
  <si>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</si>
  <si>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</si>
  <si>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</si>
  <si>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</si>
  <si>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</si>
  <si>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</si>
  <si>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</si>
  <si>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</si>
  <si>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</si>
  <si>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</si>
  <si>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</si>
  <si>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</si>
  <si>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</si>
  <si>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</si>
  <si>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</si>
  <si>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</si>
  <si>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</si>
  <si>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</si>
  <si>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</si>
  <si>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</si>
  <si>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</si>
  <si>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</si>
  <si>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</si>
  <si>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</si>
  <si>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</si>
  <si>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</si>
  <si>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</si>
  <si>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</si>
  <si>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</si>
  <si>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</si>
  <si>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</si>
  <si>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</si>
  <si>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</si>
  <si>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</si>
  <si>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</si>
  <si>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</si>
  <si>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</si>
  <si>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</si>
  <si>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</si>
  <si>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</si>
  <si>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</si>
  <si>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</si>
  <si>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</si>
  <si>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</si>
  <si>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</si>
  <si>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</si>
  <si>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</si>
  <si>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</si>
  <si>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</si>
  <si>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</si>
  <si>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</si>
  <si>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</si>
  <si>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</si>
  <si>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</si>
  <si>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</si>
  <si>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</si>
  <si>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</si>
  <si>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</si>
  <si>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</si>
  <si>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</si>
  <si>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</si>
  <si>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</si>
  <si>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</si>
  <si>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</si>
  <si>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</si>
  <si>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</si>
  <si>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</si>
  <si>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</si>
  <si>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</si>
  <si>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</si>
  <si>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</si>
  <si>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</si>
  <si>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</si>
  <si>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</si>
  <si>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</si>
  <si>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</si>
  <si>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</si>
  <si>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</si>
  <si>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</si>
  <si>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</si>
  <si>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</si>
  <si>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</si>
  <si>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</si>
  <si>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</si>
  <si>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</si>
  <si>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</si>
  <si>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</si>
  <si>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</si>
  <si>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</si>
  <si>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</si>
  <si>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</si>
  <si>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</si>
  <si>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</si>
  <si>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</si>
  <si>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</si>
  <si>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</si>
  <si>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</si>
  <si>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</si>
  <si>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</si>
  <si>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</si>
  <si>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</si>
  <si>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</si>
  <si>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</si>
  <si>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</si>
  <si>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</si>
  <si>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</si>
  <si>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</si>
  <si>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</si>
  <si>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</si>
  <si>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</si>
  <si>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</si>
  <si>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</si>
  <si>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</si>
  <si>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</si>
  <si>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</si>
  <si>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</si>
  <si>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</si>
  <si>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</si>
  <si>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</si>
  <si>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</si>
  <si>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</si>
  <si>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</si>
  <si>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</si>
  <si>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</si>
  <si>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</si>
  <si>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</si>
  <si>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</si>
  <si>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</si>
  <si>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</si>
  <si>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</si>
  <si>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</si>
  <si>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</si>
  <si>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</si>
  <si>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</si>
  <si>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</si>
  <si>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</si>
  <si>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</si>
  <si>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</si>
  <si>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</si>
  <si>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</si>
  <si>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</si>
  <si>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</si>
  <si>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</si>
  <si>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</si>
  <si>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</si>
  <si>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</si>
  <si>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</si>
  <si>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</si>
  <si>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</si>
  <si>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</si>
  <si>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</si>
  <si>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</si>
  <si>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</si>
  <si>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</si>
  <si>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</si>
  <si>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</si>
  <si>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</si>
  <si>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</si>
  <si>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</si>
  <si>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</si>
  <si>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</si>
  <si>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</si>
  <si>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</si>
  <si>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</si>
  <si>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</si>
  <si>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</si>
  <si>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</si>
  <si>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</si>
  <si>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</si>
  <si>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</si>
  <si>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</si>
  <si>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</si>
  <si>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</si>
  <si>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</si>
  <si>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</si>
  <si>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</si>
  <si>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</si>
  <si>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</si>
  <si>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</si>
  <si>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</si>
  <si>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</si>
  <si>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</si>
  <si>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</si>
  <si>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</si>
  <si>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</si>
  <si>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</si>
  <si>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</si>
  <si>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</si>
  <si>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</si>
  <si>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</si>
  <si>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</si>
  <si>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</si>
  <si>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</si>
  <si>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</si>
  <si>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</si>
  <si>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</si>
  <si>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</si>
  <si>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</si>
  <si>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</si>
  <si>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</si>
  <si>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</si>
  <si>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</si>
  <si>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</si>
  <si>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</si>
  <si>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</si>
  <si>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</si>
  <si>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</si>
  <si>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</si>
  <si>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</si>
  <si>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</si>
  <si>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</si>
  <si>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</si>
  <si>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</si>
  <si>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</si>
  <si>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</si>
  <si>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</si>
  <si>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</si>
  <si>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</si>
  <si>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</si>
  <si>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</si>
  <si>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</si>
  <si>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</si>
  <si>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</si>
  <si>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</si>
  <si>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</si>
  <si>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</si>
  <si>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</si>
  <si>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</si>
  <si>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</si>
  <si>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</si>
  <si>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</si>
  <si>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</si>
  <si>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</si>
  <si>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</si>
  <si>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</si>
  <si>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</si>
  <si>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</si>
  <si>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</si>
  <si>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</si>
  <si>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</si>
  <si>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</si>
  <si>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</si>
  <si>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</si>
  <si>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</si>
  <si>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</si>
  <si>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</si>
  <si>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</si>
  <si>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</si>
  <si>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</si>
  <si>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</si>
  <si>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</si>
  <si>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</si>
  <si>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</si>
  <si>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</si>
  <si>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</si>
  <si>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</si>
  <si>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</si>
  <si>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</si>
  <si>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</si>
  <si>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</si>
  <si>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</si>
  <si>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</si>
  <si>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</si>
  <si>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</si>
  <si>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</si>
  <si>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</si>
  <si>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</si>
  <si>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</si>
  <si>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</si>
  <si>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</si>
  <si>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</si>
  <si>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</si>
  <si>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</si>
  <si>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</si>
  <si>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</si>
  <si>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</si>
  <si>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</si>
  <si>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</si>
  <si>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</si>
  <si>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</si>
  <si>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</si>
  <si>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</si>
  <si>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</si>
  <si>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</si>
  <si>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</si>
  <si>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</si>
  <si>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</si>
  <si>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</si>
  <si>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</si>
  <si>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</si>
  <si>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</si>
  <si>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</si>
  <si>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</si>
  <si>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</si>
  <si>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</si>
  <si>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</si>
  <si>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</si>
  <si>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</si>
  <si>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</si>
  <si>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</si>
  <si>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</si>
  <si>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</si>
  <si>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</si>
  <si>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</si>
  <si>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</si>
  <si>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</si>
  <si>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</si>
  <si>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</si>
  <si>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</si>
  <si>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</si>
  <si>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</si>
  <si>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</si>
  <si>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</si>
  <si>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</si>
  <si>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</si>
  <si>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</si>
  <si>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</si>
  <si>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</si>
  <si>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</si>
  <si>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</si>
  <si>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</si>
  <si>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</si>
  <si>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</si>
  <si>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</si>
  <si>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</si>
  <si>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</si>
  <si>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</si>
  <si>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</si>
  <si>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</si>
  <si>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</si>
  <si>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</si>
  <si>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</si>
  <si>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</si>
  <si>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</si>
  <si>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</si>
  <si>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</si>
  <si>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</si>
  <si>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</si>
  <si>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</si>
  <si>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</si>
  <si>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</si>
  <si>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</si>
  <si>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</si>
  <si>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</si>
  <si>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</si>
  <si>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</si>
  <si>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</si>
  <si>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</si>
  <si>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</si>
  <si>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</si>
  <si>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</si>
  <si>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</si>
  <si>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</si>
  <si>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</si>
  <si>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</si>
  <si>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</si>
  <si>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</si>
  <si>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</si>
  <si>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</si>
  <si>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</si>
  <si>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</si>
  <si>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</si>
  <si>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</si>
  <si>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</si>
  <si>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</si>
  <si>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</si>
  <si>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</si>
  <si>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</si>
  <si>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</si>
  <si>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</si>
  <si>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</si>
  <si>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</si>
  <si>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</si>
  <si>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</si>
  <si>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</si>
  <si>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</si>
  <si>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</si>
  <si>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</si>
  <si>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</si>
  <si>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</si>
  <si>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</si>
  <si>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</si>
  <si>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</si>
  <si>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</si>
  <si>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</si>
  <si>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</si>
  <si>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</si>
  <si>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</si>
  <si>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</si>
  <si>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</si>
  <si>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</si>
  <si>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</si>
  <si>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</si>
  <si>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</si>
  <si>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</si>
  <si>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</si>
  <si>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</si>
  <si>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</si>
  <si>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</si>
  <si>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versie: 2014_05</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</si>
  <si>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</si>
  <si>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</si>
  <si>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</si>
  <si>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</si>
  <si>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</si>
  <si>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</si>
  <si>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</si>
  <si>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</si>
  <si>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</si>
  <si>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</si>
  <si>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</si>
  <si>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</si>
  <si>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</si>
  <si>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</si>
  <si>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</si>
  <si>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</si>
  <si>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</si>
  <si>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</si>
  <si>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</si>
  <si>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</si>
  <si>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</si>
  <si>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</si>
  <si>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</si>
  <si>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</si>
  <si>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</si>
  <si>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</si>
  <si>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</si>
  <si>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</si>
  <si>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</si>
  <si>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</si>
  <si>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</si>
  <si>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</si>
  <si>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</si>
  <si>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</si>
  <si>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</si>
  <si>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</si>
  <si>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</si>
  <si>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38016</t>
  </si>
  <si>
    <t>NIEUWPOORT</t>
  </si>
  <si>
    <t>Paarden&amp;pony's 200 - 600 kg</t>
  </si>
  <si>
    <t>Paarden&amp;pony's &lt; 200 kg</t>
  </si>
  <si>
    <t>referentietaak LNE (2017); Jaarverslag De Lijn (2014)</t>
  </si>
  <si>
    <t>op basis van VEA (maart 2018) en Inventaris Hernieuwbare Energiebronnen (juni 2018)</t>
  </si>
  <si>
    <t>VEA (maart 2016)</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</si>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</sst>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5">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89">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3" fontId="111" fillId="12" borderId="193" xfId="0" applyNumberFormat="1" applyFont="1" applyFill="1" applyBorder="1" applyAlignment="1">
      <alignment horizontal="center" vertical="center" wrapText="1"/>
    </xf>
    <xf numFmtId="3" fontId="24" fillId="0" borderId="0" xfId="0" applyNumberFormat="1" applyFont="1"/>
    <xf numFmtId="3" fontId="111" fillId="12" borderId="191" xfId="0" applyNumberFormat="1" applyFont="1" applyFill="1" applyBorder="1" applyAlignment="1">
      <alignment horizontal="center" vertical="center" wrapText="1"/>
    </xf>
    <xf numFmtId="3" fontId="24" fillId="0" borderId="194" xfId="0" applyNumberFormat="1" applyFont="1" applyBorder="1" applyAlignment="1">
      <alignment horizontal="left" vertical="top"/>
    </xf>
    <xf numFmtId="3" fontId="25" fillId="28" borderId="195" xfId="0" applyNumberFormat="1" applyFont="1" applyFill="1" applyBorder="1" applyAlignment="1">
      <alignment horizontal="left" vertical="top" wrapText="1"/>
    </xf>
    <xf numFmtId="3" fontId="0" fillId="0" borderId="195" xfId="0" applyNumberFormat="1" applyFill="1" applyBorder="1" applyAlignment="1">
      <alignment horizontal="left" vertical="top" wrapText="1"/>
    </xf>
    <xf numFmtId="3" fontId="0" fillId="29" borderId="195" xfId="0" applyNumberFormat="1" applyFill="1" applyBorder="1" applyAlignment="1">
      <alignment horizontal="left" vertical="top" wrapText="1"/>
    </xf>
    <xf numFmtId="3" fontId="25" fillId="30" borderId="195" xfId="0" applyNumberFormat="1" applyFont="1" applyFill="1" applyBorder="1" applyAlignment="1">
      <alignment horizontal="left" vertical="top" wrapText="1"/>
    </xf>
    <xf numFmtId="3" fontId="25" fillId="0" borderId="195" xfId="0" applyNumberFormat="1" applyFont="1" applyFill="1" applyBorder="1" applyAlignment="1">
      <alignment horizontal="left" vertical="top" wrapText="1"/>
    </xf>
    <xf numFmtId="172" fontId="0" fillId="28" borderId="195" xfId="0" applyFill="1" applyBorder="1" applyAlignment="1">
      <alignment horizontal="left" vertical="top" wrapText="1"/>
    </xf>
    <xf numFmtId="172" fontId="0" fillId="28" borderId="196" xfId="0" applyFill="1" applyBorder="1" applyAlignment="1">
      <alignment horizontal="left" vertical="top" wrapText="1"/>
    </xf>
    <xf numFmtId="3" fontId="0" fillId="28" borderId="197" xfId="0" applyNumberFormat="1" applyFill="1" applyBorder="1" applyAlignment="1">
      <alignment horizontal="left" vertical="top" wrapText="1"/>
    </xf>
    <xf numFmtId="3" fontId="24" fillId="0" borderId="188" xfId="0" applyNumberFormat="1" applyFont="1" applyBorder="1" applyAlignment="1">
      <alignment horizontal="left" vertical="top"/>
    </xf>
    <xf numFmtId="3" fontId="25" fillId="28" borderId="189" xfId="0" applyNumberFormat="1" applyFont="1" applyFill="1" applyBorder="1" applyAlignment="1">
      <alignment horizontal="left" vertical="top" wrapText="1"/>
    </xf>
    <xf numFmtId="3" fontId="0" fillId="28" borderId="189" xfId="0" applyNumberFormat="1" applyFill="1" applyBorder="1" applyAlignment="1">
      <alignment horizontal="left" vertical="top" wrapText="1"/>
    </xf>
    <xf numFmtId="3" fontId="25" fillId="30" borderId="189" xfId="0" applyNumberFormat="1" applyFont="1" applyFill="1" applyBorder="1" applyAlignment="1">
      <alignment horizontal="left" vertical="top" wrapText="1"/>
    </xf>
    <xf numFmtId="3" fontId="25" fillId="0" borderId="189" xfId="0" applyNumberFormat="1" applyFont="1" applyFill="1" applyBorder="1" applyAlignment="1">
      <alignment horizontal="left" vertical="top" wrapText="1"/>
    </xf>
    <xf numFmtId="172" fontId="0" fillId="28" borderId="189" xfId="0" applyFill="1" applyBorder="1" applyAlignment="1">
      <alignment horizontal="left" vertical="top" wrapText="1"/>
    </xf>
    <xf numFmtId="172" fontId="0" fillId="28" borderId="190" xfId="0" applyFill="1" applyBorder="1" applyAlignment="1">
      <alignment horizontal="left" vertical="top" wrapText="1"/>
    </xf>
    <xf numFmtId="3" fontId="0" fillId="28" borderId="198" xfId="0" applyNumberFormat="1" applyFill="1" applyBorder="1" applyAlignment="1">
      <alignment horizontal="left" vertical="top" wrapText="1"/>
    </xf>
    <xf numFmtId="3" fontId="25" fillId="29"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5" fillId="0" borderId="189" xfId="0" applyNumberFormat="1" applyFont="1" applyBorder="1" applyAlignment="1">
      <alignment horizontal="left" vertical="top" wrapText="1"/>
    </xf>
    <xf numFmtId="3" fontId="25" fillId="0" borderId="190" xfId="0" applyNumberFormat="1" applyFont="1" applyBorder="1" applyAlignment="1">
      <alignment horizontal="left" vertical="top" wrapText="1"/>
    </xf>
    <xf numFmtId="3" fontId="0" fillId="29" borderId="198"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12" fillId="0" borderId="188" xfId="0" applyNumberFormat="1" applyFont="1" applyBorder="1" applyAlignment="1">
      <alignment horizontal="left" vertical="top"/>
    </xf>
    <xf numFmtId="3" fontId="25" fillId="0" borderId="190" xfId="0" applyNumberFormat="1" applyFont="1" applyFill="1" applyBorder="1" applyAlignment="1">
      <alignment horizontal="left" vertical="top" wrapText="1"/>
    </xf>
    <xf numFmtId="3" fontId="25" fillId="30" borderId="8" xfId="0" applyNumberFormat="1" applyFont="1" applyFill="1" applyBorder="1" applyAlignment="1">
      <alignment horizontal="left" vertical="top" wrapText="1"/>
    </xf>
    <xf numFmtId="3" fontId="0" fillId="0" borderId="189" xfId="0" applyNumberFormat="1" applyBorder="1"/>
    <xf numFmtId="3" fontId="0" fillId="0" borderId="190" xfId="0" applyNumberFormat="1" applyBorder="1"/>
    <xf numFmtId="3" fontId="24" fillId="0" borderId="10" xfId="0" applyNumberFormat="1" applyFont="1" applyBorder="1" applyAlignment="1">
      <alignment horizontal="left" vertical="top"/>
    </xf>
    <xf numFmtId="3" fontId="0" fillId="0" borderId="199" xfId="0" applyNumberFormat="1" applyBorder="1"/>
    <xf numFmtId="3" fontId="0" fillId="0" borderId="200" xfId="0" applyNumberFormat="1" applyBorder="1"/>
    <xf numFmtId="3" fontId="113" fillId="0" borderId="201" xfId="0" applyNumberFormat="1" applyFont="1" applyBorder="1"/>
    <xf numFmtId="3" fontId="8" fillId="0" borderId="192" xfId="0" applyNumberFormat="1" applyFont="1" applyBorder="1"/>
    <xf numFmtId="3" fontId="8" fillId="0" borderId="202" xfId="0" applyNumberFormat="1" applyFont="1" applyBorder="1"/>
    <xf numFmtId="3" fontId="8" fillId="0" borderId="193" xfId="0" applyNumberFormat="1" applyFont="1" applyBorder="1"/>
    <xf numFmtId="3" fontId="8" fillId="0" borderId="191" xfId="0" applyNumberFormat="1" applyFont="1" applyBorder="1"/>
    <xf numFmtId="3" fontId="0" fillId="0" borderId="203" xfId="0" applyNumberFormat="1" applyBorder="1"/>
    <xf numFmtId="3" fontId="8" fillId="29" borderId="0" xfId="0" applyNumberFormat="1" applyFont="1" applyFill="1" applyAlignment="1">
      <alignment horizontal="left"/>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0" fillId="12" borderId="31"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64"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1" fillId="12" borderId="191" xfId="0" applyNumberFormat="1" applyFont="1" applyFill="1" applyBorder="1" applyAlignment="1">
      <alignment horizontal="center" vertical="center" wrapText="1"/>
    </xf>
    <xf numFmtId="3" fontId="111" fillId="12" borderId="192" xfId="0" applyNumberFormat="1" applyFont="1" applyFill="1" applyBorder="1" applyAlignment="1">
      <alignment horizontal="center" vertical="top" wrapText="1"/>
    </xf>
    <xf numFmtId="3" fontId="111" fillId="12" borderId="193"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40" fillId="12" borderId="64" xfId="0" applyNumberFormat="1" applyFont="1" applyFill="1" applyBorder="1" applyAlignment="1" applyProtection="1">
      <alignment horizontal="center" vertical="center" wrapText="1"/>
    </xf>
    <xf numFmtId="0" fontId="40" fillId="12" borderId="7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206" xfId="3" applyNumberFormat="1" applyFont="1" applyBorder="1"/>
    <xf numFmtId="0" fontId="0" fillId="0" borderId="206"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77728.536224170311</c:v>
                </c:pt>
                <c:pt idx="1">
                  <c:v>81597.755439162269</c:v>
                </c:pt>
                <c:pt idx="2">
                  <c:v>1087.6569999999999</c:v>
                </c:pt>
                <c:pt idx="3">
                  <c:v>10110.661062551728</c:v>
                </c:pt>
                <c:pt idx="4">
                  <c:v>17669.443978572734</c:v>
                </c:pt>
                <c:pt idx="5">
                  <c:v>110168.91191380081</c:v>
                </c:pt>
                <c:pt idx="6">
                  <c:v>1502.2574850596488</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79166592"/>
        <c:axId val="179246208"/>
      </c:barChart>
      <c:catAx>
        <c:axId val="179166592"/>
        <c:scaling>
          <c:orientation val="minMax"/>
        </c:scaling>
        <c:axPos val="b"/>
        <c:numFmt formatCode="General" sourceLinked="0"/>
        <c:tickLblPos val="nextTo"/>
        <c:crossAx val="179246208"/>
        <c:crosses val="autoZero"/>
        <c:auto val="1"/>
        <c:lblAlgn val="ctr"/>
        <c:lblOffset val="100"/>
      </c:catAx>
      <c:valAx>
        <c:axId val="179246208"/>
        <c:scaling>
          <c:orientation val="minMax"/>
        </c:scaling>
        <c:axPos val="l"/>
        <c:majorGridlines/>
        <c:numFmt formatCode="#,##0" sourceLinked="1"/>
        <c:tickLblPos val="nextTo"/>
        <c:crossAx val="17916659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77728.536224170311</c:v>
                </c:pt>
                <c:pt idx="1">
                  <c:v>81597.755439162269</c:v>
                </c:pt>
                <c:pt idx="2">
                  <c:v>1087.6569999999999</c:v>
                </c:pt>
                <c:pt idx="3">
                  <c:v>10110.661062551728</c:v>
                </c:pt>
                <c:pt idx="4">
                  <c:v>17669.443978572734</c:v>
                </c:pt>
                <c:pt idx="5">
                  <c:v>110168.91191380081</c:v>
                </c:pt>
                <c:pt idx="6">
                  <c:v>1502.2574850596488</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15585.50209925365</c:v>
                </c:pt>
                <c:pt idx="1">
                  <c:v>16975.699359850998</c:v>
                </c:pt>
                <c:pt idx="2">
                  <c:v>235.53374155122032</c:v>
                </c:pt>
                <c:pt idx="3">
                  <c:v>2265.4043060609329</c:v>
                </c:pt>
                <c:pt idx="4">
                  <c:v>3675.0754352626236</c:v>
                </c:pt>
                <c:pt idx="5">
                  <c:v>27666.45433651207</c:v>
                </c:pt>
                <c:pt idx="6">
                  <c:v>350.03130310652227</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80398336"/>
        <c:axId val="182591488"/>
      </c:barChart>
      <c:catAx>
        <c:axId val="180398336"/>
        <c:scaling>
          <c:orientation val="minMax"/>
        </c:scaling>
        <c:axPos val="b"/>
        <c:numFmt formatCode="General" sourceLinked="0"/>
        <c:tickLblPos val="nextTo"/>
        <c:crossAx val="182591488"/>
        <c:crosses val="autoZero"/>
        <c:auto val="1"/>
        <c:lblAlgn val="ctr"/>
        <c:lblOffset val="100"/>
      </c:catAx>
      <c:valAx>
        <c:axId val="182591488"/>
        <c:scaling>
          <c:orientation val="minMax"/>
        </c:scaling>
        <c:axPos val="l"/>
        <c:majorGridlines/>
        <c:numFmt formatCode="#,##0" sourceLinked="1"/>
        <c:tickLblPos val="nextTo"/>
        <c:crossAx val="18039833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15585.50209925365</c:v>
                </c:pt>
                <c:pt idx="1">
                  <c:v>16975.699359850998</c:v>
                </c:pt>
                <c:pt idx="2">
                  <c:v>235.53374155122032</c:v>
                </c:pt>
                <c:pt idx="3">
                  <c:v>2265.4043060609329</c:v>
                </c:pt>
                <c:pt idx="4">
                  <c:v>3675.0754352626236</c:v>
                </c:pt>
                <c:pt idx="5">
                  <c:v>27666.45433651207</c:v>
                </c:pt>
                <c:pt idx="6">
                  <c:v>350.03130310652227</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26" sqref="A26"/>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825</v>
      </c>
      <c r="B4" s="106"/>
      <c r="C4" s="107"/>
    </row>
    <row r="5" spans="1:7" s="414" customFormat="1" ht="15.75" customHeight="1">
      <c r="A5" s="411" t="s">
        <v>0</v>
      </c>
      <c r="B5" s="412"/>
      <c r="C5" s="413"/>
    </row>
    <row r="6" spans="1:7" s="414" customFormat="1" ht="15" customHeight="1">
      <c r="A6" s="415" t="str">
        <f>txtNIS</f>
        <v>38016</v>
      </c>
      <c r="B6" s="416"/>
      <c r="C6" s="417"/>
    </row>
    <row r="7" spans="1:7" s="414" customFormat="1" ht="15.75" customHeight="1">
      <c r="A7" s="418" t="str">
        <f>txtMunicipality</f>
        <v>NIEUWPOORT</v>
      </c>
      <c r="B7" s="416"/>
      <c r="C7" s="417"/>
    </row>
    <row r="8" spans="1:7" ht="15.75" thickBot="1">
      <c r="A8" s="45"/>
      <c r="B8" s="108"/>
      <c r="C8" s="109"/>
    </row>
    <row r="9" spans="1:7" s="407" customFormat="1" ht="15.75" thickBot="1">
      <c r="A9" s="431" t="s">
        <v>357</v>
      </c>
      <c r="B9" s="434"/>
      <c r="C9" s="435"/>
    </row>
    <row r="10" spans="1:7" s="15" customFormat="1" ht="57.75" customHeight="1" thickBot="1">
      <c r="A10" s="1077" t="s">
        <v>684</v>
      </c>
      <c r="B10" s="1078"/>
      <c r="C10" s="107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80" t="s">
        <v>530</v>
      </c>
      <c r="C16" s="108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86"/>
      <c r="K10" s="58"/>
    </row>
    <row r="11" spans="1:11" s="43" customFormat="1">
      <c r="A11" s="44" t="s">
        <v>575</v>
      </c>
      <c r="B11" s="47"/>
      <c r="D11" s="142" t="s">
        <v>392</v>
      </c>
      <c r="I11" s="1186"/>
      <c r="K11" s="58"/>
    </row>
    <row r="12" spans="1:11" s="43" customFormat="1">
      <c r="A12" s="44" t="s">
        <v>576</v>
      </c>
      <c r="B12" s="47"/>
      <c r="D12" s="142" t="s">
        <v>392</v>
      </c>
      <c r="I12" s="1186"/>
      <c r="K12" s="58"/>
    </row>
    <row r="13" spans="1:11" s="43" customFormat="1">
      <c r="A13" s="44"/>
      <c r="B13" s="479"/>
      <c r="D13" s="96"/>
      <c r="I13" s="1186"/>
    </row>
    <row r="14" spans="1:11" s="43" customFormat="1">
      <c r="A14" s="304" t="s">
        <v>573</v>
      </c>
      <c r="B14" s="532"/>
      <c r="C14" s="141" t="s">
        <v>182</v>
      </c>
      <c r="D14" s="144" t="s">
        <v>391</v>
      </c>
      <c r="I14" s="1186"/>
    </row>
    <row r="15" spans="1:11" s="43" customFormat="1">
      <c r="A15" s="44" t="s">
        <v>71</v>
      </c>
      <c r="B15" s="47"/>
      <c r="D15" s="142" t="s">
        <v>392</v>
      </c>
      <c r="I15" s="1186"/>
      <c r="J15" s="1186"/>
    </row>
    <row r="16" spans="1:11" s="43" customFormat="1">
      <c r="A16" s="44" t="s">
        <v>537</v>
      </c>
      <c r="B16" s="47"/>
      <c r="D16" s="142" t="s">
        <v>392</v>
      </c>
      <c r="I16" s="1186"/>
      <c r="J16" s="1186"/>
    </row>
    <row r="17" spans="1:11" s="43" customFormat="1">
      <c r="A17" s="44" t="s">
        <v>78</v>
      </c>
      <c r="B17" s="47"/>
      <c r="D17" s="142" t="s">
        <v>392</v>
      </c>
      <c r="I17" s="1186"/>
      <c r="J17" s="1186"/>
    </row>
    <row r="18" spans="1:11" s="43" customFormat="1">
      <c r="A18" s="44" t="s">
        <v>538</v>
      </c>
      <c r="B18" s="47"/>
      <c r="D18" s="142" t="s">
        <v>392</v>
      </c>
      <c r="I18" s="1186"/>
      <c r="J18" s="1186"/>
      <c r="K18" s="58"/>
    </row>
    <row r="19" spans="1:11" s="43" customFormat="1">
      <c r="A19" s="44" t="s">
        <v>77</v>
      </c>
      <c r="B19" s="47"/>
      <c r="D19" s="142" t="s">
        <v>392</v>
      </c>
      <c r="I19" s="1186"/>
      <c r="J19" s="1187"/>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86"/>
      <c r="J35" s="1186"/>
    </row>
    <row r="36" spans="1:11" s="43" customFormat="1">
      <c r="A36" s="467" t="s">
        <v>537</v>
      </c>
      <c r="B36" s="47"/>
      <c r="D36" s="142" t="s">
        <v>392</v>
      </c>
      <c r="I36" s="1186"/>
      <c r="J36" s="1186"/>
    </row>
    <row r="37" spans="1:11" s="43" customFormat="1">
      <c r="A37" s="467" t="s">
        <v>78</v>
      </c>
      <c r="B37" s="47"/>
      <c r="D37" s="142" t="s">
        <v>392</v>
      </c>
      <c r="I37" s="1186"/>
      <c r="J37" s="1186"/>
    </row>
    <row r="38" spans="1:11" s="43" customFormat="1">
      <c r="A38" s="467" t="s">
        <v>538</v>
      </c>
      <c r="B38" s="47"/>
      <c r="D38" s="142" t="s">
        <v>392</v>
      </c>
      <c r="I38" s="1186"/>
      <c r="J38" s="1186"/>
      <c r="K38" s="58"/>
    </row>
    <row r="39" spans="1:11" s="43" customFormat="1">
      <c r="A39" s="467" t="s">
        <v>77</v>
      </c>
      <c r="B39" s="47"/>
      <c r="D39" s="142" t="s">
        <v>392</v>
      </c>
      <c r="I39" s="1186"/>
      <c r="J39" s="1187"/>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38016</v>
      </c>
      <c r="B1" s="332"/>
      <c r="C1" s="332"/>
      <c r="D1" s="332"/>
      <c r="E1" s="332"/>
      <c r="F1" s="333"/>
    </row>
    <row r="3" spans="1:6" ht="19.5">
      <c r="A3" s="335" t="s">
        <v>0</v>
      </c>
    </row>
    <row r="4" spans="1:6" ht="22.5">
      <c r="A4" s="1282" t="s">
        <v>863</v>
      </c>
    </row>
    <row r="5" spans="1:6" ht="22.5">
      <c r="A5" s="1282" t="s">
        <v>864</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5759</v>
      </c>
      <c r="C9" s="342">
        <v>6006</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1957</v>
      </c>
    </row>
    <row r="15" spans="1:6">
      <c r="A15" s="348" t="s">
        <v>184</v>
      </c>
      <c r="B15" s="334">
        <v>17</v>
      </c>
    </row>
    <row r="16" spans="1:6">
      <c r="A16" s="348" t="s">
        <v>6</v>
      </c>
      <c r="B16" s="334">
        <v>740</v>
      </c>
    </row>
    <row r="17" spans="1:6">
      <c r="A17" s="348" t="s">
        <v>7</v>
      </c>
      <c r="B17" s="334">
        <v>449</v>
      </c>
    </row>
    <row r="18" spans="1:6">
      <c r="A18" s="348" t="s">
        <v>8</v>
      </c>
      <c r="B18" s="334">
        <v>867</v>
      </c>
    </row>
    <row r="19" spans="1:6">
      <c r="A19" s="348" t="s">
        <v>9</v>
      </c>
      <c r="B19" s="334">
        <v>1284</v>
      </c>
    </row>
    <row r="20" spans="1:6">
      <c r="A20" s="348" t="s">
        <v>10</v>
      </c>
      <c r="B20" s="334">
        <v>446</v>
      </c>
    </row>
    <row r="21" spans="1:6">
      <c r="A21" s="348" t="s">
        <v>11</v>
      </c>
      <c r="B21" s="334">
        <v>3040</v>
      </c>
    </row>
    <row r="22" spans="1:6">
      <c r="A22" s="348" t="s">
        <v>12</v>
      </c>
      <c r="B22" s="334">
        <v>8399</v>
      </c>
    </row>
    <row r="23" spans="1:6">
      <c r="A23" s="348" t="s">
        <v>13</v>
      </c>
      <c r="B23" s="334">
        <v>93</v>
      </c>
    </row>
    <row r="24" spans="1:6">
      <c r="A24" s="348" t="s">
        <v>14</v>
      </c>
      <c r="B24" s="334">
        <v>7</v>
      </c>
    </row>
    <row r="25" spans="1:6">
      <c r="A25" s="348" t="s">
        <v>15</v>
      </c>
      <c r="B25" s="334">
        <v>757</v>
      </c>
    </row>
    <row r="26" spans="1:6">
      <c r="A26" s="348" t="s">
        <v>16</v>
      </c>
      <c r="B26" s="334">
        <v>1154</v>
      </c>
    </row>
    <row r="27" spans="1:6">
      <c r="A27" s="348" t="s">
        <v>17</v>
      </c>
      <c r="B27" s="334">
        <v>0</v>
      </c>
    </row>
    <row r="28" spans="1:6" s="356" customFormat="1">
      <c r="A28" s="355" t="s">
        <v>18</v>
      </c>
      <c r="B28" s="355">
        <v>56421</v>
      </c>
    </row>
    <row r="29" spans="1:6">
      <c r="A29" s="355" t="s">
        <v>865</v>
      </c>
      <c r="B29" s="355">
        <v>69</v>
      </c>
      <c r="C29" s="356"/>
      <c r="D29" s="356"/>
      <c r="E29" s="356"/>
      <c r="F29" s="356"/>
    </row>
    <row r="30" spans="1:6">
      <c r="A30" s="341" t="s">
        <v>866</v>
      </c>
      <c r="B30" s="341">
        <v>12</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3</v>
      </c>
      <c r="D36" s="334">
        <v>379467.34720834799</v>
      </c>
      <c r="E36" s="334">
        <v>5</v>
      </c>
      <c r="F36" s="334">
        <v>28290.34</v>
      </c>
    </row>
    <row r="37" spans="1:6">
      <c r="A37" s="348" t="s">
        <v>25</v>
      </c>
      <c r="B37" s="348" t="s">
        <v>28</v>
      </c>
      <c r="C37" s="334">
        <v>0</v>
      </c>
      <c r="D37" s="334">
        <v>0</v>
      </c>
      <c r="E37" s="334">
        <v>0</v>
      </c>
      <c r="F37" s="334">
        <v>0</v>
      </c>
    </row>
    <row r="38" spans="1:6">
      <c r="A38" s="348" t="s">
        <v>25</v>
      </c>
      <c r="B38" s="348" t="s">
        <v>29</v>
      </c>
      <c r="C38" s="334">
        <v>2</v>
      </c>
      <c r="D38" s="334">
        <v>60.869262933900004</v>
      </c>
      <c r="E38" s="334">
        <v>3</v>
      </c>
      <c r="F38" s="334">
        <v>22400.75</v>
      </c>
    </row>
    <row r="39" spans="1:6">
      <c r="A39" s="348" t="s">
        <v>30</v>
      </c>
      <c r="B39" s="348" t="s">
        <v>31</v>
      </c>
      <c r="C39" s="334">
        <v>4519</v>
      </c>
      <c r="D39" s="334">
        <v>48732676.334939197</v>
      </c>
      <c r="E39" s="334">
        <v>11984</v>
      </c>
      <c r="F39" s="334">
        <v>29126172</v>
      </c>
    </row>
    <row r="40" spans="1:6">
      <c r="A40" s="348" t="s">
        <v>30</v>
      </c>
      <c r="B40" s="348" t="s">
        <v>29</v>
      </c>
      <c r="C40" s="334">
        <v>0</v>
      </c>
      <c r="D40" s="334">
        <v>0</v>
      </c>
      <c r="E40" s="334">
        <v>0</v>
      </c>
      <c r="F40" s="334">
        <v>0</v>
      </c>
    </row>
    <row r="41" spans="1:6">
      <c r="A41" s="348" t="s">
        <v>32</v>
      </c>
      <c r="B41" s="348" t="s">
        <v>33</v>
      </c>
      <c r="C41" s="334">
        <v>98</v>
      </c>
      <c r="D41" s="334">
        <v>1091495.12210631</v>
      </c>
      <c r="E41" s="334">
        <v>254</v>
      </c>
      <c r="F41" s="334">
        <v>1990113</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16</v>
      </c>
      <c r="F44" s="334">
        <v>436892.5</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30</v>
      </c>
      <c r="D48" s="334">
        <v>1810180.56988626</v>
      </c>
      <c r="E48" s="334">
        <v>34</v>
      </c>
      <c r="F48" s="334">
        <v>456426.6</v>
      </c>
    </row>
    <row r="49" spans="1:6">
      <c r="A49" s="348" t="s">
        <v>32</v>
      </c>
      <c r="B49" s="348" t="s">
        <v>40</v>
      </c>
      <c r="C49" s="334">
        <v>0</v>
      </c>
      <c r="D49" s="334">
        <v>0</v>
      </c>
      <c r="E49" s="334">
        <v>3</v>
      </c>
      <c r="F49" s="334">
        <v>35957.550000000003</v>
      </c>
    </row>
    <row r="50" spans="1:6">
      <c r="A50" s="348" t="s">
        <v>32</v>
      </c>
      <c r="B50" s="348" t="s">
        <v>41</v>
      </c>
      <c r="C50" s="334">
        <v>15</v>
      </c>
      <c r="D50" s="334">
        <v>1106858.1498263599</v>
      </c>
      <c r="E50" s="334">
        <v>29</v>
      </c>
      <c r="F50" s="334">
        <v>2318261</v>
      </c>
    </row>
    <row r="51" spans="1:6">
      <c r="A51" s="348" t="s">
        <v>42</v>
      </c>
      <c r="B51" s="348" t="s">
        <v>43</v>
      </c>
      <c r="C51" s="334">
        <v>5</v>
      </c>
      <c r="D51" s="334">
        <v>68063.080247280304</v>
      </c>
      <c r="E51" s="334">
        <v>74</v>
      </c>
      <c r="F51" s="334">
        <v>1082673</v>
      </c>
    </row>
    <row r="52" spans="1:6">
      <c r="A52" s="348" t="s">
        <v>42</v>
      </c>
      <c r="B52" s="348" t="s">
        <v>29</v>
      </c>
      <c r="C52" s="334">
        <v>3</v>
      </c>
      <c r="D52" s="334">
        <v>147367.985640951</v>
      </c>
      <c r="E52" s="334">
        <v>4</v>
      </c>
      <c r="F52" s="334">
        <v>16079.1</v>
      </c>
    </row>
    <row r="53" spans="1:6">
      <c r="A53" s="348" t="s">
        <v>44</v>
      </c>
      <c r="B53" s="348" t="s">
        <v>45</v>
      </c>
      <c r="C53" s="334">
        <v>477</v>
      </c>
      <c r="D53" s="334">
        <v>6486938.6808993202</v>
      </c>
      <c r="E53" s="334">
        <v>2004</v>
      </c>
      <c r="F53" s="334">
        <v>8316305</v>
      </c>
    </row>
    <row r="54" spans="1:6">
      <c r="A54" s="348" t="s">
        <v>46</v>
      </c>
      <c r="B54" s="348" t="s">
        <v>47</v>
      </c>
      <c r="C54" s="334">
        <v>0</v>
      </c>
      <c r="D54" s="334">
        <v>0</v>
      </c>
      <c r="E54" s="334">
        <v>1</v>
      </c>
      <c r="F54" s="334">
        <v>1087657</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41</v>
      </c>
      <c r="D57" s="334">
        <v>3243899.6705074399</v>
      </c>
      <c r="E57" s="334">
        <v>83</v>
      </c>
      <c r="F57" s="334">
        <v>1897151</v>
      </c>
    </row>
    <row r="58" spans="1:6">
      <c r="A58" s="348" t="s">
        <v>49</v>
      </c>
      <c r="B58" s="348" t="s">
        <v>51</v>
      </c>
      <c r="C58" s="334">
        <v>17</v>
      </c>
      <c r="D58" s="334">
        <v>432068.27672173898</v>
      </c>
      <c r="E58" s="334">
        <v>51</v>
      </c>
      <c r="F58" s="334">
        <v>181854.1</v>
      </c>
    </row>
    <row r="59" spans="1:6">
      <c r="A59" s="348" t="s">
        <v>49</v>
      </c>
      <c r="B59" s="348" t="s">
        <v>52</v>
      </c>
      <c r="C59" s="334">
        <v>171</v>
      </c>
      <c r="D59" s="334">
        <v>5187714.2745124297</v>
      </c>
      <c r="E59" s="334">
        <v>431</v>
      </c>
      <c r="F59" s="334">
        <v>8438033</v>
      </c>
    </row>
    <row r="60" spans="1:6">
      <c r="A60" s="348" t="s">
        <v>49</v>
      </c>
      <c r="B60" s="348" t="s">
        <v>53</v>
      </c>
      <c r="C60" s="334">
        <v>145</v>
      </c>
      <c r="D60" s="334">
        <v>10880281.022779999</v>
      </c>
      <c r="E60" s="334">
        <v>211</v>
      </c>
      <c r="F60" s="334">
        <v>7760615</v>
      </c>
    </row>
    <row r="61" spans="1:6">
      <c r="A61" s="348" t="s">
        <v>49</v>
      </c>
      <c r="B61" s="348" t="s">
        <v>54</v>
      </c>
      <c r="C61" s="334">
        <v>230</v>
      </c>
      <c r="D61" s="334">
        <v>10366762.5093705</v>
      </c>
      <c r="E61" s="334">
        <v>1354</v>
      </c>
      <c r="F61" s="334">
        <v>12674104</v>
      </c>
    </row>
    <row r="62" spans="1:6">
      <c r="A62" s="348" t="s">
        <v>49</v>
      </c>
      <c r="B62" s="348" t="s">
        <v>55</v>
      </c>
      <c r="C62" s="334">
        <v>4</v>
      </c>
      <c r="D62" s="334">
        <v>244385.450876533</v>
      </c>
      <c r="E62" s="334">
        <v>11</v>
      </c>
      <c r="F62" s="334">
        <v>249695.6</v>
      </c>
    </row>
    <row r="63" spans="1:6">
      <c r="A63" s="348" t="s">
        <v>49</v>
      </c>
      <c r="B63" s="348" t="s">
        <v>29</v>
      </c>
      <c r="C63" s="334">
        <v>93</v>
      </c>
      <c r="D63" s="334">
        <v>10887116.430885799</v>
      </c>
      <c r="E63" s="334">
        <v>98</v>
      </c>
      <c r="F63" s="334">
        <v>5208883</v>
      </c>
    </row>
    <row r="64" spans="1:6">
      <c r="A64" s="348" t="s">
        <v>56</v>
      </c>
      <c r="B64" s="348" t="s">
        <v>57</v>
      </c>
      <c r="C64" s="334">
        <v>0</v>
      </c>
      <c r="D64" s="334">
        <v>0</v>
      </c>
      <c r="E64" s="334">
        <v>0</v>
      </c>
      <c r="F64" s="334">
        <v>0</v>
      </c>
    </row>
    <row r="65" spans="1:6">
      <c r="A65" s="348" t="s">
        <v>56</v>
      </c>
      <c r="B65" s="348" t="s">
        <v>29</v>
      </c>
      <c r="C65" s="334">
        <v>4</v>
      </c>
      <c r="D65" s="334">
        <v>53597.276393599801</v>
      </c>
      <c r="E65" s="334">
        <v>2</v>
      </c>
      <c r="F65" s="334">
        <v>5203.1090000000004</v>
      </c>
    </row>
    <row r="66" spans="1:6">
      <c r="A66" s="348" t="s">
        <v>56</v>
      </c>
      <c r="B66" s="348" t="s">
        <v>58</v>
      </c>
      <c r="C66" s="334">
        <v>0</v>
      </c>
      <c r="D66" s="334">
        <v>0</v>
      </c>
      <c r="E66" s="334">
        <v>22</v>
      </c>
      <c r="F66" s="334">
        <v>708813</v>
      </c>
    </row>
    <row r="67" spans="1:6">
      <c r="A67" s="355" t="s">
        <v>56</v>
      </c>
      <c r="B67" s="355" t="s">
        <v>59</v>
      </c>
      <c r="C67" s="334">
        <v>0</v>
      </c>
      <c r="D67" s="334">
        <v>0</v>
      </c>
      <c r="E67" s="334">
        <v>0</v>
      </c>
      <c r="F67" s="334">
        <v>0</v>
      </c>
    </row>
    <row r="68" spans="1:6">
      <c r="A68" s="341" t="s">
        <v>56</v>
      </c>
      <c r="B68" s="341" t="s">
        <v>60</v>
      </c>
      <c r="C68" s="334">
        <v>0</v>
      </c>
      <c r="D68" s="334">
        <v>0</v>
      </c>
      <c r="E68" s="334">
        <v>15</v>
      </c>
      <c r="F68" s="334">
        <v>2115352</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83" t="s">
        <v>731</v>
      </c>
      <c r="D72" s="361">
        <v>2014</v>
      </c>
      <c r="E72" s="361">
        <v>2020</v>
      </c>
      <c r="F72" s="347"/>
    </row>
    <row r="73" spans="1:6">
      <c r="A73" s="348" t="s">
        <v>64</v>
      </c>
      <c r="B73" s="348" t="s">
        <v>713</v>
      </c>
      <c r="C73" s="1288" t="s">
        <v>715</v>
      </c>
      <c r="D73" s="477">
        <v>33441727</v>
      </c>
      <c r="E73" s="477">
        <v>52841725.716376945</v>
      </c>
    </row>
    <row r="74" spans="1:6">
      <c r="A74" s="348" t="s">
        <v>64</v>
      </c>
      <c r="B74" s="348" t="s">
        <v>714</v>
      </c>
      <c r="C74" s="1288" t="s">
        <v>716</v>
      </c>
      <c r="D74" s="477">
        <v>3676611.2375574904</v>
      </c>
      <c r="E74" s="477">
        <v>5554643.079680942</v>
      </c>
    </row>
    <row r="75" spans="1:6">
      <c r="A75" s="348" t="s">
        <v>65</v>
      </c>
      <c r="B75" s="348" t="s">
        <v>713</v>
      </c>
      <c r="C75" s="1288" t="s">
        <v>717</v>
      </c>
      <c r="D75" s="477">
        <v>3175804</v>
      </c>
      <c r="E75" s="477">
        <v>5192836.465523296</v>
      </c>
    </row>
    <row r="76" spans="1:6">
      <c r="A76" s="348" t="s">
        <v>65</v>
      </c>
      <c r="B76" s="348" t="s">
        <v>714</v>
      </c>
      <c r="C76" s="1288" t="s">
        <v>718</v>
      </c>
      <c r="D76" s="477">
        <v>61844.23755749056</v>
      </c>
      <c r="E76" s="477">
        <v>139234.25054956574</v>
      </c>
    </row>
    <row r="77" spans="1:6">
      <c r="A77" s="348" t="s">
        <v>66</v>
      </c>
      <c r="B77" s="348" t="s">
        <v>713</v>
      </c>
      <c r="C77" s="1288" t="s">
        <v>719</v>
      </c>
      <c r="D77" s="477">
        <v>54084161</v>
      </c>
      <c r="E77" s="477">
        <v>52106236.985623851</v>
      </c>
    </row>
    <row r="78" spans="1:6">
      <c r="A78" s="341" t="s">
        <v>66</v>
      </c>
      <c r="B78" s="341" t="s">
        <v>714</v>
      </c>
      <c r="C78" s="341" t="s">
        <v>720</v>
      </c>
      <c r="D78" s="1284">
        <v>15715440</v>
      </c>
      <c r="E78" s="1284">
        <v>16627612.533785988</v>
      </c>
      <c r="F78" s="342"/>
    </row>
    <row r="79" spans="1:6">
      <c r="A79" s="362"/>
      <c r="B79" s="362"/>
    </row>
    <row r="80" spans="1:6" ht="15.75" thickBot="1">
      <c r="A80" s="362"/>
      <c r="B80" s="362"/>
    </row>
    <row r="81" spans="1:6" ht="20.25" thickBot="1">
      <c r="A81" s="336" t="s">
        <v>334</v>
      </c>
      <c r="B81" s="363" t="s">
        <v>394</v>
      </c>
      <c r="C81" s="337" t="s">
        <v>867</v>
      </c>
      <c r="D81" s="337"/>
      <c r="E81" s="337"/>
      <c r="F81" s="344"/>
    </row>
    <row r="82" spans="1:6" ht="16.5" thickTop="1" thickBot="1">
      <c r="A82" s="345" t="s">
        <v>335</v>
      </c>
      <c r="B82" s="361">
        <v>2014</v>
      </c>
      <c r="C82" s="361">
        <v>2020</v>
      </c>
      <c r="D82" s="346"/>
      <c r="E82" s="346"/>
      <c r="F82" s="347"/>
    </row>
    <row r="83" spans="1:6">
      <c r="A83" s="348" t="s">
        <v>336</v>
      </c>
      <c r="B83" s="477">
        <v>183235.52488501888</v>
      </c>
      <c r="C83" s="477">
        <v>184799.7104478117</v>
      </c>
    </row>
    <row r="84" spans="1:6">
      <c r="A84" s="341" t="s">
        <v>337</v>
      </c>
      <c r="B84" s="1284">
        <v>231647.39235396497</v>
      </c>
      <c r="C84" s="1284">
        <v>233781.62309825228</v>
      </c>
      <c r="D84" s="342"/>
      <c r="E84" s="342"/>
      <c r="F84" s="342"/>
    </row>
    <row r="85" spans="1:6">
      <c r="A85" s="362"/>
      <c r="B85" s="364"/>
    </row>
    <row r="86" spans="1:6" ht="15.75" thickBot="1">
      <c r="A86" s="343"/>
    </row>
    <row r="87" spans="1:6" ht="20.25" thickBot="1">
      <c r="A87" s="336" t="s">
        <v>67</v>
      </c>
      <c r="B87" s="337" t="s">
        <v>394</v>
      </c>
      <c r="C87" s="337" t="s">
        <v>868</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85">
        <v>0</v>
      </c>
    </row>
    <row r="91" spans="1:6">
      <c r="A91" s="348" t="s">
        <v>68</v>
      </c>
      <c r="B91" s="334">
        <v>1097.2244045040495</v>
      </c>
    </row>
    <row r="92" spans="1:6">
      <c r="A92" s="341" t="s">
        <v>69</v>
      </c>
      <c r="B92" s="342">
        <v>410.17267704344147</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2669</v>
      </c>
    </row>
    <row r="98" spans="1:6">
      <c r="A98" s="348" t="s">
        <v>72</v>
      </c>
      <c r="B98" s="334">
        <v>1</v>
      </c>
    </row>
    <row r="99" spans="1:6">
      <c r="A99" s="348" t="s">
        <v>73</v>
      </c>
      <c r="B99" s="334">
        <v>41</v>
      </c>
    </row>
    <row r="100" spans="1:6">
      <c r="A100" s="348" t="s">
        <v>74</v>
      </c>
      <c r="B100" s="334">
        <v>983</v>
      </c>
    </row>
    <row r="101" spans="1:6">
      <c r="A101" s="348" t="s">
        <v>75</v>
      </c>
      <c r="B101" s="334">
        <v>41</v>
      </c>
    </row>
    <row r="102" spans="1:6">
      <c r="A102" s="348" t="s">
        <v>76</v>
      </c>
      <c r="B102" s="334">
        <v>133</v>
      </c>
    </row>
    <row r="103" spans="1:6">
      <c r="A103" s="348" t="s">
        <v>77</v>
      </c>
      <c r="B103" s="334">
        <v>51</v>
      </c>
    </row>
    <row r="104" spans="1:6">
      <c r="A104" s="348" t="s">
        <v>78</v>
      </c>
      <c r="B104" s="334">
        <v>586</v>
      </c>
    </row>
    <row r="105" spans="1:6">
      <c r="A105" s="341" t="s">
        <v>79</v>
      </c>
      <c r="B105" s="341">
        <v>1</v>
      </c>
      <c r="C105" s="342"/>
      <c r="D105" s="342"/>
      <c r="E105" s="342"/>
      <c r="F105" s="342"/>
    </row>
    <row r="106" spans="1:6">
      <c r="A106" s="343"/>
    </row>
    <row r="107" spans="1:6" ht="15.75" thickBot="1">
      <c r="A107" s="343"/>
    </row>
    <row r="108" spans="1:6" ht="20.25" thickBot="1">
      <c r="A108" s="336" t="s">
        <v>661</v>
      </c>
      <c r="B108" s="337" t="s">
        <v>394</v>
      </c>
      <c r="C108" s="337" t="s">
        <v>869</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286" t="s">
        <v>663</v>
      </c>
      <c r="B111" s="1287">
        <v>0</v>
      </c>
      <c r="C111" s="1287"/>
      <c r="D111" s="1287"/>
      <c r="E111" s="1287"/>
      <c r="F111" s="1287"/>
    </row>
    <row r="112" spans="1:6">
      <c r="A112" s="348"/>
    </row>
    <row r="113" spans="1:6" ht="15.75" thickBot="1">
      <c r="A113" s="341"/>
      <c r="B113" s="342"/>
      <c r="C113" s="342"/>
      <c r="D113" s="342"/>
      <c r="E113" s="342"/>
      <c r="F113" s="342"/>
    </row>
    <row r="114" spans="1:6" ht="20.25" thickBot="1">
      <c r="A114" s="336" t="s">
        <v>80</v>
      </c>
      <c r="B114" s="337" t="s">
        <v>394</v>
      </c>
      <c r="C114" s="337" t="s">
        <v>870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v>
      </c>
      <c r="C123" s="334">
        <v>5</v>
      </c>
    </row>
    <row r="124" spans="1:6">
      <c r="A124" s="341" t="s">
        <v>89</v>
      </c>
      <c r="B124" s="334">
        <v>0</v>
      </c>
      <c r="C124" s="334">
        <v>1</v>
      </c>
      <c r="D124" s="342"/>
      <c r="E124" s="342"/>
      <c r="F124" s="342"/>
    </row>
    <row r="125" spans="1:6">
      <c r="A125" s="362"/>
    </row>
    <row r="126" spans="1:6" ht="15.75" thickBot="1">
      <c r="A126" s="362"/>
    </row>
    <row r="127" spans="1:6" ht="20.25" thickBot="1">
      <c r="A127" s="336" t="s">
        <v>293</v>
      </c>
      <c r="B127" s="337" t="s">
        <v>394</v>
      </c>
      <c r="C127" s="337" t="s">
        <v>869</v>
      </c>
      <c r="D127" s="337"/>
      <c r="E127" s="337"/>
      <c r="F127" s="344"/>
    </row>
    <row r="128" spans="1:6" ht="16.5" thickTop="1" thickBot="1">
      <c r="A128" s="345" t="s">
        <v>4</v>
      </c>
      <c r="B128" s="346" t="s">
        <v>5</v>
      </c>
      <c r="C128" s="346"/>
      <c r="D128" s="346"/>
      <c r="E128" s="346"/>
      <c r="F128" s="347"/>
    </row>
    <row r="129" spans="1:6">
      <c r="A129" s="348" t="s">
        <v>294</v>
      </c>
      <c r="B129" s="334">
        <v>49</v>
      </c>
    </row>
    <row r="130" spans="1:6">
      <c r="A130" s="348" t="s">
        <v>295</v>
      </c>
      <c r="B130" s="334">
        <v>5</v>
      </c>
    </row>
    <row r="131" spans="1:6">
      <c r="A131" s="348" t="s">
        <v>296</v>
      </c>
      <c r="B131" s="334">
        <v>1</v>
      </c>
    </row>
    <row r="132" spans="1:6">
      <c r="A132" s="341" t="s">
        <v>297</v>
      </c>
      <c r="B132" s="342">
        <v>2</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74886.779898809677</v>
      </c>
      <c r="C3" s="43" t="s">
        <v>170</v>
      </c>
      <c r="D3" s="43"/>
      <c r="E3" s="154"/>
      <c r="F3" s="43"/>
      <c r="G3" s="43"/>
      <c r="H3" s="43"/>
      <c r="I3" s="43"/>
      <c r="J3" s="43"/>
      <c r="K3" s="96"/>
    </row>
    <row r="4" spans="1:11">
      <c r="A4" s="384" t="s">
        <v>171</v>
      </c>
      <c r="B4" s="49">
        <f>IF(ISERROR('SEAP template'!B69),0,'SEAP template'!B69)</f>
        <v>1507.3970815474909</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798</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0.21655148778633368</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0</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0</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8">
        <v>2014</v>
      </c>
      <c r="B1" s="1189"/>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0"/>
      <c r="B2" s="1191"/>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0"/>
      <c r="B3" s="1191"/>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2"/>
      <c r="B4" s="1193"/>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4" t="s">
        <v>477</v>
      </c>
      <c r="B2" s="1195"/>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96" t="s">
        <v>194</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1087.6569999999999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1087.6569999999999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0.21655148778633368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235.53374155122032</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96" t="s">
        <v>155</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29126.171999999999</v>
      </c>
      <c r="C5" s="17">
        <f>IF(ISERROR('Eigen informatie GS &amp; warmtenet'!B57),0,'Eigen informatie GS &amp; warmtenet'!B57)</f>
        <v>0</v>
      </c>
      <c r="D5" s="30">
        <f>(SUM(HH_hh_gas_kWh,HH_rest_gas_kWh)/1000)*0.902</f>
        <v>43956.874054115156</v>
      </c>
      <c r="E5" s="17">
        <f>B46*B57</f>
        <v>710.53781044452728</v>
      </c>
      <c r="F5" s="17">
        <f>B51*B62</f>
        <v>0</v>
      </c>
      <c r="G5" s="18"/>
      <c r="H5" s="17"/>
      <c r="I5" s="17"/>
      <c r="J5" s="17">
        <f>B50*B61+C50*C61</f>
        <v>0</v>
      </c>
      <c r="K5" s="17"/>
      <c r="L5" s="17"/>
      <c r="M5" s="17"/>
      <c r="N5" s="17">
        <f>B48*B59+C48*C59</f>
        <v>2694.544621773251</v>
      </c>
      <c r="O5" s="17">
        <f>B69*B70*B71</f>
        <v>85.983333333333334</v>
      </c>
      <c r="P5" s="17">
        <f>B77*B78*B79/1000-B77*B78*B79/1000/B80</f>
        <v>57.2</v>
      </c>
    </row>
    <row r="6" spans="1:16">
      <c r="A6" s="16" t="s">
        <v>631</v>
      </c>
      <c r="B6" s="844">
        <f>kWh_PV_kleiner_dan_10kW</f>
        <v>1097.2244045040495</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30223.396404504048</v>
      </c>
      <c r="C8" s="21">
        <f>C5</f>
        <v>0</v>
      </c>
      <c r="D8" s="21">
        <f>D5</f>
        <v>43956.874054115156</v>
      </c>
      <c r="E8" s="21">
        <f>E5</f>
        <v>710.53781044452728</v>
      </c>
      <c r="F8" s="21">
        <f>F5</f>
        <v>0</v>
      </c>
      <c r="G8" s="21"/>
      <c r="H8" s="21"/>
      <c r="I8" s="21"/>
      <c r="J8" s="21">
        <f>J5</f>
        <v>0</v>
      </c>
      <c r="K8" s="21"/>
      <c r="L8" s="21">
        <f>L5</f>
        <v>0</v>
      </c>
      <c r="M8" s="21">
        <f>M5</f>
        <v>0</v>
      </c>
      <c r="N8" s="21">
        <f>N5</f>
        <v>2694.544621773251</v>
      </c>
      <c r="O8" s="21">
        <f>O5</f>
        <v>85.983333333333334</v>
      </c>
      <c r="P8" s="21">
        <f>P5</f>
        <v>57.2</v>
      </c>
    </row>
    <row r="9" spans="1:16">
      <c r="B9" s="19"/>
      <c r="C9" s="19"/>
      <c r="D9" s="258"/>
      <c r="E9" s="19"/>
      <c r="F9" s="19"/>
      <c r="G9" s="19"/>
      <c r="H9" s="19"/>
      <c r="I9" s="19"/>
      <c r="J9" s="19"/>
      <c r="K9" s="19"/>
      <c r="L9" s="19"/>
      <c r="M9" s="19"/>
      <c r="N9" s="19"/>
      <c r="O9" s="19"/>
      <c r="P9" s="19"/>
    </row>
    <row r="10" spans="1:16">
      <c r="A10" s="24" t="s">
        <v>214</v>
      </c>
      <c r="B10" s="25">
        <f ca="1">'EF ele_warmte'!B12</f>
        <v>0.21655148778633368</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6544.9214573514801</v>
      </c>
      <c r="C12" s="23">
        <f ca="1">C10*C8</f>
        <v>0</v>
      </c>
      <c r="D12" s="23">
        <f>D8*D10</f>
        <v>8879.2885589312627</v>
      </c>
      <c r="E12" s="23">
        <f>E10*E8</f>
        <v>161.2920829709077</v>
      </c>
      <c r="F12" s="23">
        <f>F10*F8</f>
        <v>0</v>
      </c>
      <c r="G12" s="23"/>
      <c r="H12" s="23"/>
      <c r="I12" s="23"/>
      <c r="J12" s="23">
        <f>J10*J8</f>
        <v>0</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2669</v>
      </c>
      <c r="C18" s="166" t="s">
        <v>111</v>
      </c>
      <c r="D18" s="228"/>
      <c r="E18" s="15"/>
    </row>
    <row r="19" spans="1:7">
      <c r="A19" s="171" t="s">
        <v>72</v>
      </c>
      <c r="B19" s="37">
        <f>aantalw2001_ander</f>
        <v>1</v>
      </c>
      <c r="C19" s="166" t="s">
        <v>111</v>
      </c>
      <c r="D19" s="229"/>
      <c r="E19" s="15"/>
    </row>
    <row r="20" spans="1:7">
      <c r="A20" s="171" t="s">
        <v>73</v>
      </c>
      <c r="B20" s="37">
        <f>aantalw2001_propaan</f>
        <v>41</v>
      </c>
      <c r="C20" s="167">
        <f>IF(ISERROR(B20/SUM($B$20,$B$21,$B$22)*100),0,B20/SUM($B$20,$B$21,$B$22)*100)</f>
        <v>3.8497652582159625</v>
      </c>
      <c r="D20" s="229"/>
      <c r="E20" s="15"/>
    </row>
    <row r="21" spans="1:7">
      <c r="A21" s="171" t="s">
        <v>74</v>
      </c>
      <c r="B21" s="37">
        <f>aantalw2001_elektriciteit</f>
        <v>983</v>
      </c>
      <c r="C21" s="167">
        <f>IF(ISERROR(B21/SUM($B$20,$B$21,$B$22)*100),0,B21/SUM($B$20,$B$21,$B$22)*100)</f>
        <v>92.300469483568065</v>
      </c>
      <c r="D21" s="229"/>
      <c r="E21" s="15"/>
    </row>
    <row r="22" spans="1:7">
      <c r="A22" s="171" t="s">
        <v>75</v>
      </c>
      <c r="B22" s="37">
        <f>aantalw2001_hout</f>
        <v>41</v>
      </c>
      <c r="C22" s="167">
        <f>IF(ISERROR(B22/SUM($B$20,$B$21,$B$22)*100),0,B22/SUM($B$20,$B$21,$B$22)*100)</f>
        <v>3.8497652582159625</v>
      </c>
      <c r="D22" s="229"/>
      <c r="E22" s="15"/>
    </row>
    <row r="23" spans="1:7">
      <c r="A23" s="171" t="s">
        <v>76</v>
      </c>
      <c r="B23" s="37">
        <f>aantalw2001_niet_gespec</f>
        <v>133</v>
      </c>
      <c r="C23" s="166" t="s">
        <v>111</v>
      </c>
      <c r="D23" s="228"/>
      <c r="E23" s="15"/>
    </row>
    <row r="24" spans="1:7">
      <c r="A24" s="171" t="s">
        <v>77</v>
      </c>
      <c r="B24" s="37">
        <f>aantalw2001_steenkool</f>
        <v>51</v>
      </c>
      <c r="C24" s="166" t="s">
        <v>111</v>
      </c>
      <c r="D24" s="229"/>
      <c r="E24" s="15"/>
    </row>
    <row r="25" spans="1:7">
      <c r="A25" s="171" t="s">
        <v>78</v>
      </c>
      <c r="B25" s="37">
        <f>aantalw2001_stookolie</f>
        <v>586</v>
      </c>
      <c r="C25" s="166" t="s">
        <v>111</v>
      </c>
      <c r="D25" s="228"/>
      <c r="E25" s="52"/>
    </row>
    <row r="26" spans="1:7">
      <c r="A26" s="171" t="s">
        <v>79</v>
      </c>
      <c r="B26" s="37">
        <f>aantalw2001_WP</f>
        <v>1</v>
      </c>
      <c r="C26" s="166" t="s">
        <v>111</v>
      </c>
      <c r="D26" s="228"/>
      <c r="E26" s="15"/>
    </row>
    <row r="27" spans="1:7" s="15" customFormat="1">
      <c r="A27" s="171"/>
      <c r="B27" s="29"/>
      <c r="C27" s="36"/>
      <c r="D27" s="228"/>
    </row>
    <row r="28" spans="1:7" s="15" customFormat="1">
      <c r="A28" s="230" t="s">
        <v>740</v>
      </c>
      <c r="B28" s="37">
        <f>aantalHuishoudens2011</f>
        <v>5759</v>
      </c>
      <c r="C28" s="36"/>
      <c r="D28" s="228"/>
    </row>
    <row r="29" spans="1:7" s="15" customFormat="1">
      <c r="A29" s="230" t="s">
        <v>741</v>
      </c>
      <c r="B29" s="37">
        <f>SUM(HH_hh_gas_aantal,HH_rest_gas_aantal)</f>
        <v>4519</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4519</v>
      </c>
      <c r="C32" s="167">
        <f>IF(ISERROR(B32/SUM($B$32,$B$34,$B$35,$B$36,$B$38,$B$39)*100),0,B32/SUM($B$32,$B$34,$B$35,$B$36,$B$38,$B$39)*100)</f>
        <v>78.509381514940941</v>
      </c>
      <c r="D32" s="233"/>
      <c r="G32" s="15"/>
    </row>
    <row r="33" spans="1:7">
      <c r="A33" s="171" t="s">
        <v>72</v>
      </c>
      <c r="B33" s="34" t="s">
        <v>111</v>
      </c>
      <c r="C33" s="167"/>
      <c r="D33" s="233"/>
      <c r="G33" s="15"/>
    </row>
    <row r="34" spans="1:7">
      <c r="A34" s="171" t="s">
        <v>73</v>
      </c>
      <c r="B34" s="33">
        <f>IF((($B$28-$B$32-$B$39-$B$77-$B$38)*C20/100)&lt;0,0,($B$28-$B$32-$B$39-$B$77-$B$38)*C20/100)</f>
        <v>47.62159624413146</v>
      </c>
      <c r="C34" s="167">
        <f>IF(ISERROR(B34/SUM($B$32,$B$34,$B$35,$B$36,$B$38,$B$39)*100),0,B34/SUM($B$32,$B$34,$B$35,$B$36,$B$38,$B$39)*100)</f>
        <v>0.82733836421354179</v>
      </c>
      <c r="D34" s="233"/>
      <c r="G34" s="15"/>
    </row>
    <row r="35" spans="1:7">
      <c r="A35" s="171" t="s">
        <v>74</v>
      </c>
      <c r="B35" s="33">
        <f>IF((($B$28-$B$32-$B$39-$B$77-$B$38)*C21/100)&lt;0,0,($B$28-$B$32-$B$39-$B$77-$B$38)*C21/100)</f>
        <v>1141.756807511737</v>
      </c>
      <c r="C35" s="167">
        <f>IF(ISERROR(B35/SUM($B$32,$B$34,$B$35,$B$36,$B$38,$B$39)*100),0,B35/SUM($B$32,$B$34,$B$35,$B$36,$B$38,$B$39)*100)</f>
        <v>19.835941756631986</v>
      </c>
      <c r="D35" s="233"/>
      <c r="G35" s="15"/>
    </row>
    <row r="36" spans="1:7">
      <c r="A36" s="171" t="s">
        <v>75</v>
      </c>
      <c r="B36" s="33">
        <f>IF((($B$28-$B$32-$B$39-$B$77-$B$38)*C22/100)&lt;0,0,($B$28-$B$32-$B$39-$B$77-$B$38)*C22/100)</f>
        <v>47.62159624413146</v>
      </c>
      <c r="C36" s="167">
        <f>IF(ISERROR(B36/SUM($B$32,$B$34,$B$35,$B$36,$B$38,$B$39)*100),0,B36/SUM($B$32,$B$34,$B$35,$B$36,$B$38,$B$39)*100)</f>
        <v>0.82733836421354179</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4519</v>
      </c>
      <c r="C44" s="34" t="s">
        <v>111</v>
      </c>
      <c r="D44" s="174"/>
    </row>
    <row r="45" spans="1:7">
      <c r="A45" s="171" t="s">
        <v>72</v>
      </c>
      <c r="B45" s="33" t="str">
        <f t="shared" si="0"/>
        <v>-</v>
      </c>
      <c r="C45" s="34" t="s">
        <v>111</v>
      </c>
      <c r="D45" s="174"/>
    </row>
    <row r="46" spans="1:7">
      <c r="A46" s="171" t="s">
        <v>73</v>
      </c>
      <c r="B46" s="33">
        <f t="shared" si="0"/>
        <v>47.62159624413146</v>
      </c>
      <c r="C46" s="34" t="s">
        <v>111</v>
      </c>
      <c r="D46" s="174"/>
    </row>
    <row r="47" spans="1:7">
      <c r="A47" s="171" t="s">
        <v>74</v>
      </c>
      <c r="B47" s="33">
        <f t="shared" si="0"/>
        <v>1141.756807511737</v>
      </c>
      <c r="C47" s="34" t="s">
        <v>111</v>
      </c>
      <c r="D47" s="174"/>
    </row>
    <row r="48" spans="1:7">
      <c r="A48" s="171" t="s">
        <v>75</v>
      </c>
      <c r="B48" s="33">
        <f t="shared" si="0"/>
        <v>47.62159624413146</v>
      </c>
      <c r="C48" s="33">
        <f>B48*10</f>
        <v>476.21596244131462</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55</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3</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156</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36410.335699999996</v>
      </c>
      <c r="C5" s="17">
        <f>IF(ISERROR('Eigen informatie GS &amp; warmtenet'!B58),0,'Eigen informatie GS &amp; warmtenet'!B58)</f>
        <v>0</v>
      </c>
      <c r="D5" s="30">
        <f>SUM(D6:D12)</f>
        <v>37200.489327360308</v>
      </c>
      <c r="E5" s="17">
        <f>SUM(E6:E12)</f>
        <v>507.03247595593729</v>
      </c>
      <c r="F5" s="17">
        <f>SUM(F6:F12)</f>
        <v>5473.3774421249382</v>
      </c>
      <c r="G5" s="18"/>
      <c r="H5" s="17"/>
      <c r="I5" s="17"/>
      <c r="J5" s="17">
        <f>SUM(J6:J12)</f>
        <v>0</v>
      </c>
      <c r="K5" s="17"/>
      <c r="L5" s="17"/>
      <c r="M5" s="17"/>
      <c r="N5" s="17">
        <f>SUM(N6:N12)</f>
        <v>1979.6371603877537</v>
      </c>
      <c r="O5" s="17">
        <f>B38*B39*B40</f>
        <v>7.8166666666666664</v>
      </c>
      <c r="P5" s="17">
        <f>B46*B47*B48/1000-B46*B47*B48/1000/B49</f>
        <v>19.066666666666666</v>
      </c>
      <c r="R5" s="32"/>
    </row>
    <row r="6" spans="1:18">
      <c r="A6" s="32" t="s">
        <v>54</v>
      </c>
      <c r="B6" s="37">
        <f>B26</f>
        <v>12674.103999999999</v>
      </c>
      <c r="C6" s="33"/>
      <c r="D6" s="37">
        <f>IF(ISERROR(TER_kantoor_gas_kWh/1000),0,TER_kantoor_gas_kWh/1000)*0.902</f>
        <v>9350.8197834521925</v>
      </c>
      <c r="E6" s="33">
        <f>$C$26*'E Balans VL '!I12/100/3.6*1000000</f>
        <v>36.718738842727902</v>
      </c>
      <c r="F6" s="33">
        <f>$C$26*('E Balans VL '!L12+'E Balans VL '!N12)/100/3.6*1000000</f>
        <v>1434.4293406393558</v>
      </c>
      <c r="G6" s="34"/>
      <c r="H6" s="33"/>
      <c r="I6" s="33"/>
      <c r="J6" s="33">
        <f>$C$26*('E Balans VL '!D12+'E Balans VL '!E12)/100/3.6*1000000</f>
        <v>0</v>
      </c>
      <c r="K6" s="33"/>
      <c r="L6" s="33"/>
      <c r="M6" s="33"/>
      <c r="N6" s="33">
        <f>$C$26*'E Balans VL '!Y12/100/3.6*1000000</f>
        <v>126.85844234321149</v>
      </c>
      <c r="O6" s="33"/>
      <c r="P6" s="33"/>
      <c r="R6" s="32"/>
    </row>
    <row r="7" spans="1:18">
      <c r="A7" s="32" t="s">
        <v>53</v>
      </c>
      <c r="B7" s="37">
        <f t="shared" ref="B7:B12" si="0">B27</f>
        <v>7760.6149999999998</v>
      </c>
      <c r="C7" s="33"/>
      <c r="D7" s="37">
        <f>IF(ISERROR(TER_horeca_gas_kWh/1000),0,TER_horeca_gas_kWh/1000)*0.902</f>
        <v>9814.0134825475598</v>
      </c>
      <c r="E7" s="33">
        <f>$C$27*'E Balans VL '!I9/100/3.6*1000000</f>
        <v>325.76893497022382</v>
      </c>
      <c r="F7" s="33">
        <f>$C$27*('E Balans VL '!L9+'E Balans VL '!N9)/100/3.6*1000000</f>
        <v>1667.5272791494519</v>
      </c>
      <c r="G7" s="34"/>
      <c r="H7" s="33"/>
      <c r="I7" s="33"/>
      <c r="J7" s="33">
        <f>$C$27*('E Balans VL '!D9+'E Balans VL '!E9)/100/3.6*1000000</f>
        <v>0</v>
      </c>
      <c r="K7" s="33"/>
      <c r="L7" s="33"/>
      <c r="M7" s="33"/>
      <c r="N7" s="33">
        <f>$C$27*'E Balans VL '!Y9/100/3.6*1000000</f>
        <v>1.9998426164597185</v>
      </c>
      <c r="O7" s="33"/>
      <c r="P7" s="33"/>
      <c r="R7" s="32"/>
    </row>
    <row r="8" spans="1:18">
      <c r="A8" s="6" t="s">
        <v>52</v>
      </c>
      <c r="B8" s="37">
        <f t="shared" si="0"/>
        <v>8438.0329999999994</v>
      </c>
      <c r="C8" s="33"/>
      <c r="D8" s="37">
        <f>IF(ISERROR(TER_handel_gas_kWh/1000),0,TER_handel_gas_kWh/1000)*0.902</f>
        <v>4679.3182756102124</v>
      </c>
      <c r="E8" s="33">
        <f>$C$28*'E Balans VL '!I13/100/3.6*1000000</f>
        <v>90.631497195232342</v>
      </c>
      <c r="F8" s="33">
        <f>$C$28*('E Balans VL '!L13+'E Balans VL '!N13)/100/3.6*1000000</f>
        <v>1092.3730516900785</v>
      </c>
      <c r="G8" s="34"/>
      <c r="H8" s="33"/>
      <c r="I8" s="33"/>
      <c r="J8" s="33">
        <f>$C$28*('E Balans VL '!D13+'E Balans VL '!E13)/100/3.6*1000000</f>
        <v>0</v>
      </c>
      <c r="K8" s="33"/>
      <c r="L8" s="33"/>
      <c r="M8" s="33"/>
      <c r="N8" s="33">
        <f>$C$28*'E Balans VL '!Y13/100/3.6*1000000</f>
        <v>68.449784432634416</v>
      </c>
      <c r="O8" s="33"/>
      <c r="P8" s="33"/>
      <c r="R8" s="32"/>
    </row>
    <row r="9" spans="1:18">
      <c r="A9" s="32" t="s">
        <v>51</v>
      </c>
      <c r="B9" s="37">
        <f t="shared" si="0"/>
        <v>181.85410000000002</v>
      </c>
      <c r="C9" s="33"/>
      <c r="D9" s="37">
        <f>IF(ISERROR(TER_gezond_gas_kWh/1000),0,TER_gezond_gas_kWh/1000)*0.902</f>
        <v>389.7255856030086</v>
      </c>
      <c r="E9" s="33">
        <f>$C$29*'E Balans VL '!I10/100/3.6*1000000</f>
        <v>0.14476762560807449</v>
      </c>
      <c r="F9" s="33">
        <f>$C$29*('E Balans VL '!L10+'E Balans VL '!N10)/100/3.6*1000000</f>
        <v>22.106993883452589</v>
      </c>
      <c r="G9" s="34"/>
      <c r="H9" s="33"/>
      <c r="I9" s="33"/>
      <c r="J9" s="33">
        <f>$C$29*('E Balans VL '!D10+'E Balans VL '!E10)/100/3.6*1000000</f>
        <v>0</v>
      </c>
      <c r="K9" s="33"/>
      <c r="L9" s="33"/>
      <c r="M9" s="33"/>
      <c r="N9" s="33">
        <f>$C$29*'E Balans VL '!Y10/100/3.6*1000000</f>
        <v>1.4689692407217489</v>
      </c>
      <c r="O9" s="33"/>
      <c r="P9" s="33"/>
      <c r="R9" s="32"/>
    </row>
    <row r="10" spans="1:18">
      <c r="A10" s="32" t="s">
        <v>50</v>
      </c>
      <c r="B10" s="37">
        <f t="shared" si="0"/>
        <v>1897.1510000000001</v>
      </c>
      <c r="C10" s="33"/>
      <c r="D10" s="37">
        <f>IF(ISERROR(TER_ander_gas_kWh/1000),0,TER_ander_gas_kWh/1000)*0.902</f>
        <v>2925.9975027977111</v>
      </c>
      <c r="E10" s="33">
        <f>$C$30*'E Balans VL '!I14/100/3.6*1000000</f>
        <v>6.5016361405380749</v>
      </c>
      <c r="F10" s="33">
        <f>$C$30*('E Balans VL '!L14+'E Balans VL '!N14)/100/3.6*1000000</f>
        <v>423.74644226442615</v>
      </c>
      <c r="G10" s="34"/>
      <c r="H10" s="33"/>
      <c r="I10" s="33"/>
      <c r="J10" s="33">
        <f>$C$30*('E Balans VL '!D14+'E Balans VL '!E14)/100/3.6*1000000</f>
        <v>0</v>
      </c>
      <c r="K10" s="33"/>
      <c r="L10" s="33"/>
      <c r="M10" s="33"/>
      <c r="N10" s="33">
        <f>$C$30*'E Balans VL '!Y14/100/3.6*1000000</f>
        <v>1336.3635283333265</v>
      </c>
      <c r="O10" s="33"/>
      <c r="P10" s="33"/>
      <c r="R10" s="32"/>
    </row>
    <row r="11" spans="1:18">
      <c r="A11" s="32" t="s">
        <v>55</v>
      </c>
      <c r="B11" s="37">
        <f t="shared" si="0"/>
        <v>249.69560000000001</v>
      </c>
      <c r="C11" s="33"/>
      <c r="D11" s="37">
        <f>IF(ISERROR(TER_onderwijs_gas_kWh/1000),0,TER_onderwijs_gas_kWh/1000)*0.902</f>
        <v>220.43567669063276</v>
      </c>
      <c r="E11" s="33">
        <f>$C$31*'E Balans VL '!I11/100/3.6*1000000</f>
        <v>0.17260687826073404</v>
      </c>
      <c r="F11" s="33">
        <f>$C$31*('E Balans VL '!L11+'E Balans VL '!N11)/100/3.6*1000000</f>
        <v>65.363054914959065</v>
      </c>
      <c r="G11" s="34"/>
      <c r="H11" s="33"/>
      <c r="I11" s="33"/>
      <c r="J11" s="33">
        <f>$C$31*('E Balans VL '!D11+'E Balans VL '!E11)/100/3.6*1000000</f>
        <v>0</v>
      </c>
      <c r="K11" s="33"/>
      <c r="L11" s="33"/>
      <c r="M11" s="33"/>
      <c r="N11" s="33">
        <f>$C$31*'E Balans VL '!Y11/100/3.6*1000000</f>
        <v>0.24855070238782584</v>
      </c>
      <c r="O11" s="33"/>
      <c r="P11" s="33"/>
      <c r="R11" s="32"/>
    </row>
    <row r="12" spans="1:18">
      <c r="A12" s="32" t="s">
        <v>260</v>
      </c>
      <c r="B12" s="37">
        <f t="shared" si="0"/>
        <v>5208.8829999999998</v>
      </c>
      <c r="C12" s="33"/>
      <c r="D12" s="37">
        <f>IF(ISERROR(TER_rest_gas_kWh/1000),0,TER_rest_gas_kWh/1000)*0.902</f>
        <v>9820.1790206589903</v>
      </c>
      <c r="E12" s="33">
        <f>$C$32*'E Balans VL '!I8/100/3.6*1000000</f>
        <v>47.094294303346295</v>
      </c>
      <c r="F12" s="33">
        <f>$C$32*('E Balans VL '!L8+'E Balans VL '!N8)/100/3.6*1000000</f>
        <v>767.83127958321347</v>
      </c>
      <c r="G12" s="34"/>
      <c r="H12" s="33"/>
      <c r="I12" s="33"/>
      <c r="J12" s="33">
        <f>$C$32*('E Balans VL '!D8+'E Balans VL '!E8)/100/3.6*1000000</f>
        <v>0</v>
      </c>
      <c r="K12" s="33"/>
      <c r="L12" s="33"/>
      <c r="M12" s="33"/>
      <c r="N12" s="33">
        <f>$C$32*'E Balans VL '!Y8/100/3.6*1000000</f>
        <v>444.24804271901206</v>
      </c>
      <c r="O12" s="33"/>
      <c r="P12" s="33"/>
      <c r="R12" s="32"/>
    </row>
    <row r="13" spans="1:18">
      <c r="A13" s="16" t="s">
        <v>494</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36410.335699999996</v>
      </c>
      <c r="C16" s="21">
        <f t="shared" ca="1" si="1"/>
        <v>0</v>
      </c>
      <c r="D16" s="21">
        <f t="shared" ca="1" si="1"/>
        <v>37200.489327360308</v>
      </c>
      <c r="E16" s="21">
        <f t="shared" si="1"/>
        <v>507.03247595593729</v>
      </c>
      <c r="F16" s="21">
        <f t="shared" ca="1" si="1"/>
        <v>5473.3774421249382</v>
      </c>
      <c r="G16" s="21">
        <f t="shared" si="1"/>
        <v>0</v>
      </c>
      <c r="H16" s="21">
        <f t="shared" si="1"/>
        <v>0</v>
      </c>
      <c r="I16" s="21">
        <f t="shared" si="1"/>
        <v>0</v>
      </c>
      <c r="J16" s="21">
        <f t="shared" si="1"/>
        <v>0</v>
      </c>
      <c r="K16" s="21">
        <f t="shared" si="1"/>
        <v>0</v>
      </c>
      <c r="L16" s="21">
        <f t="shared" ca="1" si="1"/>
        <v>0</v>
      </c>
      <c r="M16" s="21">
        <f t="shared" si="1"/>
        <v>0</v>
      </c>
      <c r="N16" s="21">
        <f t="shared" ca="1" si="1"/>
        <v>1979.6371603877537</v>
      </c>
      <c r="O16" s="21">
        <f>O5</f>
        <v>7.8166666666666664</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0.21655148778633368</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7884.712366634858</v>
      </c>
      <c r="C20" s="23">
        <f t="shared" ref="C20:P20" ca="1" si="2">C16*C18</f>
        <v>0</v>
      </c>
      <c r="D20" s="23">
        <f t="shared" ca="1" si="2"/>
        <v>7514.4988441267824</v>
      </c>
      <c r="E20" s="23">
        <f t="shared" si="2"/>
        <v>115.09637204199777</v>
      </c>
      <c r="F20" s="23">
        <f t="shared" ca="1" si="2"/>
        <v>1461.3917770473586</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12674.103999999999</v>
      </c>
      <c r="C26" s="39">
        <f>IF(ISERROR(B26*3.6/1000000/'E Balans VL '!Z12*100),0,B26*3.6/1000000/'E Balans VL '!Z12*100)</f>
        <v>0.27840134709150816</v>
      </c>
      <c r="D26" s="237" t="s">
        <v>692</v>
      </c>
      <c r="F26" s="6"/>
    </row>
    <row r="27" spans="1:18">
      <c r="A27" s="231" t="s">
        <v>53</v>
      </c>
      <c r="B27" s="33">
        <f>IF(ISERROR(TER_horeca_ele_kWh/1000),0,TER_horeca_ele_kWh/1000)</f>
        <v>7760.6149999999998</v>
      </c>
      <c r="C27" s="39">
        <f>IF(ISERROR(B27*3.6/1000000/'E Balans VL '!Z9*100),0,B27*3.6/1000000/'E Balans VL '!Z9*100)</f>
        <v>0.62364277397401002</v>
      </c>
      <c r="D27" s="237" t="s">
        <v>692</v>
      </c>
      <c r="F27" s="6"/>
    </row>
    <row r="28" spans="1:18">
      <c r="A28" s="171" t="s">
        <v>52</v>
      </c>
      <c r="B28" s="33">
        <f>IF(ISERROR(TER_handel_ele_kWh/1000),0,TER_handel_ele_kWh/1000)</f>
        <v>8438.0329999999994</v>
      </c>
      <c r="C28" s="39">
        <f>IF(ISERROR(B28*3.6/1000000/'E Balans VL '!Z13*100),0,B28*3.6/1000000/'E Balans VL '!Z13*100)</f>
        <v>0.24950674087637278</v>
      </c>
      <c r="D28" s="237" t="s">
        <v>692</v>
      </c>
      <c r="F28" s="6"/>
    </row>
    <row r="29" spans="1:18">
      <c r="A29" s="231" t="s">
        <v>51</v>
      </c>
      <c r="B29" s="33">
        <f>IF(ISERROR(TER_gezond_ele_kWh/1000),0,TER_gezond_ele_kWh/1000)</f>
        <v>181.85410000000002</v>
      </c>
      <c r="C29" s="39">
        <f>IF(ISERROR(B29*3.6/1000000/'E Balans VL '!Z10*100),0,B29*3.6/1000000/'E Balans VL '!Z10*100)</f>
        <v>2.0490262011008498E-2</v>
      </c>
      <c r="D29" s="237" t="s">
        <v>692</v>
      </c>
      <c r="F29" s="6"/>
    </row>
    <row r="30" spans="1:18">
      <c r="A30" s="231" t="s">
        <v>50</v>
      </c>
      <c r="B30" s="33">
        <f>IF(ISERROR(TER_ander_ele_kWh/1000),0,TER_ander_ele_kWh/1000)</f>
        <v>1897.1510000000001</v>
      </c>
      <c r="C30" s="39">
        <f>IF(ISERROR(B30*3.6/1000000/'E Balans VL '!Z14*100),0,B30*3.6/1000000/'E Balans VL '!Z14*100)</f>
        <v>0.14347828709685354</v>
      </c>
      <c r="D30" s="237" t="s">
        <v>692</v>
      </c>
      <c r="F30" s="6"/>
    </row>
    <row r="31" spans="1:18">
      <c r="A31" s="231" t="s">
        <v>55</v>
      </c>
      <c r="B31" s="33">
        <f>IF(ISERROR(TER_onderwijs_ele_kWh/1000),0,TER_onderwijs_ele_kWh/1000)</f>
        <v>249.69560000000001</v>
      </c>
      <c r="C31" s="39">
        <f>IF(ISERROR(B31*3.6/1000000/'E Balans VL '!Z11*100),0,B31*3.6/1000000/'E Balans VL '!Z11*100)</f>
        <v>5.1831010125489393E-2</v>
      </c>
      <c r="D31" s="237" t="s">
        <v>692</v>
      </c>
    </row>
    <row r="32" spans="1:18">
      <c r="A32" s="231" t="s">
        <v>260</v>
      </c>
      <c r="B32" s="33">
        <f>IF(ISERROR(TER_rest_ele_kWh/1000),0,TER_rest_ele_kWh/1000)</f>
        <v>5208.8829999999998</v>
      </c>
      <c r="C32" s="39">
        <f>IF(ISERROR(B32*3.6/1000000/'E Balans VL '!Z8*100),0,B32*3.6/1000000/'E Balans VL '!Z8*100)</f>
        <v>4.3881774992901919E-2</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5</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1</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163</v>
      </c>
      <c r="B1" s="1197" t="s">
        <v>195</v>
      </c>
      <c r="C1" s="1198"/>
      <c r="D1" s="1198"/>
      <c r="E1" s="1198"/>
      <c r="F1" s="1198"/>
      <c r="G1" s="1198"/>
      <c r="H1" s="1198"/>
      <c r="I1" s="1198"/>
      <c r="J1" s="1198"/>
      <c r="K1" s="1198"/>
      <c r="L1" s="1198"/>
      <c r="M1" s="1198"/>
      <c r="N1" s="1198"/>
      <c r="O1" s="1198"/>
      <c r="P1" s="1198"/>
      <c r="R1" s="826"/>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c r="R2" s="826"/>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5237.6506499999996</v>
      </c>
      <c r="C5" s="17">
        <f>IF(ISERROR('Eigen informatie GS &amp; warmtenet'!B59),0,'Eigen informatie GS &amp; warmtenet'!B59)</f>
        <v>0</v>
      </c>
      <c r="D5" s="30">
        <f>SUM(D6:D15)</f>
        <v>3615.6975253206747</v>
      </c>
      <c r="E5" s="17">
        <f>SUM(E6:E15)</f>
        <v>605.08188023279024</v>
      </c>
      <c r="F5" s="17">
        <f>SUM(F6:F15)</f>
        <v>6190.3028570266397</v>
      </c>
      <c r="G5" s="18"/>
      <c r="H5" s="17"/>
      <c r="I5" s="17"/>
      <c r="J5" s="17">
        <f>SUM(J6:J15)</f>
        <v>57.398431486817898</v>
      </c>
      <c r="K5" s="17"/>
      <c r="L5" s="17"/>
      <c r="M5" s="17"/>
      <c r="N5" s="17">
        <f>SUM(N6:N15)</f>
        <v>1963.3126345058129</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436.89249999999998</v>
      </c>
      <c r="C8" s="33"/>
      <c r="D8" s="37">
        <f>IF( ISERROR(IND_metaal_Gas_kWH/1000),0,IND_metaal_Gas_kWH/1000)*0.902</f>
        <v>0</v>
      </c>
      <c r="E8" s="33">
        <f>C30*'E Balans VL '!I18/100/3.6*1000000</f>
        <v>10.933890184008639</v>
      </c>
      <c r="F8" s="33">
        <f>C30*'E Balans VL '!L18/100/3.6*1000000+C30*'E Balans VL '!N18/100/3.6*1000000</f>
        <v>136.92428271505904</v>
      </c>
      <c r="G8" s="34"/>
      <c r="H8" s="33"/>
      <c r="I8" s="33"/>
      <c r="J8" s="40">
        <f>C30*'E Balans VL '!D18/100/3.6*1000000+C30*'E Balans VL '!E18/100/3.6*1000000</f>
        <v>0</v>
      </c>
      <c r="K8" s="33"/>
      <c r="L8" s="33"/>
      <c r="M8" s="33"/>
      <c r="N8" s="33">
        <f>C30*'E Balans VL '!Y18/100/3.6*1000000</f>
        <v>10.975873434908667</v>
      </c>
      <c r="O8" s="33"/>
      <c r="P8" s="33"/>
      <c r="R8" s="32"/>
    </row>
    <row r="9" spans="1:18">
      <c r="A9" s="6" t="s">
        <v>33</v>
      </c>
      <c r="B9" s="37">
        <f t="shared" si="0"/>
        <v>1990.1130000000001</v>
      </c>
      <c r="C9" s="33"/>
      <c r="D9" s="37">
        <f>IF( ISERROR(IND_andere_gas_kWh/1000),0,IND_andere_gas_kWh/1000)*0.902</f>
        <v>984.52860013989164</v>
      </c>
      <c r="E9" s="33">
        <f>C31*'E Balans VL '!I19/100/3.6*1000000</f>
        <v>547.19945040466644</v>
      </c>
      <c r="F9" s="33">
        <f>C31*'E Balans VL '!L19/100/3.6*1000000+C31*'E Balans VL '!N19/100/3.6*1000000</f>
        <v>1568.5553485259588</v>
      </c>
      <c r="G9" s="34"/>
      <c r="H9" s="33"/>
      <c r="I9" s="33"/>
      <c r="J9" s="40">
        <f>C31*'E Balans VL '!D19/100/3.6*1000000+C31*'E Balans VL '!E19/100/3.6*1000000</f>
        <v>0</v>
      </c>
      <c r="K9" s="33"/>
      <c r="L9" s="33"/>
      <c r="M9" s="33"/>
      <c r="N9" s="33">
        <f>C31*'E Balans VL '!Y19/100/3.6*1000000</f>
        <v>644.25210829284254</v>
      </c>
      <c r="O9" s="33"/>
      <c r="P9" s="33"/>
      <c r="R9" s="32"/>
    </row>
    <row r="10" spans="1:18">
      <c r="A10" s="6" t="s">
        <v>41</v>
      </c>
      <c r="B10" s="37">
        <f t="shared" si="0"/>
        <v>2318.261</v>
      </c>
      <c r="C10" s="33"/>
      <c r="D10" s="37">
        <f>IF( ISERROR(IND_voed_gas_kWh/1000),0,IND_voed_gas_kWh/1000)*0.902</f>
        <v>998.38605114337668</v>
      </c>
      <c r="E10" s="33">
        <f>C32*'E Balans VL '!I20/100/3.6*1000000</f>
        <v>23.633393757727724</v>
      </c>
      <c r="F10" s="33">
        <f>C32*'E Balans VL '!L20/100/3.6*1000000+C32*'E Balans VL '!N20/100/3.6*1000000</f>
        <v>4379.1805296770781</v>
      </c>
      <c r="G10" s="34"/>
      <c r="H10" s="33"/>
      <c r="I10" s="33"/>
      <c r="J10" s="40">
        <f>C32*'E Balans VL '!D20/100/3.6*1000000+C32*'E Balans VL '!E20/100/3.6*1000000</f>
        <v>55.483571114334055</v>
      </c>
      <c r="K10" s="33"/>
      <c r="L10" s="33"/>
      <c r="M10" s="33"/>
      <c r="N10" s="33">
        <f>C32*'E Balans VL '!Y20/100/3.6*1000000</f>
        <v>1221.9905779229159</v>
      </c>
      <c r="O10" s="33"/>
      <c r="P10" s="33"/>
      <c r="R10" s="32"/>
    </row>
    <row r="11" spans="1:18">
      <c r="A11" s="6" t="s">
        <v>40</v>
      </c>
      <c r="B11" s="37">
        <f t="shared" si="0"/>
        <v>35.957550000000005</v>
      </c>
      <c r="C11" s="33"/>
      <c r="D11" s="37">
        <f>IF( ISERROR(IND_textiel_gas_kWh/1000),0,IND_textiel_gas_kWh/1000)*0.902</f>
        <v>0</v>
      </c>
      <c r="E11" s="33">
        <f>C33*'E Balans VL '!I21/100/3.6*1000000</f>
        <v>9.5305098562804835E-2</v>
      </c>
      <c r="F11" s="33">
        <f>C33*'E Balans VL '!L21/100/3.6*1000000+C33*'E Balans VL '!N21/100/3.6*1000000</f>
        <v>1.6059012759748414</v>
      </c>
      <c r="G11" s="34"/>
      <c r="H11" s="33"/>
      <c r="I11" s="33"/>
      <c r="J11" s="40">
        <f>C33*'E Balans VL '!D21/100/3.6*1000000+C33*'E Balans VL '!E21/100/3.6*1000000</f>
        <v>0</v>
      </c>
      <c r="K11" s="33"/>
      <c r="L11" s="33"/>
      <c r="M11" s="33"/>
      <c r="N11" s="33">
        <f>C33*'E Balans VL '!Y21/100/3.6*1000000</f>
        <v>0.33887420477906377</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456.42659999999995</v>
      </c>
      <c r="C15" s="33"/>
      <c r="D15" s="37">
        <f>IF( ISERROR(IND_rest_gas_kWh/1000),0,IND_rest_gas_kWh/1000)*0.902</f>
        <v>1632.7828740374066</v>
      </c>
      <c r="E15" s="33">
        <f>C37*'E Balans VL '!I15/100/3.6*1000000</f>
        <v>23.219840787824669</v>
      </c>
      <c r="F15" s="33">
        <f>C37*'E Balans VL '!L15/100/3.6*1000000+C37*'E Balans VL '!N15/100/3.6*1000000</f>
        <v>104.03679483256822</v>
      </c>
      <c r="G15" s="34"/>
      <c r="H15" s="33"/>
      <c r="I15" s="33"/>
      <c r="J15" s="40">
        <f>C37*'E Balans VL '!D15/100/3.6*1000000+C37*'E Balans VL '!E15/100/3.6*1000000</f>
        <v>1.9148603724838433</v>
      </c>
      <c r="K15" s="33"/>
      <c r="L15" s="33"/>
      <c r="M15" s="33"/>
      <c r="N15" s="33">
        <f>C37*'E Balans VL '!Y15/100/3.6*1000000</f>
        <v>85.755200650366859</v>
      </c>
      <c r="O15" s="33"/>
      <c r="P15" s="33"/>
      <c r="R15" s="32"/>
    </row>
    <row r="16" spans="1:18">
      <c r="A16" s="16" t="s">
        <v>494</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5237.6506499999996</v>
      </c>
      <c r="C18" s="21">
        <f>C5+C16</f>
        <v>0</v>
      </c>
      <c r="D18" s="21">
        <f>MAX((D5+D16),0)</f>
        <v>3615.6975253206747</v>
      </c>
      <c r="E18" s="21">
        <f>MAX((E5+E16),0)</f>
        <v>605.08188023279024</v>
      </c>
      <c r="F18" s="21">
        <f>MAX((F5+F16),0)</f>
        <v>6190.3028570266397</v>
      </c>
      <c r="G18" s="21"/>
      <c r="H18" s="21"/>
      <c r="I18" s="21"/>
      <c r="J18" s="21">
        <f>MAX((J5+J16),0)</f>
        <v>57.398431486817898</v>
      </c>
      <c r="K18" s="21"/>
      <c r="L18" s="21">
        <f>MAX((L5+L16),0)</f>
        <v>0</v>
      </c>
      <c r="M18" s="21"/>
      <c r="N18" s="21">
        <f>MAX((N5+N16),0)</f>
        <v>1963.3126345058129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0.21655148778633368</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1134.2210407625575</v>
      </c>
      <c r="C22" s="23">
        <f ca="1">C18*C20</f>
        <v>0</v>
      </c>
      <c r="D22" s="23">
        <f>D18*D20</f>
        <v>730.3709001147763</v>
      </c>
      <c r="E22" s="23">
        <f>E18*E20</f>
        <v>137.35358681284339</v>
      </c>
      <c r="F22" s="23">
        <f>F18*F20</f>
        <v>1652.810862826113</v>
      </c>
      <c r="G22" s="23"/>
      <c r="H22" s="23"/>
      <c r="I22" s="23"/>
      <c r="J22" s="23">
        <f>J18*J20</f>
        <v>20.319044746333535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436.89249999999998</v>
      </c>
      <c r="C30" s="39">
        <f>IF(ISERROR(B30*3.6/1000000/'E Balans VL '!Z18*100),0,B30*3.6/1000000/'E Balans VL '!Z18*100)</f>
        <v>6.1150390396593118E-2</v>
      </c>
      <c r="D30" s="237" t="s">
        <v>692</v>
      </c>
    </row>
    <row r="31" spans="1:18">
      <c r="A31" s="6" t="s">
        <v>33</v>
      </c>
      <c r="B31" s="37">
        <f>IF( ISERROR(IND_ander_ele_kWh/1000),0,IND_ander_ele_kWh/1000)</f>
        <v>1990.1130000000001</v>
      </c>
      <c r="C31" s="39">
        <f>IF(ISERROR(B31*3.6/1000000/'E Balans VL '!Z19*100),0,B31*3.6/1000000/'E Balans VL '!Z19*100)</f>
        <v>8.7106923167803829E-2</v>
      </c>
      <c r="D31" s="237" t="s">
        <v>692</v>
      </c>
    </row>
    <row r="32" spans="1:18">
      <c r="A32" s="171" t="s">
        <v>41</v>
      </c>
      <c r="B32" s="37">
        <f>IF( ISERROR(IND_voed_ele_kWh/1000),0,IND_voed_ele_kWh/1000)</f>
        <v>2318.261</v>
      </c>
      <c r="C32" s="39">
        <f>IF(ISERROR(B32*3.6/1000000/'E Balans VL '!Z20*100),0,B32*3.6/1000000/'E Balans VL '!Z20*100)</f>
        <v>0.57392443794954418</v>
      </c>
      <c r="D32" s="237" t="s">
        <v>692</v>
      </c>
    </row>
    <row r="33" spans="1:5">
      <c r="A33" s="171" t="s">
        <v>40</v>
      </c>
      <c r="B33" s="37">
        <f>IF( ISERROR(IND_textiel_ele_kWh/1000),0,IND_textiel_ele_kWh/1000)</f>
        <v>35.957550000000005</v>
      </c>
      <c r="C33" s="39">
        <f>IF(ISERROR(B33*3.6/1000000/'E Balans VL '!Z21*100),0,B33*3.6/1000000/'E Balans VL '!Z21*100)</f>
        <v>4.0517824869212406E-3</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0</v>
      </c>
      <c r="C35" s="39">
        <f>IF(ISERROR(B35*3.6/1000000/'E Balans VL '!Z22*100),0,B35*3.6/1000000/'E Balans VL '!Z22*100)</f>
        <v>0</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456.42659999999995</v>
      </c>
      <c r="C37" s="39">
        <f>IF(ISERROR(B37*3.6/1000000/'E Balans VL '!Z15*100),0,B37*3.6/1000000/'E Balans VL '!Z15*100)</f>
        <v>3.3843250954593233E-3</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271</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1098.7521000000002</v>
      </c>
      <c r="C5" s="17">
        <f>'Eigen informatie GS &amp; warmtenet'!B60</f>
        <v>0</v>
      </c>
      <c r="D5" s="30">
        <f>IF(ISERROR(SUM(LB_lb_gas_kWh,LB_rest_gas_kWh,onbekend_gas_kWh)/1000),0,SUM(LB_lb_gas_kWh,LB_rest_gas_kWh,onbekend_gas_kWh)/1000)*0.902</f>
        <v>6045.5375116023715</v>
      </c>
      <c r="E5" s="17">
        <f>B17*'E Balans VL '!I25/3.6*1000000/100</f>
        <v>10.17710214988192</v>
      </c>
      <c r="F5" s="17">
        <f>B17*('E Balans VL '!L25/3.6*1000000+'E Balans VL '!N25/3.6*1000000)/100</f>
        <v>2787.74338976025</v>
      </c>
      <c r="G5" s="18"/>
      <c r="H5" s="17"/>
      <c r="I5" s="17"/>
      <c r="J5" s="17">
        <f>('E Balans VL '!D25+'E Balans VL '!E25)/3.6*1000000*landbouw!B17/100</f>
        <v>168.45095903922413</v>
      </c>
      <c r="K5" s="17"/>
      <c r="L5" s="17">
        <f>L6*(-1)</f>
        <v>0</v>
      </c>
      <c r="M5" s="17"/>
      <c r="N5" s="17">
        <f>N6*(-1)</f>
        <v>0</v>
      </c>
      <c r="O5" s="17"/>
      <c r="P5" s="17"/>
      <c r="R5" s="32"/>
    </row>
    <row r="6" spans="1:18">
      <c r="A6" s="16" t="s">
        <v>494</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1098.7521000000002</v>
      </c>
      <c r="C8" s="21">
        <f>C5+C6</f>
        <v>0</v>
      </c>
      <c r="D8" s="21">
        <f>MAX((D5+D6),0)</f>
        <v>6045.5375116023715</v>
      </c>
      <c r="E8" s="21">
        <f>MAX((E5+E6),0)</f>
        <v>10.17710214988192</v>
      </c>
      <c r="F8" s="21">
        <f>MAX((F5+F6),0)</f>
        <v>2787.74338976025</v>
      </c>
      <c r="G8" s="21"/>
      <c r="H8" s="21"/>
      <c r="I8" s="21"/>
      <c r="J8" s="21">
        <f>MAX((J5+J6),0)</f>
        <v>168.45095903922413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0.21655148778633368</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237.93640196335852</v>
      </c>
      <c r="C12" s="23">
        <f ca="1">C8*C10</f>
        <v>0</v>
      </c>
      <c r="D12" s="23">
        <f>D8*D10</f>
        <v>1221.1985773436791</v>
      </c>
      <c r="E12" s="23">
        <f>E8*E10</f>
        <v>2.310202188023196</v>
      </c>
      <c r="F12" s="23">
        <f>F8*F10</f>
        <v>744.32748506598682</v>
      </c>
      <c r="G12" s="23"/>
      <c r="H12" s="23"/>
      <c r="I12" s="23"/>
      <c r="J12" s="23">
        <f>J8*J10</f>
        <v>59.631639499885338</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0.15621925104851644</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04" t="s">
        <v>303</v>
      </c>
      <c r="B22" s="1207" t="s">
        <v>304</v>
      </c>
      <c r="C22" s="1207" t="s">
        <v>499</v>
      </c>
    </row>
    <row r="23" spans="1:4">
      <c r="A23" s="1205"/>
      <c r="B23" s="1208"/>
      <c r="C23" s="1208"/>
    </row>
    <row r="24" spans="1:4" ht="15.75" thickBot="1">
      <c r="A24" s="1206"/>
      <c r="B24" s="1209"/>
      <c r="C24" s="1209"/>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286.70859922757978</v>
      </c>
      <c r="C26" s="247">
        <f>B26*'GWP N2O_CH4'!B5</f>
        <v>6020.8805837791751</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100.30340927095821</v>
      </c>
      <c r="C27" s="247">
        <f>B27*'GWP N2O_CH4'!B5</f>
        <v>2106.3715946901225</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3.9050142674516857</v>
      </c>
      <c r="C28" s="247">
        <f>B28*'GWP N2O_CH4'!B4</f>
        <v>1210.5544229100226</v>
      </c>
      <c r="D28" s="50"/>
    </row>
    <row r="29" spans="1:4">
      <c r="A29" s="41" t="s">
        <v>277</v>
      </c>
      <c r="B29" s="247">
        <f>B34*'ha_N2O bodem landbouw'!B4</f>
        <v>12.954923447832414</v>
      </c>
      <c r="C29" s="247">
        <f>B29*'GWP N2O_CH4'!B4</f>
        <v>4016.0262688280482</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2.9055610984416573E-3</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96" t="s">
        <v>503</v>
      </c>
      <c r="B1" s="1197" t="s">
        <v>556</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4.4751550528476978E-5</v>
      </c>
      <c r="C5" s="464" t="s">
        <v>211</v>
      </c>
      <c r="D5" s="449">
        <f>SUM(D6:D11)</f>
        <v>1.0929527197446669E-4</v>
      </c>
      <c r="E5" s="449">
        <f>SUM(E6:E11)</f>
        <v>8.1242659017640665E-4</v>
      </c>
      <c r="F5" s="462" t="s">
        <v>211</v>
      </c>
      <c r="G5" s="449">
        <f>SUM(G6:G11)</f>
        <v>0.33240898170173228</v>
      </c>
      <c r="H5" s="449">
        <f>SUM(H6:H11)</f>
        <v>4.2690152615760424E-2</v>
      </c>
      <c r="I5" s="464" t="s">
        <v>211</v>
      </c>
      <c r="J5" s="464" t="s">
        <v>211</v>
      </c>
      <c r="K5" s="464" t="s">
        <v>211</v>
      </c>
      <c r="L5" s="464" t="s">
        <v>211</v>
      </c>
      <c r="M5" s="449">
        <f>SUM(M6:M11)</f>
        <v>2.0542475159510843E-2</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1.6499903172699721E-5</v>
      </c>
      <c r="C6" s="450"/>
      <c r="D6" s="963">
        <f>vkm_2011_GW_PW*SUMIFS(TableVerdeelsleutelVkm[CNG],TableVerdeelsleutelVkm[Voertuigtype],"Lichte voertuigen")*SUMIFS(TableECFTransport[EnergieConsumptieFactor (PJ per km)],TableECFTransport[Index],CONCATENATE($A6,"_CNG_CNG"))</f>
        <v>3.816609260254316E-5</v>
      </c>
      <c r="E6" s="963">
        <f>vkm_2011_GW_PW*SUMIFS(TableVerdeelsleutelVkm[LPG],TableVerdeelsleutelVkm[Voertuigtype],"Lichte voertuigen")*SUMIFS(TableECFTransport[EnergieConsumptieFactor (PJ per km)],TableECFTransport[Index],CONCATENATE($A6,"_LPG_LPG"))</f>
        <v>2.4851454717002476E-4</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5.1627058596875691E-2</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1.4552600913417105E-2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3.4343812577425242E-3</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3.4298534411020515E-2</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1.1729475878168452E-5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1.9843646285932965E-3</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1.566918433831855E-6</v>
      </c>
      <c r="C8" s="450"/>
      <c r="D8" s="452">
        <f>vkm_2011_NGW_PW*SUMIFS(TableVerdeelsleutelVkm[CNG],TableVerdeelsleutelVkm[Voertuigtype],"Lichte voertuigen")*SUMIFS(TableECFTransport[EnergieConsumptieFactor (PJ per km)],TableECFTransport[Index],CONCATENATE($A8,"_CNG_CNG"))</f>
        <v>6.410601401174114E-6</v>
      </c>
      <c r="E8" s="452">
        <f>vkm_2011_NGW_PW*SUMIFS(TableVerdeelsleutelVkm[LPG],TableVerdeelsleutelVkm[Voertuigtype],"Lichte voertuigen")*SUMIFS(TableECFTransport[EnergieConsumptieFactor (PJ per km)],TableECFTransport[Index],CONCATENATE($A8,"_LPG_LPG"))</f>
        <v>3.8523491012295788E-5</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7.4812053610938548E-3</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2.363504703383203E-3</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5.0551267664671496E-4</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7.3601773965619301E-4</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2.3816676691414315E-7</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4.2582381407063044E-5</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2.66847289219454E-5</v>
      </c>
      <c r="C10" s="450"/>
      <c r="D10" s="452">
        <f>vkm_2011_SW_PW*SUMIFS(TableVerdeelsleutelVkm[CNG],TableVerdeelsleutelVkm[Voertuigtype],"Lichte voertuigen")*SUMIFS(TableECFTransport[EnergieConsumptieFactor (PJ per km)],TableECFTransport[Index],CONCATENATE($A10,"_CNG_CNG"))</f>
        <v>6.4718577970749412E-5</v>
      </c>
      <c r="E10" s="452">
        <f>vkm_2011_SW_PW*SUMIFS(TableVerdeelsleutelVkm[LPG],TableVerdeelsleutelVkm[Voertuigtype],"Lichte voertuigen")*SUMIFS(TableECFTransport[EnergieConsumptieFactor (PJ per km)],TableECFTransport[Index],CONCATENATE($A10,"_LPG_LPG"))</f>
        <v>5.2538855199408608E-4</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9.8262744433764232E-2</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2.5710479378630819E-2</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6.4755281626058857E-3</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0.14000342115932177</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5.1599977684209997E-5</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8.1001060525153594E-3</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12.430986257910272</v>
      </c>
      <c r="C14" s="21"/>
      <c r="D14" s="21">
        <f t="shared" ref="D14:M14" si="0">((D5)*10^9/3600)+D12</f>
        <v>30.359797770685191</v>
      </c>
      <c r="E14" s="21">
        <f t="shared" si="0"/>
        <v>225.67405282677964</v>
      </c>
      <c r="F14" s="21"/>
      <c r="G14" s="21">
        <f t="shared" si="0"/>
        <v>92335.828250481194</v>
      </c>
      <c r="H14" s="21">
        <f t="shared" si="0"/>
        <v>11858.375726600118</v>
      </c>
      <c r="I14" s="21"/>
      <c r="J14" s="21"/>
      <c r="K14" s="21"/>
      <c r="L14" s="21"/>
      <c r="M14" s="21">
        <f t="shared" si="0"/>
        <v>5706.243099864123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0.21655148778633368</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2.691948568801938</v>
      </c>
      <c r="C18" s="23"/>
      <c r="D18" s="23">
        <f t="shared" ref="D18:M18" si="1">D14*D16</f>
        <v>6.1326791496784088</v>
      </c>
      <c r="E18" s="23">
        <f t="shared" si="1"/>
        <v>51.228009991678981</v>
      </c>
      <c r="F18" s="23"/>
      <c r="G18" s="23">
        <f t="shared" si="1"/>
        <v>24653.666142878479</v>
      </c>
      <c r="H18" s="23">
        <f t="shared" si="1"/>
        <v>2952.7355559234293</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0" t="s">
        <v>504</v>
      </c>
      <c r="B46" s="1211" t="s">
        <v>555</v>
      </c>
      <c r="C46" s="1212"/>
      <c r="D46" s="1212"/>
      <c r="E46" s="1212"/>
      <c r="F46" s="1212"/>
      <c r="G46" s="1212"/>
      <c r="H46" s="1212"/>
      <c r="I46" s="1212"/>
      <c r="J46" s="1212"/>
      <c r="K46" s="1212"/>
      <c r="L46" s="1212"/>
      <c r="M46" s="1212"/>
      <c r="N46" s="1212"/>
      <c r="O46" s="1212"/>
      <c r="P46" s="1212"/>
    </row>
    <row r="47" spans="1:16" s="15" customFormat="1" ht="15.75" thickTop="1">
      <c r="A47" s="1210"/>
      <c r="B47" s="1213" t="s">
        <v>21</v>
      </c>
      <c r="C47" s="1213" t="s">
        <v>196</v>
      </c>
      <c r="D47" s="1215" t="s">
        <v>197</v>
      </c>
      <c r="E47" s="1216"/>
      <c r="F47" s="1216"/>
      <c r="G47" s="1216"/>
      <c r="H47" s="1216"/>
      <c r="I47" s="1216"/>
      <c r="J47" s="1216"/>
      <c r="K47" s="1217"/>
      <c r="L47" s="1215" t="s">
        <v>198</v>
      </c>
      <c r="M47" s="1216"/>
      <c r="N47" s="1216"/>
      <c r="O47" s="1216"/>
      <c r="P47" s="1217"/>
    </row>
    <row r="48" spans="1:16" s="15" customFormat="1" ht="45">
      <c r="A48" s="1210"/>
      <c r="B48" s="1214"/>
      <c r="C48" s="1214"/>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2.9396054089718153E-3</v>
      </c>
      <c r="C50" s="321">
        <f t="shared" ref="C50:P50" si="2">SUM(C51:C52)</f>
        <v>0</v>
      </c>
      <c r="D50" s="321">
        <f t="shared" si="2"/>
        <v>0</v>
      </c>
      <c r="E50" s="321">
        <f t="shared" si="2"/>
        <v>0</v>
      </c>
      <c r="F50" s="321">
        <f t="shared" si="2"/>
        <v>0</v>
      </c>
      <c r="G50" s="321">
        <f t="shared" si="2"/>
        <v>2.3353436942542306E-3</v>
      </c>
      <c r="H50" s="321">
        <f t="shared" si="2"/>
        <v>0</v>
      </c>
      <c r="I50" s="321">
        <f t="shared" si="2"/>
        <v>0</v>
      </c>
      <c r="J50" s="321">
        <f t="shared" si="2"/>
        <v>0</v>
      </c>
      <c r="K50" s="321">
        <f t="shared" si="2"/>
        <v>0</v>
      </c>
      <c r="L50" s="321">
        <f t="shared" si="2"/>
        <v>0</v>
      </c>
      <c r="M50" s="321">
        <f t="shared" si="2"/>
        <v>1.3317784298868927E-4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2.3353436942542306E-3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1.3317784298868927E-4</v>
      </c>
      <c r="N51" s="323"/>
      <c r="O51" s="323"/>
      <c r="P51" s="326"/>
    </row>
    <row r="52" spans="1:18">
      <c r="A52" s="4" t="s">
        <v>330</v>
      </c>
      <c r="B52" s="964">
        <f>vkm_2011_tram*SUMIFS(TableECFTransport[EnergieConsumptieFactor (PJ per km)],TableECFTransport[Index],"Tram_gemiddeld_Electric_Electric")</f>
        <v>2.9396054089718153E-3</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816.55705804772651</v>
      </c>
      <c r="C54" s="21">
        <f t="shared" ref="C54:P54" si="3">(C50)*10^9/3600</f>
        <v>0</v>
      </c>
      <c r="D54" s="21">
        <f t="shared" si="3"/>
        <v>0</v>
      </c>
      <c r="E54" s="21">
        <f t="shared" si="3"/>
        <v>0</v>
      </c>
      <c r="F54" s="21">
        <f t="shared" si="3"/>
        <v>0</v>
      </c>
      <c r="G54" s="21">
        <f t="shared" si="3"/>
        <v>648.70658173728634</v>
      </c>
      <c r="H54" s="21">
        <f t="shared" si="3"/>
        <v>0</v>
      </c>
      <c r="I54" s="21">
        <f t="shared" si="3"/>
        <v>0</v>
      </c>
      <c r="J54" s="21">
        <f t="shared" si="3"/>
        <v>0</v>
      </c>
      <c r="K54" s="21">
        <f t="shared" si="3"/>
        <v>0</v>
      </c>
      <c r="L54" s="21">
        <f t="shared" si="3"/>
        <v>0</v>
      </c>
      <c r="M54" s="21">
        <f t="shared" si="3"/>
        <v>36.993845274635909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0.21655148778633368</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176.82664578266682</v>
      </c>
      <c r="C58" s="23">
        <f t="shared" ref="C58:P58" ca="1" si="4">C54*C56</f>
        <v>0</v>
      </c>
      <c r="D58" s="23">
        <f t="shared" si="4"/>
        <v>0</v>
      </c>
      <c r="E58" s="23">
        <f t="shared" si="4"/>
        <v>0</v>
      </c>
      <c r="F58" s="23">
        <f t="shared" si="4"/>
        <v>0</v>
      </c>
      <c r="G58" s="23">
        <f t="shared" si="4"/>
        <v>173.20465732385546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236" t="s">
        <v>241</v>
      </c>
      <c r="B1" s="1236" t="s">
        <v>242</v>
      </c>
      <c r="C1" s="1243" t="s">
        <v>243</v>
      </c>
      <c r="D1" s="1244"/>
      <c r="E1" s="1244"/>
      <c r="F1" s="1244"/>
      <c r="G1" s="1244"/>
      <c r="H1" s="1244"/>
      <c r="I1" s="1244"/>
      <c r="J1" s="1244"/>
      <c r="K1" s="1244"/>
      <c r="L1" s="1245"/>
      <c r="M1" s="1240" t="s">
        <v>244</v>
      </c>
      <c r="N1" s="1257" t="s">
        <v>557</v>
      </c>
      <c r="O1" s="1240"/>
      <c r="Q1" s="1235"/>
      <c r="R1" s="1235"/>
      <c r="S1" s="1235"/>
    </row>
    <row r="2" spans="1:19" s="564" customFormat="1" ht="15.75" thickBot="1">
      <c r="A2" s="1237"/>
      <c r="B2" s="1237"/>
      <c r="C2" s="1246" t="s">
        <v>197</v>
      </c>
      <c r="D2" s="1247"/>
      <c r="E2" s="1247"/>
      <c r="F2" s="1247"/>
      <c r="G2" s="1248"/>
      <c r="H2" s="1249" t="s">
        <v>245</v>
      </c>
      <c r="I2" s="1251" t="s">
        <v>246</v>
      </c>
      <c r="J2" s="1251" t="s">
        <v>234</v>
      </c>
      <c r="K2" s="1251" t="s">
        <v>247</v>
      </c>
      <c r="L2" s="1233" t="s">
        <v>127</v>
      </c>
      <c r="M2" s="1241"/>
      <c r="N2" s="1258"/>
      <c r="O2" s="1241"/>
      <c r="Q2" s="1235"/>
      <c r="R2" s="1235"/>
      <c r="S2" s="1235"/>
    </row>
    <row r="3" spans="1:19" s="564" customFormat="1" ht="53.45" customHeight="1" thickBot="1">
      <c r="A3" s="1238"/>
      <c r="B3" s="1239"/>
      <c r="C3" s="565" t="s">
        <v>199</v>
      </c>
      <c r="D3" s="566" t="s">
        <v>200</v>
      </c>
      <c r="E3" s="567" t="s">
        <v>201</v>
      </c>
      <c r="F3" s="568" t="s">
        <v>203</v>
      </c>
      <c r="G3" s="569" t="s">
        <v>204</v>
      </c>
      <c r="H3" s="1250"/>
      <c r="I3" s="1252"/>
      <c r="J3" s="1252"/>
      <c r="K3" s="1252"/>
      <c r="L3" s="1234"/>
      <c r="M3" s="1242"/>
      <c r="N3" s="1239"/>
      <c r="O3" s="1242"/>
      <c r="Q3" s="1235"/>
      <c r="R3" s="1235"/>
      <c r="S3" s="1235"/>
    </row>
    <row r="4" spans="1:19" s="564" customFormat="1" ht="15.75" thickTop="1">
      <c r="A4" s="570" t="s">
        <v>249</v>
      </c>
      <c r="B4" s="571">
        <f>IF(ISERROR(kWh_wind_land),0,kWh_wind_land)</f>
        <v>0</v>
      </c>
      <c r="C4" s="1221"/>
      <c r="D4" s="1224"/>
      <c r="E4" s="1224"/>
      <c r="F4" s="1227"/>
      <c r="G4" s="1230"/>
      <c r="H4" s="1218"/>
      <c r="I4" s="1224"/>
      <c r="J4" s="1224"/>
      <c r="K4" s="572"/>
      <c r="L4" s="1254"/>
      <c r="M4" s="573"/>
      <c r="N4" s="1266"/>
      <c r="O4" s="1267"/>
      <c r="Q4" s="574"/>
      <c r="R4" s="1253"/>
      <c r="S4" s="1253"/>
    </row>
    <row r="5" spans="1:19" s="564" customFormat="1">
      <c r="A5" s="575" t="s">
        <v>250</v>
      </c>
      <c r="B5" s="571">
        <f>IF(ISERROR(kWh_waterkracht),0,kWh_waterkracht)</f>
        <v>0</v>
      </c>
      <c r="C5" s="1222"/>
      <c r="D5" s="1225"/>
      <c r="E5" s="1225"/>
      <c r="F5" s="1228"/>
      <c r="G5" s="1231"/>
      <c r="H5" s="1219"/>
      <c r="I5" s="1225"/>
      <c r="J5" s="1225"/>
      <c r="K5" s="1225"/>
      <c r="L5" s="1255"/>
      <c r="M5" s="576"/>
      <c r="N5" s="1268"/>
      <c r="O5" s="1269"/>
      <c r="Q5" s="574"/>
      <c r="R5" s="1253"/>
      <c r="S5" s="1253"/>
    </row>
    <row r="6" spans="1:19" s="564" customFormat="1">
      <c r="A6" s="575" t="s">
        <v>251</v>
      </c>
      <c r="B6" s="571">
        <f>IF(ISERROR((kWh_PV_kleiner_dan_10kW+kWh_PV_groter_dan_10kW)),0,(kWh_PV_kleiner_dan_10kW+kWh_PV_groter_dan_10kW))</f>
        <v>1507.3970815474909</v>
      </c>
      <c r="C6" s="1223"/>
      <c r="D6" s="1226"/>
      <c r="E6" s="1226"/>
      <c r="F6" s="1229"/>
      <c r="G6" s="1232"/>
      <c r="H6" s="1220"/>
      <c r="I6" s="1226"/>
      <c r="J6" s="1226"/>
      <c r="K6" s="1226"/>
      <c r="L6" s="1256"/>
      <c r="M6" s="576"/>
      <c r="N6" s="1268"/>
      <c r="O6" s="1269"/>
      <c r="Q6" s="574"/>
      <c r="R6" s="1253"/>
      <c r="S6" s="1253"/>
    </row>
    <row r="7" spans="1:19" s="564" customFormat="1">
      <c r="A7" s="577" t="s">
        <v>252</v>
      </c>
      <c r="B7" s="578">
        <f>N57</f>
        <v>0</v>
      </c>
      <c r="C7" s="579">
        <f>B100</f>
        <v>0</v>
      </c>
      <c r="D7" s="580"/>
      <c r="E7" s="580">
        <f>E100</f>
        <v>0</v>
      </c>
      <c r="F7" s="581"/>
      <c r="G7" s="582"/>
      <c r="H7" s="580">
        <f>I100</f>
        <v>0</v>
      </c>
      <c r="I7" s="580">
        <f>G100+F100</f>
        <v>0</v>
      </c>
      <c r="J7" s="580">
        <f>H100+D100+C100</f>
        <v>0</v>
      </c>
      <c r="K7" s="580"/>
      <c r="L7" s="583"/>
      <c r="M7" s="584">
        <f>C7*$C$11+D7*$D$11+E7*$E$11+F7*$F$11+G7*$G$11+H7*$H$11+I7*$I$11+J7*$J$11</f>
        <v>0</v>
      </c>
      <c r="N7" s="1268"/>
      <c r="O7" s="1269"/>
      <c r="Q7" s="574"/>
      <c r="R7" s="1253"/>
      <c r="S7" s="1253"/>
    </row>
    <row r="8" spans="1:19" s="564" customFormat="1" ht="17.45" customHeight="1" thickBot="1">
      <c r="A8" s="585" t="s">
        <v>248</v>
      </c>
      <c r="B8" s="586">
        <f>N88+'Eigen informatie GS &amp; warmtenet'!B12</f>
        <v>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270"/>
      <c r="O8" s="1271"/>
      <c r="P8" s="592"/>
      <c r="Q8" s="574"/>
      <c r="R8" s="1253"/>
      <c r="S8" s="1253"/>
    </row>
    <row r="9" spans="1:19" s="564" customFormat="1" ht="16.5" thickTop="1" thickBot="1">
      <c r="A9" s="593" t="s">
        <v>116</v>
      </c>
      <c r="B9" s="594">
        <f>SUM(B4:B8)</f>
        <v>1507.3970815474909</v>
      </c>
      <c r="C9" s="595">
        <f t="shared" ref="C9:L9" si="0">SUM(C7:C8)</f>
        <v>0</v>
      </c>
      <c r="D9" s="595">
        <f t="shared" si="0"/>
        <v>0</v>
      </c>
      <c r="E9" s="595">
        <f t="shared" si="0"/>
        <v>0</v>
      </c>
      <c r="F9" s="595">
        <f t="shared" si="0"/>
        <v>0</v>
      </c>
      <c r="G9" s="595">
        <f t="shared" si="0"/>
        <v>0</v>
      </c>
      <c r="H9" s="595">
        <f t="shared" si="0"/>
        <v>0</v>
      </c>
      <c r="I9" s="595">
        <f t="shared" si="0"/>
        <v>0</v>
      </c>
      <c r="J9" s="595">
        <f t="shared" si="0"/>
        <v>0</v>
      </c>
      <c r="K9" s="595">
        <f t="shared" si="0"/>
        <v>0</v>
      </c>
      <c r="L9" s="595">
        <f t="shared" si="0"/>
        <v>0</v>
      </c>
      <c r="M9" s="596">
        <f>SUM(M4:M8)</f>
        <v>0</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236" t="s">
        <v>253</v>
      </c>
      <c r="B13" s="1236" t="s">
        <v>254</v>
      </c>
      <c r="C13" s="1243" t="s">
        <v>255</v>
      </c>
      <c r="D13" s="1244"/>
      <c r="E13" s="1244"/>
      <c r="F13" s="1244"/>
      <c r="G13" s="1244"/>
      <c r="H13" s="1244"/>
      <c r="I13" s="1244"/>
      <c r="J13" s="1244"/>
      <c r="K13" s="1244"/>
      <c r="L13" s="1245"/>
      <c r="M13" s="1240" t="s">
        <v>244</v>
      </c>
      <c r="N13" s="1257" t="s">
        <v>256</v>
      </c>
      <c r="O13" s="1240"/>
      <c r="P13" s="1235"/>
      <c r="Q13" s="1235"/>
      <c r="R13" s="1235"/>
    </row>
    <row r="14" spans="1:19" s="564" customFormat="1" ht="15.75" thickBot="1">
      <c r="A14" s="1237"/>
      <c r="B14" s="1237"/>
      <c r="C14" s="1259" t="s">
        <v>197</v>
      </c>
      <c r="D14" s="1260"/>
      <c r="E14" s="1260"/>
      <c r="F14" s="1260"/>
      <c r="G14" s="1261"/>
      <c r="H14" s="1262" t="s">
        <v>245</v>
      </c>
      <c r="I14" s="1262" t="s">
        <v>246</v>
      </c>
      <c r="J14" s="1263" t="s">
        <v>234</v>
      </c>
      <c r="K14" s="1251" t="s">
        <v>257</v>
      </c>
      <c r="L14" s="1233" t="s">
        <v>127</v>
      </c>
      <c r="M14" s="1241"/>
      <c r="N14" s="1258"/>
      <c r="O14" s="1241"/>
      <c r="P14" s="1235"/>
      <c r="Q14" s="1235"/>
      <c r="R14" s="1235"/>
    </row>
    <row r="15" spans="1:19" s="564" customFormat="1" ht="40.700000000000003" customHeight="1" thickBot="1">
      <c r="A15" s="1238"/>
      <c r="B15" s="1238"/>
      <c r="C15" s="606" t="s">
        <v>199</v>
      </c>
      <c r="D15" s="566" t="s">
        <v>200</v>
      </c>
      <c r="E15" s="607" t="s">
        <v>201</v>
      </c>
      <c r="F15" s="566" t="s">
        <v>203</v>
      </c>
      <c r="G15" s="608" t="s">
        <v>204</v>
      </c>
      <c r="H15" s="1250"/>
      <c r="I15" s="1250"/>
      <c r="J15" s="1264"/>
      <c r="K15" s="1252"/>
      <c r="L15" s="1265"/>
      <c r="M15" s="1242"/>
      <c r="N15" s="1239"/>
      <c r="O15" s="1242"/>
      <c r="P15" s="1235"/>
      <c r="Q15" s="1235"/>
      <c r="R15" s="1235"/>
    </row>
    <row r="16" spans="1:19" s="564" customFormat="1" ht="15.75" thickTop="1">
      <c r="A16" s="609" t="s">
        <v>252</v>
      </c>
      <c r="B16" s="610">
        <f>O57</f>
        <v>0</v>
      </c>
      <c r="C16" s="611">
        <f>B101</f>
        <v>0</v>
      </c>
      <c r="D16" s="612"/>
      <c r="E16" s="612">
        <f>E101</f>
        <v>0</v>
      </c>
      <c r="F16" s="613"/>
      <c r="G16" s="614"/>
      <c r="H16" s="611">
        <f>I101</f>
        <v>0</v>
      </c>
      <c r="I16" s="612">
        <f>G101+F101</f>
        <v>0</v>
      </c>
      <c r="J16" s="612">
        <f>H101+D101+C101</f>
        <v>0</v>
      </c>
      <c r="K16" s="612"/>
      <c r="L16" s="615"/>
      <c r="M16" s="616">
        <f>C16*$C$21+E16*$E$21+H16*$H$21+I16*$I$21+J16*$J$21+D16*$D$21+F16*$F$21+G16*$G$21+K16*$K$21+L16*$L$21</f>
        <v>0</v>
      </c>
      <c r="N16" s="1275"/>
      <c r="O16" s="1276"/>
      <c r="P16" s="617"/>
      <c r="Q16" s="1277"/>
      <c r="R16" s="1277"/>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278"/>
      <c r="O17" s="1279"/>
      <c r="P17" s="574"/>
      <c r="Q17" s="1253"/>
      <c r="R17" s="1253"/>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280"/>
      <c r="O18" s="1281"/>
      <c r="P18" s="574"/>
      <c r="Q18" s="1253"/>
      <c r="R18" s="1253"/>
    </row>
    <row r="19" spans="1:26" s="564" customFormat="1" ht="16.5" thickTop="1" thickBot="1">
      <c r="A19" s="593" t="s">
        <v>116</v>
      </c>
      <c r="B19" s="594">
        <f>SUM(B16:B18)</f>
        <v>0</v>
      </c>
      <c r="C19" s="594">
        <f>SUM(C16:C18)</f>
        <v>0</v>
      </c>
      <c r="D19" s="594">
        <f t="shared" ref="D19:M19" si="1">SUM(D16:D18)</f>
        <v>0</v>
      </c>
      <c r="E19" s="594">
        <f t="shared" si="1"/>
        <v>0</v>
      </c>
      <c r="F19" s="594">
        <f t="shared" si="1"/>
        <v>0</v>
      </c>
      <c r="G19" s="594">
        <f t="shared" si="1"/>
        <v>0</v>
      </c>
      <c r="H19" s="594">
        <f t="shared" si="1"/>
        <v>0</v>
      </c>
      <c r="I19" s="594">
        <f t="shared" si="1"/>
        <v>0</v>
      </c>
      <c r="J19" s="594">
        <f t="shared" si="1"/>
        <v>0</v>
      </c>
      <c r="K19" s="594">
        <f t="shared" si="1"/>
        <v>0</v>
      </c>
      <c r="L19" s="594">
        <f t="shared" si="1"/>
        <v>0</v>
      </c>
      <c r="M19" s="621">
        <f t="shared" si="1"/>
        <v>0</v>
      </c>
      <c r="N19" s="1272"/>
      <c r="O19" s="1273"/>
      <c r="P19" s="574"/>
      <c r="Q19" s="1274"/>
      <c r="R19" s="1274"/>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12.75">
      <c r="A27" s="625"/>
      <c r="B27" s="852"/>
      <c r="C27" s="852"/>
      <c r="D27" s="673"/>
      <c r="E27" s="672"/>
      <c r="F27" s="672"/>
      <c r="G27" s="672"/>
      <c r="H27" s="672"/>
      <c r="I27" s="672"/>
      <c r="J27" s="851"/>
      <c r="K27" s="851"/>
      <c r="L27" s="672"/>
      <c r="M27" s="672"/>
      <c r="N27" s="672"/>
      <c r="O27" s="672"/>
      <c r="P27" s="672"/>
      <c r="Q27" s="672"/>
      <c r="R27" s="672"/>
      <c r="S27" s="672"/>
      <c r="T27" s="672"/>
      <c r="U27" s="672"/>
      <c r="V27" s="672"/>
      <c r="W27" s="672"/>
      <c r="X27" s="672"/>
      <c r="Y27" s="672"/>
      <c r="Z27" s="674"/>
    </row>
    <row r="28" spans="1:26" s="626" customFormat="1" ht="12.75">
      <c r="A28" s="625"/>
      <c r="B28" s="852"/>
      <c r="C28" s="852"/>
      <c r="D28" s="673"/>
      <c r="E28" s="672"/>
      <c r="F28" s="672"/>
      <c r="G28" s="672"/>
      <c r="H28" s="672"/>
      <c r="I28" s="672"/>
      <c r="J28" s="851"/>
      <c r="K28" s="851"/>
      <c r="L28" s="672"/>
      <c r="M28" s="672"/>
      <c r="N28" s="672"/>
      <c r="O28" s="672"/>
      <c r="P28" s="672"/>
      <c r="Q28" s="672"/>
      <c r="R28" s="672"/>
      <c r="S28" s="672"/>
      <c r="T28" s="672"/>
      <c r="U28" s="672"/>
      <c r="V28" s="672"/>
      <c r="W28" s="672"/>
      <c r="X28" s="672"/>
      <c r="Y28" s="672"/>
      <c r="Z28" s="674"/>
    </row>
    <row r="29" spans="1:26" s="626" customFormat="1" ht="12.75">
      <c r="A29" s="625"/>
      <c r="B29" s="852"/>
      <c r="C29" s="852"/>
      <c r="D29" s="673"/>
      <c r="E29" s="672"/>
      <c r="F29" s="672"/>
      <c r="G29" s="672"/>
      <c r="H29" s="672"/>
      <c r="I29" s="672"/>
      <c r="J29" s="851"/>
      <c r="K29" s="851"/>
      <c r="L29" s="672"/>
      <c r="M29" s="672"/>
      <c r="N29" s="672"/>
      <c r="O29" s="672"/>
      <c r="P29" s="672"/>
      <c r="Q29" s="672"/>
      <c r="R29" s="672"/>
      <c r="S29" s="672"/>
      <c r="T29" s="672"/>
      <c r="U29" s="672"/>
      <c r="V29" s="672"/>
      <c r="W29" s="672"/>
      <c r="X29" s="672"/>
      <c r="Y29" s="672"/>
      <c r="Z29" s="674"/>
    </row>
    <row r="30" spans="1:26" s="626" customFormat="1" ht="12.75">
      <c r="A30" s="625"/>
      <c r="B30" s="852"/>
      <c r="C30" s="852"/>
      <c r="D30" s="673"/>
      <c r="E30" s="672"/>
      <c r="F30" s="672"/>
      <c r="G30" s="672"/>
      <c r="H30" s="672"/>
      <c r="I30" s="672"/>
      <c r="J30" s="851"/>
      <c r="K30" s="851"/>
      <c r="L30" s="672"/>
      <c r="M30" s="672"/>
      <c r="N30" s="672"/>
      <c r="O30" s="672"/>
      <c r="P30" s="672"/>
      <c r="Q30" s="672"/>
      <c r="R30" s="672"/>
      <c r="S30" s="672"/>
      <c r="T30" s="672"/>
      <c r="U30" s="672"/>
      <c r="V30" s="672"/>
      <c r="W30" s="672"/>
      <c r="X30" s="672"/>
      <c r="Y30" s="672"/>
      <c r="Z30" s="674"/>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0</v>
      </c>
      <c r="N57" s="630">
        <f>SUM(N27:N56)</f>
        <v>0</v>
      </c>
      <c r="O57" s="630">
        <f t="shared" ref="O57:W57" si="2">SUM(O27:O56)</f>
        <v>0</v>
      </c>
      <c r="P57" s="630">
        <f t="shared" si="2"/>
        <v>0</v>
      </c>
      <c r="Q57" s="630">
        <f t="shared" si="2"/>
        <v>0</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0</v>
      </c>
      <c r="N59" s="630">
        <f ca="1">SUMIF($Z$27:AB56,"tertiair",N27:N56)</f>
        <v>0</v>
      </c>
      <c r="O59" s="630">
        <f ca="1">SUMIF($Z$27:AC56,"tertiair",O27:O56)</f>
        <v>0</v>
      </c>
      <c r="P59" s="630">
        <f ca="1">SUMIF($Z$27:AD56,"tertiair",P27:P56)</f>
        <v>0</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0</v>
      </c>
      <c r="N60" s="635">
        <f t="shared" ref="N60:W60" si="4">SUMIF($Z$27:$Z$56,"landbouw",N27:N56)</f>
        <v>0</v>
      </c>
      <c r="O60" s="635">
        <f t="shared" si="4"/>
        <v>0</v>
      </c>
      <c r="P60" s="635">
        <f t="shared" si="4"/>
        <v>0</v>
      </c>
      <c r="Q60" s="635">
        <f t="shared" si="4"/>
        <v>0</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12.75">
      <c r="A63" s="627"/>
      <c r="B63" s="852"/>
      <c r="C63" s="852"/>
      <c r="D63" s="675"/>
      <c r="E63" s="675"/>
      <c r="F63" s="675"/>
      <c r="G63" s="675"/>
      <c r="H63" s="675"/>
      <c r="I63" s="675"/>
      <c r="J63" s="851"/>
      <c r="K63" s="851"/>
      <c r="L63" s="675"/>
      <c r="M63" s="675"/>
      <c r="N63" s="675"/>
      <c r="O63" s="675"/>
      <c r="P63" s="675"/>
      <c r="Q63" s="675"/>
      <c r="R63" s="675"/>
      <c r="S63" s="675"/>
      <c r="T63" s="675"/>
      <c r="U63" s="675"/>
      <c r="V63" s="675"/>
      <c r="W63" s="675"/>
      <c r="X63" s="675"/>
      <c r="Y63" s="675"/>
      <c r="Z63" s="676"/>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0</v>
      </c>
      <c r="N88" s="630">
        <f t="shared" ref="N88:W88" si="5">SUM(N63:N87)</f>
        <v>0</v>
      </c>
      <c r="O88" s="630">
        <f t="shared" si="5"/>
        <v>0</v>
      </c>
      <c r="P88" s="630">
        <f t="shared" si="5"/>
        <v>0</v>
      </c>
      <c r="Q88" s="630">
        <f t="shared" si="5"/>
        <v>0</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v>
      </c>
      <c r="C97" s="655">
        <f>IF(ISERROR(N57/(O57+N57)),0,N57/(N57+O57))</f>
        <v>0</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0</v>
      </c>
      <c r="C100" s="664">
        <f t="shared" si="9"/>
        <v>0</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0</v>
      </c>
      <c r="C101" s="667">
        <f t="shared" ref="C101:H101" si="10">$B$97*Q57</f>
        <v>0</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800</v>
      </c>
      <c r="B10" s="1019">
        <v>2017</v>
      </c>
      <c r="C10" s="1013" t="s">
        <v>802</v>
      </c>
      <c r="D10" s="1013" t="s">
        <v>801</v>
      </c>
      <c r="E10" s="376" t="s">
        <v>799</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806</v>
      </c>
      <c r="C18" s="971" t="s">
        <v>808</v>
      </c>
      <c r="D18" s="973" t="s">
        <v>809</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807</v>
      </c>
      <c r="C22" s="374" t="s">
        <v>411</v>
      </c>
      <c r="D22" s="374" t="s">
        <v>810</v>
      </c>
      <c r="E22" s="371"/>
      <c r="F22" s="1017" t="s">
        <v>818</v>
      </c>
      <c r="G22" s="1017" t="s">
        <v>819</v>
      </c>
      <c r="H22" s="1017" t="s">
        <v>820</v>
      </c>
      <c r="I22"/>
    </row>
    <row r="23" spans="1:10" s="959" customFormat="1">
      <c r="A23" s="374" t="s">
        <v>411</v>
      </c>
      <c r="B23" s="860" t="s">
        <v>806</v>
      </c>
      <c r="C23" s="374" t="s">
        <v>411</v>
      </c>
      <c r="D23" s="374" t="s">
        <v>811</v>
      </c>
      <c r="E23" s="371"/>
      <c r="F23" s="1017" t="s">
        <v>815</v>
      </c>
      <c r="G23" s="1017" t="s">
        <v>816</v>
      </c>
      <c r="H23" s="1017" t="s">
        <v>817</v>
      </c>
    </row>
    <row r="24" spans="1:10" s="11" customFormat="1">
      <c r="A24" s="374" t="s">
        <v>409</v>
      </c>
      <c r="B24" s="1008" t="str">
        <f>"maart 2016"</f>
        <v>maart 2016</v>
      </c>
      <c r="C24" s="374" t="s">
        <v>409</v>
      </c>
      <c r="D24" s="374" t="s">
        <v>670</v>
      </c>
      <c r="E24" s="375" t="s">
        <v>671</v>
      </c>
      <c r="F24" s="1017" t="s">
        <v>821</v>
      </c>
      <c r="G24" s="1017" t="s">
        <v>822</v>
      </c>
      <c r="H24" s="1017" t="s">
        <v>823</v>
      </c>
      <c r="I24" s="959"/>
      <c r="J24" s="959"/>
    </row>
    <row r="25" spans="1:10" s="11" customFormat="1">
      <c r="A25" s="374" t="s">
        <v>409</v>
      </c>
      <c r="B25" s="1008" t="str">
        <f>"maart 2016"</f>
        <v>maart 2016</v>
      </c>
      <c r="C25" s="374" t="s">
        <v>409</v>
      </c>
      <c r="D25" s="1009" t="s">
        <v>647</v>
      </c>
      <c r="E25" s="375" t="s">
        <v>426</v>
      </c>
      <c r="F25" s="1017" t="s">
        <v>821</v>
      </c>
      <c r="G25" s="1017" t="s">
        <v>822</v>
      </c>
      <c r="H25" s="101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4"/>
      <c r="B4" s="474"/>
      <c r="C4" s="63"/>
      <c r="D4" s="63"/>
      <c r="E4" s="63"/>
      <c r="F4" s="63"/>
      <c r="G4" s="63"/>
      <c r="H4" s="63"/>
      <c r="I4" s="63"/>
      <c r="J4" s="63"/>
      <c r="K4" s="63"/>
      <c r="L4" s="63"/>
      <c r="M4" s="63"/>
      <c r="N4" s="63"/>
      <c r="O4" s="63"/>
      <c r="P4" s="63"/>
      <c r="Q4" s="63"/>
      <c r="R4" s="63"/>
    </row>
    <row r="5" spans="1:19" ht="16.5" thickBot="1">
      <c r="A5" s="1084" t="s">
        <v>222</v>
      </c>
      <c r="B5" s="861"/>
      <c r="C5" s="1087" t="s">
        <v>343</v>
      </c>
      <c r="D5" s="1088"/>
      <c r="E5" s="1088"/>
      <c r="F5" s="1088"/>
      <c r="G5" s="1088"/>
      <c r="H5" s="1088"/>
      <c r="I5" s="1088"/>
      <c r="J5" s="1088"/>
      <c r="K5" s="1088"/>
      <c r="L5" s="1088"/>
      <c r="M5" s="1088"/>
      <c r="N5" s="1088"/>
      <c r="O5" s="1088"/>
      <c r="P5" s="1088"/>
      <c r="Q5" s="1088"/>
      <c r="R5" s="1089"/>
    </row>
    <row r="6" spans="1:19" ht="16.5" thickTop="1">
      <c r="A6" s="1085"/>
      <c r="B6" s="862"/>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3"/>
      <c r="C7" s="1091"/>
      <c r="D7" s="1093"/>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098"/>
    </row>
    <row r="8" spans="1:19" ht="18.75" customHeight="1" thickTop="1">
      <c r="A8" s="870" t="s">
        <v>344</v>
      </c>
      <c r="B8" s="875"/>
      <c r="C8" s="1099"/>
      <c r="D8" s="1099"/>
      <c r="E8" s="1099"/>
      <c r="F8" s="1099"/>
      <c r="G8" s="1099"/>
      <c r="H8" s="1099"/>
      <c r="I8" s="1099"/>
      <c r="J8" s="1099"/>
      <c r="K8" s="1099"/>
      <c r="L8" s="1099"/>
      <c r="M8" s="1099"/>
      <c r="N8" s="1099"/>
      <c r="O8" s="1099"/>
      <c r="P8" s="1099"/>
      <c r="Q8" s="1099"/>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37497.992699999995</v>
      </c>
      <c r="D10" s="719">
        <f ca="1">tertiair!C16</f>
        <v>0</v>
      </c>
      <c r="E10" s="719">
        <f ca="1">tertiair!D16</f>
        <v>37200.489327360308</v>
      </c>
      <c r="F10" s="719">
        <f>tertiair!E16</f>
        <v>507.03247595593729</v>
      </c>
      <c r="G10" s="719">
        <f ca="1">tertiair!F16</f>
        <v>5473.3774421249382</v>
      </c>
      <c r="H10" s="719">
        <f>tertiair!G16</f>
        <v>0</v>
      </c>
      <c r="I10" s="719">
        <f>tertiair!H16</f>
        <v>0</v>
      </c>
      <c r="J10" s="719">
        <f>tertiair!I16</f>
        <v>0</v>
      </c>
      <c r="K10" s="719">
        <f>tertiair!J16</f>
        <v>0</v>
      </c>
      <c r="L10" s="719">
        <f>tertiair!K16</f>
        <v>0</v>
      </c>
      <c r="M10" s="719">
        <f ca="1">tertiair!L16</f>
        <v>0</v>
      </c>
      <c r="N10" s="719">
        <f>tertiair!M16</f>
        <v>0</v>
      </c>
      <c r="O10" s="719">
        <f ca="1">tertiair!N16</f>
        <v>1979.6371603877537</v>
      </c>
      <c r="P10" s="719">
        <f>tertiair!O16</f>
        <v>7.8166666666666664</v>
      </c>
      <c r="Q10" s="720">
        <f>tertiair!P16</f>
        <v>19.066666666666666</v>
      </c>
      <c r="R10" s="722">
        <f ca="1">SUM(C10:Q10)</f>
        <v>82685.412439162261</v>
      </c>
      <c r="S10" s="67"/>
    </row>
    <row r="11" spans="1:19" s="475" customFormat="1">
      <c r="A11" s="871" t="s">
        <v>225</v>
      </c>
      <c r="B11" s="876"/>
      <c r="C11" s="719">
        <f>huishoudens!B8</f>
        <v>30223.396404504048</v>
      </c>
      <c r="D11" s="719">
        <f>huishoudens!C8</f>
        <v>0</v>
      </c>
      <c r="E11" s="719">
        <f>huishoudens!D8</f>
        <v>43956.874054115156</v>
      </c>
      <c r="F11" s="719">
        <f>huishoudens!E8</f>
        <v>710.53781044452728</v>
      </c>
      <c r="G11" s="719">
        <f>huishoudens!F8</f>
        <v>0</v>
      </c>
      <c r="H11" s="719">
        <f>huishoudens!G8</f>
        <v>0</v>
      </c>
      <c r="I11" s="719">
        <f>huishoudens!H8</f>
        <v>0</v>
      </c>
      <c r="J11" s="719">
        <f>huishoudens!I8</f>
        <v>0</v>
      </c>
      <c r="K11" s="719">
        <f>huishoudens!J8</f>
        <v>0</v>
      </c>
      <c r="L11" s="719">
        <f>huishoudens!K8</f>
        <v>0</v>
      </c>
      <c r="M11" s="719">
        <f>huishoudens!L8</f>
        <v>0</v>
      </c>
      <c r="N11" s="719">
        <f>huishoudens!M8</f>
        <v>0</v>
      </c>
      <c r="O11" s="719">
        <f>huishoudens!N8</f>
        <v>2694.544621773251</v>
      </c>
      <c r="P11" s="719">
        <f>huishoudens!O8</f>
        <v>85.983333333333334</v>
      </c>
      <c r="Q11" s="720">
        <f>huishoudens!P8</f>
        <v>57.2</v>
      </c>
      <c r="R11" s="722">
        <f>SUM(C11:Q11)</f>
        <v>77728.536224170311</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5237.6506499999996</v>
      </c>
      <c r="D13" s="719">
        <f>industrie!C18</f>
        <v>0</v>
      </c>
      <c r="E13" s="719">
        <f>industrie!D18</f>
        <v>3615.6975253206747</v>
      </c>
      <c r="F13" s="719">
        <f>industrie!E18</f>
        <v>605.08188023279024</v>
      </c>
      <c r="G13" s="719">
        <f>industrie!F18</f>
        <v>6190.3028570266397</v>
      </c>
      <c r="H13" s="719">
        <f>industrie!G18</f>
        <v>0</v>
      </c>
      <c r="I13" s="719">
        <f>industrie!H18</f>
        <v>0</v>
      </c>
      <c r="J13" s="719">
        <f>industrie!I18</f>
        <v>0</v>
      </c>
      <c r="K13" s="719">
        <f>industrie!J18</f>
        <v>57.398431486817898</v>
      </c>
      <c r="L13" s="719">
        <f>industrie!K18</f>
        <v>0</v>
      </c>
      <c r="M13" s="719">
        <f>industrie!L18</f>
        <v>0</v>
      </c>
      <c r="N13" s="719">
        <f>industrie!M18</f>
        <v>0</v>
      </c>
      <c r="O13" s="719">
        <f>industrie!N18</f>
        <v>1963.3126345058129</v>
      </c>
      <c r="P13" s="719">
        <f>industrie!O18</f>
        <v>0</v>
      </c>
      <c r="Q13" s="720">
        <f>industrie!P18</f>
        <v>0</v>
      </c>
      <c r="R13" s="722">
        <f>SUM(C13:Q13)</f>
        <v>17669.443978572734</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72959.039754504047</v>
      </c>
      <c r="D15" s="724">
        <f t="shared" ref="D15:Q15" ca="1" si="0">SUM(D9:D14)</f>
        <v>0</v>
      </c>
      <c r="E15" s="724">
        <f t="shared" ca="1" si="0"/>
        <v>84773.060906796149</v>
      </c>
      <c r="F15" s="724">
        <f t="shared" si="0"/>
        <v>1822.6521666332546</v>
      </c>
      <c r="G15" s="724">
        <f t="shared" ca="1" si="0"/>
        <v>11663.680299151578</v>
      </c>
      <c r="H15" s="724">
        <f t="shared" si="0"/>
        <v>0</v>
      </c>
      <c r="I15" s="724">
        <f t="shared" si="0"/>
        <v>0</v>
      </c>
      <c r="J15" s="724">
        <f t="shared" si="0"/>
        <v>0</v>
      </c>
      <c r="K15" s="724">
        <f t="shared" si="0"/>
        <v>57.398431486817898</v>
      </c>
      <c r="L15" s="724">
        <f t="shared" si="0"/>
        <v>0</v>
      </c>
      <c r="M15" s="724">
        <f t="shared" ca="1" si="0"/>
        <v>0</v>
      </c>
      <c r="N15" s="724">
        <f t="shared" si="0"/>
        <v>0</v>
      </c>
      <c r="O15" s="724">
        <f t="shared" ca="1" si="0"/>
        <v>6637.4944166668174</v>
      </c>
      <c r="P15" s="724">
        <f t="shared" si="0"/>
        <v>93.8</v>
      </c>
      <c r="Q15" s="725">
        <f t="shared" si="0"/>
        <v>76.266666666666666</v>
      </c>
      <c r="R15" s="726">
        <f ca="1">SUM(R9:R14)</f>
        <v>178083.39264190529</v>
      </c>
      <c r="S15" s="67"/>
    </row>
    <row r="16" spans="1:19" s="475" customFormat="1" ht="15.75">
      <c r="A16" s="873" t="s">
        <v>227</v>
      </c>
      <c r="B16" s="769"/>
      <c r="C16" s="1100"/>
      <c r="D16" s="1100"/>
      <c r="E16" s="1100"/>
      <c r="F16" s="1100"/>
      <c r="G16" s="1100"/>
      <c r="H16" s="1100"/>
      <c r="I16" s="1100"/>
      <c r="J16" s="1100"/>
      <c r="K16" s="1100"/>
      <c r="L16" s="1100"/>
      <c r="M16" s="1100"/>
      <c r="N16" s="1100"/>
      <c r="O16" s="1100"/>
      <c r="P16" s="1100"/>
      <c r="Q16" s="1100"/>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816.55705804772651</v>
      </c>
      <c r="D18" s="719">
        <f>transport!C54</f>
        <v>0</v>
      </c>
      <c r="E18" s="719">
        <f>transport!D54</f>
        <v>0</v>
      </c>
      <c r="F18" s="719">
        <f>transport!E54</f>
        <v>0</v>
      </c>
      <c r="G18" s="719">
        <f>transport!F54</f>
        <v>0</v>
      </c>
      <c r="H18" s="719">
        <f>transport!G54</f>
        <v>648.70658173728634</v>
      </c>
      <c r="I18" s="719">
        <f>transport!H54</f>
        <v>0</v>
      </c>
      <c r="J18" s="719">
        <f>transport!I54</f>
        <v>0</v>
      </c>
      <c r="K18" s="719">
        <f>transport!J54</f>
        <v>0</v>
      </c>
      <c r="L18" s="719">
        <f>transport!K54</f>
        <v>0</v>
      </c>
      <c r="M18" s="719">
        <f>transport!L54</f>
        <v>0</v>
      </c>
      <c r="N18" s="719">
        <f>transport!M54</f>
        <v>36.993845274635909</v>
      </c>
      <c r="O18" s="719">
        <f>transport!N54</f>
        <v>0</v>
      </c>
      <c r="P18" s="719">
        <f>transport!O54</f>
        <v>0</v>
      </c>
      <c r="Q18" s="720">
        <f>transport!P54</f>
        <v>0</v>
      </c>
      <c r="R18" s="722">
        <f>SUM(C18:Q18)</f>
        <v>1502.2574850596488</v>
      </c>
      <c r="S18" s="67"/>
    </row>
    <row r="19" spans="1:19" s="475" customFormat="1" ht="15" thickBot="1">
      <c r="A19" s="871" t="s">
        <v>307</v>
      </c>
      <c r="B19" s="876"/>
      <c r="C19" s="728">
        <f>transport!B14</f>
        <v>12.430986257910272</v>
      </c>
      <c r="D19" s="728">
        <f>transport!C14</f>
        <v>0</v>
      </c>
      <c r="E19" s="728">
        <f>transport!D14</f>
        <v>30.359797770685191</v>
      </c>
      <c r="F19" s="728">
        <f>transport!E14</f>
        <v>225.67405282677964</v>
      </c>
      <c r="G19" s="728">
        <f>transport!F14</f>
        <v>0</v>
      </c>
      <c r="H19" s="728">
        <f>transport!G14</f>
        <v>92335.828250481194</v>
      </c>
      <c r="I19" s="728">
        <f>transport!H14</f>
        <v>11858.375726600118</v>
      </c>
      <c r="J19" s="728">
        <f>transport!I14</f>
        <v>0</v>
      </c>
      <c r="K19" s="728">
        <f>transport!J14</f>
        <v>0</v>
      </c>
      <c r="L19" s="728">
        <f>transport!K14</f>
        <v>0</v>
      </c>
      <c r="M19" s="728">
        <f>transport!L14</f>
        <v>0</v>
      </c>
      <c r="N19" s="728">
        <f>transport!M14</f>
        <v>5706.243099864123</v>
      </c>
      <c r="O19" s="728">
        <f>transport!N14</f>
        <v>0</v>
      </c>
      <c r="P19" s="728">
        <f>transport!O14</f>
        <v>0</v>
      </c>
      <c r="Q19" s="729">
        <f>transport!P14</f>
        <v>0</v>
      </c>
      <c r="R19" s="730">
        <f>SUM(C19:Q19)</f>
        <v>110168.91191380081</v>
      </c>
      <c r="S19" s="67"/>
    </row>
    <row r="20" spans="1:19" s="475" customFormat="1" ht="15.75" thickBot="1">
      <c r="A20" s="731" t="s">
        <v>230</v>
      </c>
      <c r="B20" s="879"/>
      <c r="C20" s="874">
        <f>SUM(C17:C19)</f>
        <v>828.98804430563678</v>
      </c>
      <c r="D20" s="732">
        <f t="shared" ref="D20:R20" si="1">SUM(D17:D19)</f>
        <v>0</v>
      </c>
      <c r="E20" s="732">
        <f t="shared" si="1"/>
        <v>30.359797770685191</v>
      </c>
      <c r="F20" s="732">
        <f t="shared" si="1"/>
        <v>225.67405282677964</v>
      </c>
      <c r="G20" s="732">
        <f t="shared" si="1"/>
        <v>0</v>
      </c>
      <c r="H20" s="732">
        <f t="shared" si="1"/>
        <v>92984.534832218487</v>
      </c>
      <c r="I20" s="732">
        <f t="shared" si="1"/>
        <v>11858.375726600118</v>
      </c>
      <c r="J20" s="732">
        <f t="shared" si="1"/>
        <v>0</v>
      </c>
      <c r="K20" s="732">
        <f t="shared" si="1"/>
        <v>0</v>
      </c>
      <c r="L20" s="732">
        <f t="shared" si="1"/>
        <v>0</v>
      </c>
      <c r="M20" s="732">
        <f t="shared" si="1"/>
        <v>0</v>
      </c>
      <c r="N20" s="732">
        <f t="shared" si="1"/>
        <v>5743.2369451387585</v>
      </c>
      <c r="O20" s="732">
        <f t="shared" si="1"/>
        <v>0</v>
      </c>
      <c r="P20" s="732">
        <f t="shared" si="1"/>
        <v>0</v>
      </c>
      <c r="Q20" s="733">
        <f t="shared" si="1"/>
        <v>0</v>
      </c>
      <c r="R20" s="734">
        <f t="shared" si="1"/>
        <v>111671.16939886045</v>
      </c>
      <c r="S20" s="67"/>
    </row>
    <row r="21" spans="1:19" s="475" customFormat="1" ht="15.75">
      <c r="A21" s="873" t="s">
        <v>237</v>
      </c>
      <c r="B21" s="769"/>
      <c r="C21" s="1100"/>
      <c r="D21" s="1100"/>
      <c r="E21" s="1100"/>
      <c r="F21" s="1100"/>
      <c r="G21" s="1100"/>
      <c r="H21" s="1100"/>
      <c r="I21" s="1100"/>
      <c r="J21" s="1100"/>
      <c r="K21" s="1100"/>
      <c r="L21" s="1100"/>
      <c r="M21" s="1100"/>
      <c r="N21" s="1100"/>
      <c r="O21" s="1100"/>
      <c r="P21" s="1100"/>
      <c r="Q21" s="1100"/>
      <c r="R21" s="727"/>
      <c r="S21" s="67"/>
    </row>
    <row r="22" spans="1:19" s="475" customFormat="1" ht="15" thickBot="1">
      <c r="A22" s="871" t="s">
        <v>648</v>
      </c>
      <c r="B22" s="880"/>
      <c r="C22" s="728">
        <f>+landbouw!B8</f>
        <v>1098.7521000000002</v>
      </c>
      <c r="D22" s="728">
        <f>+landbouw!C8</f>
        <v>0</v>
      </c>
      <c r="E22" s="728">
        <f>+landbouw!D8</f>
        <v>6045.5375116023715</v>
      </c>
      <c r="F22" s="728">
        <f>+landbouw!E8</f>
        <v>10.17710214988192</v>
      </c>
      <c r="G22" s="728">
        <f>+landbouw!F8</f>
        <v>2787.74338976025</v>
      </c>
      <c r="H22" s="728">
        <f>+landbouw!G8</f>
        <v>0</v>
      </c>
      <c r="I22" s="728">
        <f>+landbouw!H8</f>
        <v>0</v>
      </c>
      <c r="J22" s="728">
        <f>+landbouw!I8</f>
        <v>0</v>
      </c>
      <c r="K22" s="728">
        <f>+landbouw!J8</f>
        <v>168.45095903922413</v>
      </c>
      <c r="L22" s="728">
        <f>+landbouw!K8</f>
        <v>0</v>
      </c>
      <c r="M22" s="728">
        <f>+landbouw!L8</f>
        <v>0</v>
      </c>
      <c r="N22" s="728">
        <f>+landbouw!M8</f>
        <v>0</v>
      </c>
      <c r="O22" s="728">
        <f>+landbouw!N8</f>
        <v>0</v>
      </c>
      <c r="P22" s="728">
        <f>+landbouw!O8</f>
        <v>0</v>
      </c>
      <c r="Q22" s="729">
        <f>+landbouw!P8</f>
        <v>0</v>
      </c>
      <c r="R22" s="730">
        <f>SUM(C22:Q22)</f>
        <v>10110.661062551728</v>
      </c>
      <c r="S22" s="67"/>
    </row>
    <row r="23" spans="1:19" s="475" customFormat="1" ht="17.25" thickTop="1" thickBot="1">
      <c r="A23" s="735" t="s">
        <v>116</v>
      </c>
      <c r="B23" s="865"/>
      <c r="C23" s="736">
        <f ca="1">C20+C15+C22</f>
        <v>74886.779898809677</v>
      </c>
      <c r="D23" s="736">
        <f t="shared" ref="D23:Q23" ca="1" si="2">D20+D15+D22</f>
        <v>0</v>
      </c>
      <c r="E23" s="736">
        <f t="shared" ca="1" si="2"/>
        <v>90848.958216169209</v>
      </c>
      <c r="F23" s="736">
        <f t="shared" si="2"/>
        <v>2058.5033216099164</v>
      </c>
      <c r="G23" s="736">
        <f t="shared" ca="1" si="2"/>
        <v>14451.423688911827</v>
      </c>
      <c r="H23" s="736">
        <f t="shared" si="2"/>
        <v>92984.534832218487</v>
      </c>
      <c r="I23" s="736">
        <f t="shared" si="2"/>
        <v>11858.375726600118</v>
      </c>
      <c r="J23" s="736">
        <f t="shared" si="2"/>
        <v>0</v>
      </c>
      <c r="K23" s="736">
        <f t="shared" si="2"/>
        <v>225.84939052604204</v>
      </c>
      <c r="L23" s="736">
        <f t="shared" si="2"/>
        <v>0</v>
      </c>
      <c r="M23" s="736">
        <f t="shared" ca="1" si="2"/>
        <v>0</v>
      </c>
      <c r="N23" s="736">
        <f t="shared" si="2"/>
        <v>5743.2369451387585</v>
      </c>
      <c r="O23" s="736">
        <f t="shared" ca="1" si="2"/>
        <v>6637.4944166668174</v>
      </c>
      <c r="P23" s="736">
        <f t="shared" si="2"/>
        <v>93.8</v>
      </c>
      <c r="Q23" s="737">
        <f t="shared" si="2"/>
        <v>76.266666666666666</v>
      </c>
      <c r="R23" s="738">
        <f ca="1">R20+R15+R22</f>
        <v>299865.22310331749</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101"/>
      <c r="B27" s="1101"/>
      <c r="C27" s="1101"/>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102"/>
      <c r="B29" s="1102"/>
      <c r="C29" s="1102"/>
      <c r="D29" s="1102"/>
      <c r="E29" s="1102"/>
      <c r="F29" s="1102"/>
      <c r="G29" s="1102"/>
      <c r="H29" s="1102"/>
      <c r="I29" s="1102"/>
      <c r="J29" s="1102"/>
      <c r="K29" s="1102"/>
      <c r="L29" s="1102"/>
      <c r="M29" s="1102"/>
      <c r="N29" s="1102"/>
      <c r="O29" s="1102"/>
      <c r="P29" s="1102"/>
      <c r="Q29" s="1102"/>
      <c r="R29" s="110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103"/>
      <c r="B31" s="883"/>
      <c r="C31" s="1105" t="s">
        <v>347</v>
      </c>
      <c r="D31" s="1106"/>
      <c r="E31" s="1106"/>
      <c r="F31" s="1106"/>
      <c r="G31" s="1106"/>
      <c r="H31" s="1106"/>
      <c r="I31" s="1106"/>
      <c r="J31" s="1106"/>
      <c r="K31" s="1106"/>
      <c r="L31" s="1106"/>
      <c r="M31" s="1106"/>
      <c r="N31" s="1106"/>
      <c r="O31" s="1106"/>
      <c r="P31" s="1106"/>
      <c r="Q31" s="1106"/>
      <c r="R31" s="1107"/>
    </row>
    <row r="32" spans="1:19" ht="16.5" thickTop="1">
      <c r="A32" s="1104"/>
      <c r="B32" s="884"/>
      <c r="C32" s="1108" t="s">
        <v>21</v>
      </c>
      <c r="D32" s="1110" t="s">
        <v>232</v>
      </c>
      <c r="E32" s="1112" t="s">
        <v>197</v>
      </c>
      <c r="F32" s="1113"/>
      <c r="G32" s="1113"/>
      <c r="H32" s="1113"/>
      <c r="I32" s="1113"/>
      <c r="J32" s="1113"/>
      <c r="K32" s="1113"/>
      <c r="L32" s="1114"/>
      <c r="M32" s="1112" t="s">
        <v>198</v>
      </c>
      <c r="N32" s="1113"/>
      <c r="O32" s="1113"/>
      <c r="P32" s="1113"/>
      <c r="Q32" s="1113"/>
      <c r="R32" s="1115" t="s">
        <v>116</v>
      </c>
    </row>
    <row r="33" spans="1:18" ht="45.75" thickBot="1">
      <c r="A33" s="1104"/>
      <c r="B33" s="884"/>
      <c r="C33" s="1109"/>
      <c r="D33" s="1111"/>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116"/>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8120.2461081860783</v>
      </c>
      <c r="D36" s="719">
        <f ca="1">tertiair!C20</f>
        <v>0</v>
      </c>
      <c r="E36" s="719">
        <f ca="1">tertiair!D20</f>
        <v>7514.4988441267824</v>
      </c>
      <c r="F36" s="719">
        <f>tertiair!E20</f>
        <v>115.09637204199777</v>
      </c>
      <c r="G36" s="719">
        <f ca="1">tertiair!F20</f>
        <v>1461.3917770473586</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17211.233101402217</v>
      </c>
    </row>
    <row r="37" spans="1:18">
      <c r="A37" s="886" t="s">
        <v>225</v>
      </c>
      <c r="B37" s="893"/>
      <c r="C37" s="719">
        <f ca="1">huishoudens!B12</f>
        <v>6544.9214573514801</v>
      </c>
      <c r="D37" s="719">
        <f ca="1">huishoudens!C12</f>
        <v>0</v>
      </c>
      <c r="E37" s="719">
        <f>huishoudens!D12</f>
        <v>8879.2885589312627</v>
      </c>
      <c r="F37" s="719">
        <f>huishoudens!E12</f>
        <v>161.2920829709077</v>
      </c>
      <c r="G37" s="719">
        <f>huishoudens!F12</f>
        <v>0</v>
      </c>
      <c r="H37" s="719">
        <f>huishoudens!G12</f>
        <v>0</v>
      </c>
      <c r="I37" s="719">
        <f>huishoudens!H12</f>
        <v>0</v>
      </c>
      <c r="J37" s="719">
        <f>huishoudens!I12</f>
        <v>0</v>
      </c>
      <c r="K37" s="719">
        <f>huishoudens!J12</f>
        <v>0</v>
      </c>
      <c r="L37" s="719">
        <f>huishoudens!K12</f>
        <v>0</v>
      </c>
      <c r="M37" s="719">
        <f>huishoudens!L12</f>
        <v>0</v>
      </c>
      <c r="N37" s="719">
        <f>huishoudens!M12</f>
        <v>0</v>
      </c>
      <c r="O37" s="719">
        <f>huishoudens!N12</f>
        <v>0</v>
      </c>
      <c r="P37" s="719">
        <f>huishoudens!O12</f>
        <v>0</v>
      </c>
      <c r="Q37" s="829">
        <f>huishoudens!P12</f>
        <v>0</v>
      </c>
      <c r="R37" s="918">
        <f ca="1">SUM(C37:Q37)</f>
        <v>15585.50209925365</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1134.2210407625575</v>
      </c>
      <c r="D39" s="719">
        <f ca="1">industrie!C22</f>
        <v>0</v>
      </c>
      <c r="E39" s="719">
        <f>industrie!D22</f>
        <v>730.3709001147763</v>
      </c>
      <c r="F39" s="719">
        <f>industrie!E22</f>
        <v>137.35358681284339</v>
      </c>
      <c r="G39" s="719">
        <f>industrie!F22</f>
        <v>1652.810862826113</v>
      </c>
      <c r="H39" s="719">
        <f>industrie!G22</f>
        <v>0</v>
      </c>
      <c r="I39" s="719">
        <f>industrie!H22</f>
        <v>0</v>
      </c>
      <c r="J39" s="719">
        <f>industrie!I22</f>
        <v>0</v>
      </c>
      <c r="K39" s="719">
        <f>industrie!J22</f>
        <v>20.319044746333535</v>
      </c>
      <c r="L39" s="719">
        <f>industrie!K22</f>
        <v>0</v>
      </c>
      <c r="M39" s="719">
        <f>industrie!L22</f>
        <v>0</v>
      </c>
      <c r="N39" s="719">
        <f>industrie!M22</f>
        <v>0</v>
      </c>
      <c r="O39" s="719">
        <f>industrie!N22</f>
        <v>0</v>
      </c>
      <c r="P39" s="719">
        <f>industrie!O22</f>
        <v>0</v>
      </c>
      <c r="Q39" s="829">
        <f>industrie!P22</f>
        <v>0</v>
      </c>
      <c r="R39" s="919">
        <f ca="1">SUM(C39:Q39)</f>
        <v>3675.0754352626236</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15799.388606300115</v>
      </c>
      <c r="D41" s="764">
        <f t="shared" ref="D41:R41" ca="1" si="4">SUM(D35:D40)</f>
        <v>0</v>
      </c>
      <c r="E41" s="764">
        <f t="shared" ca="1" si="4"/>
        <v>17124.158303172822</v>
      </c>
      <c r="F41" s="764">
        <f t="shared" si="4"/>
        <v>413.74204182574886</v>
      </c>
      <c r="G41" s="764">
        <f t="shared" ca="1" si="4"/>
        <v>3114.2026398734715</v>
      </c>
      <c r="H41" s="764">
        <f t="shared" si="4"/>
        <v>0</v>
      </c>
      <c r="I41" s="764">
        <f t="shared" si="4"/>
        <v>0</v>
      </c>
      <c r="J41" s="764">
        <f t="shared" si="4"/>
        <v>0</v>
      </c>
      <c r="K41" s="764">
        <f t="shared" si="4"/>
        <v>20.319044746333535</v>
      </c>
      <c r="L41" s="764">
        <f t="shared" si="4"/>
        <v>0</v>
      </c>
      <c r="M41" s="764">
        <f t="shared" ca="1" si="4"/>
        <v>0</v>
      </c>
      <c r="N41" s="764">
        <f t="shared" si="4"/>
        <v>0</v>
      </c>
      <c r="O41" s="764">
        <f t="shared" ca="1" si="4"/>
        <v>0</v>
      </c>
      <c r="P41" s="764">
        <f t="shared" si="4"/>
        <v>0</v>
      </c>
      <c r="Q41" s="765">
        <f t="shared" si="4"/>
        <v>0</v>
      </c>
      <c r="R41" s="766">
        <f t="shared" ca="1" si="4"/>
        <v>36471.810635918489</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176.82664578266682</v>
      </c>
      <c r="D44" s="719">
        <f ca="1">transport!C58</f>
        <v>0</v>
      </c>
      <c r="E44" s="719">
        <f>transport!D58</f>
        <v>0</v>
      </c>
      <c r="F44" s="719">
        <f>transport!E58</f>
        <v>0</v>
      </c>
      <c r="G44" s="719">
        <f>transport!F58</f>
        <v>0</v>
      </c>
      <c r="H44" s="719">
        <f>transport!G58</f>
        <v>173.20465732385546</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350.03130310652227</v>
      </c>
    </row>
    <row r="45" spans="1:18" ht="15" thickBot="1">
      <c r="A45" s="889" t="s">
        <v>307</v>
      </c>
      <c r="B45" s="899"/>
      <c r="C45" s="728">
        <f ca="1">transport!B18</f>
        <v>2.691948568801938</v>
      </c>
      <c r="D45" s="728">
        <f>transport!C18</f>
        <v>0</v>
      </c>
      <c r="E45" s="728">
        <f>transport!D18</f>
        <v>6.1326791496784088</v>
      </c>
      <c r="F45" s="728">
        <f>transport!E18</f>
        <v>51.228009991678981</v>
      </c>
      <c r="G45" s="728">
        <f>transport!F18</f>
        <v>0</v>
      </c>
      <c r="H45" s="728">
        <f>transport!G18</f>
        <v>24653.666142878479</v>
      </c>
      <c r="I45" s="728">
        <f>transport!H18</f>
        <v>2952.7355559234293</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27666.45433651207</v>
      </c>
    </row>
    <row r="46" spans="1:18" ht="15.75" thickBot="1">
      <c r="A46" s="887" t="s">
        <v>230</v>
      </c>
      <c r="B46" s="900"/>
      <c r="C46" s="764">
        <f t="shared" ref="C46:R46" ca="1" si="5">SUM(C43:C45)</f>
        <v>179.51859435146875</v>
      </c>
      <c r="D46" s="764">
        <f t="shared" ca="1" si="5"/>
        <v>0</v>
      </c>
      <c r="E46" s="764">
        <f t="shared" si="5"/>
        <v>6.1326791496784088</v>
      </c>
      <c r="F46" s="764">
        <f t="shared" si="5"/>
        <v>51.228009991678981</v>
      </c>
      <c r="G46" s="764">
        <f t="shared" si="5"/>
        <v>0</v>
      </c>
      <c r="H46" s="764">
        <f t="shared" si="5"/>
        <v>24826.870800202334</v>
      </c>
      <c r="I46" s="764">
        <f t="shared" si="5"/>
        <v>2952.7355559234293</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28016.485639618593</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237.93640196335852</v>
      </c>
      <c r="D48" s="719">
        <f ca="1">+landbouw!C12</f>
        <v>0</v>
      </c>
      <c r="E48" s="719">
        <f>+landbouw!D12</f>
        <v>1221.1985773436791</v>
      </c>
      <c r="F48" s="719">
        <f>+landbouw!E12</f>
        <v>2.310202188023196</v>
      </c>
      <c r="G48" s="719">
        <f>+landbouw!F12</f>
        <v>744.32748506598682</v>
      </c>
      <c r="H48" s="719">
        <f>+landbouw!G12</f>
        <v>0</v>
      </c>
      <c r="I48" s="719">
        <f>+landbouw!H12</f>
        <v>0</v>
      </c>
      <c r="J48" s="719">
        <f>+landbouw!I12</f>
        <v>0</v>
      </c>
      <c r="K48" s="719">
        <f>+landbouw!J12</f>
        <v>59.631639499885338</v>
      </c>
      <c r="L48" s="719">
        <f>+landbouw!K12</f>
        <v>0</v>
      </c>
      <c r="M48" s="719">
        <f>+landbouw!L12</f>
        <v>0</v>
      </c>
      <c r="N48" s="719">
        <f>+landbouw!M12</f>
        <v>0</v>
      </c>
      <c r="O48" s="719">
        <f>+landbouw!N12</f>
        <v>0</v>
      </c>
      <c r="P48" s="719">
        <f>+landbouw!O12</f>
        <v>0</v>
      </c>
      <c r="Q48" s="720">
        <f>+landbouw!P12</f>
        <v>0</v>
      </c>
      <c r="R48" s="762">
        <f ca="1">SUM(C48:Q48)</f>
        <v>2265.4043060609329</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126"/>
      <c r="D50" s="1127"/>
      <c r="E50" s="1127"/>
      <c r="F50" s="1127"/>
      <c r="G50" s="1127"/>
      <c r="H50" s="1127"/>
      <c r="I50" s="1127"/>
      <c r="J50" s="1127"/>
      <c r="K50" s="1127"/>
      <c r="L50" s="1127"/>
      <c r="M50" s="1127"/>
      <c r="N50" s="1127"/>
      <c r="O50" s="1127"/>
      <c r="P50" s="1127"/>
      <c r="Q50" s="1127"/>
      <c r="R50" s="771"/>
    </row>
    <row r="51" spans="1:18" ht="15">
      <c r="A51" s="891" t="s">
        <v>239</v>
      </c>
      <c r="B51" s="876"/>
      <c r="C51" s="1128"/>
      <c r="D51" s="1129"/>
      <c r="E51" s="1129"/>
      <c r="F51" s="1129"/>
      <c r="G51" s="1129"/>
      <c r="H51" s="1129"/>
      <c r="I51" s="1129"/>
      <c r="J51" s="1129"/>
      <c r="K51" s="1129"/>
      <c r="L51" s="1129"/>
      <c r="M51" s="1129"/>
      <c r="N51" s="1129"/>
      <c r="O51" s="1129"/>
      <c r="P51" s="1129"/>
      <c r="Q51" s="1129"/>
      <c r="R51" s="772"/>
    </row>
    <row r="52" spans="1:18" ht="15" thickBot="1">
      <c r="A52" s="903" t="s">
        <v>240</v>
      </c>
      <c r="B52" s="904"/>
      <c r="C52" s="1128"/>
      <c r="D52" s="1129"/>
      <c r="E52" s="1129"/>
      <c r="F52" s="1129"/>
      <c r="G52" s="1129"/>
      <c r="H52" s="1129"/>
      <c r="I52" s="1129"/>
      <c r="J52" s="1129"/>
      <c r="K52" s="1129"/>
      <c r="L52" s="1129"/>
      <c r="M52" s="1129"/>
      <c r="N52" s="1129"/>
      <c r="O52" s="1129"/>
      <c r="P52" s="1129"/>
      <c r="Q52" s="1129"/>
      <c r="R52" s="763"/>
    </row>
    <row r="53" spans="1:18" ht="16.5" thickBot="1">
      <c r="A53" s="907" t="s">
        <v>116</v>
      </c>
      <c r="B53" s="908"/>
      <c r="C53" s="773">
        <f ca="1">C41+C46+C48</f>
        <v>16216.843602614941</v>
      </c>
      <c r="D53" s="774">
        <f t="shared" ref="D53:Q53" ca="1" si="6">D41+D46+D48</f>
        <v>0</v>
      </c>
      <c r="E53" s="774">
        <f t="shared" ca="1" si="6"/>
        <v>18351.489559666181</v>
      </c>
      <c r="F53" s="774">
        <f t="shared" si="6"/>
        <v>467.28025400545101</v>
      </c>
      <c r="G53" s="774">
        <f t="shared" ca="1" si="6"/>
        <v>3858.5301249394583</v>
      </c>
      <c r="H53" s="774">
        <f t="shared" si="6"/>
        <v>24826.870800202334</v>
      </c>
      <c r="I53" s="774">
        <f t="shared" si="6"/>
        <v>2952.7355559234293</v>
      </c>
      <c r="J53" s="774">
        <f t="shared" si="6"/>
        <v>0</v>
      </c>
      <c r="K53" s="774">
        <f t="shared" si="6"/>
        <v>79.95068424621887</v>
      </c>
      <c r="L53" s="774">
        <f t="shared" si="6"/>
        <v>0</v>
      </c>
      <c r="M53" s="774">
        <f t="shared" ca="1" si="6"/>
        <v>0</v>
      </c>
      <c r="N53" s="774">
        <f t="shared" si="6"/>
        <v>0</v>
      </c>
      <c r="O53" s="774">
        <f t="shared" ca="1" si="6"/>
        <v>0</v>
      </c>
      <c r="P53" s="774">
        <f>P41+P46+P48</f>
        <v>0</v>
      </c>
      <c r="Q53" s="775">
        <f t="shared" si="6"/>
        <v>0</v>
      </c>
      <c r="R53" s="776">
        <f ca="1">R41+R46+R48</f>
        <v>66753.700581598008</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0.21655148778633365</v>
      </c>
      <c r="D55" s="837">
        <f t="shared" ca="1" si="7"/>
        <v>0</v>
      </c>
      <c r="E55" s="837">
        <f t="shared" ca="1" si="7"/>
        <v>0.20200000000000001</v>
      </c>
      <c r="F55" s="837">
        <f t="shared" si="7"/>
        <v>0.22700000000000001</v>
      </c>
      <c r="G55" s="837">
        <f t="shared" ca="1" si="7"/>
        <v>0.26700000000000002</v>
      </c>
      <c r="H55" s="837">
        <f t="shared" si="7"/>
        <v>0.26699999999999996</v>
      </c>
      <c r="I55" s="837">
        <f t="shared" si="7"/>
        <v>0.249</v>
      </c>
      <c r="J55" s="837">
        <f t="shared" si="7"/>
        <v>0</v>
      </c>
      <c r="K55" s="837">
        <f t="shared" si="7"/>
        <v>0.35399999999999993</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102"/>
      <c r="B59" s="1102"/>
      <c r="C59" s="1102"/>
      <c r="D59" s="1102"/>
      <c r="E59" s="1102"/>
      <c r="F59" s="1102"/>
      <c r="G59" s="1102"/>
      <c r="H59" s="1102"/>
      <c r="I59" s="1102"/>
      <c r="J59" s="1102"/>
      <c r="K59" s="1102"/>
      <c r="L59" s="1102"/>
      <c r="M59" s="1102"/>
      <c r="N59" s="1102"/>
      <c r="O59" s="1102"/>
      <c r="P59" s="1102"/>
      <c r="Q59" s="110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115" t="s">
        <v>241</v>
      </c>
      <c r="B61" s="1140" t="s">
        <v>351</v>
      </c>
      <c r="C61" s="1131"/>
      <c r="D61" s="1137" t="s">
        <v>352</v>
      </c>
      <c r="E61" s="1138"/>
      <c r="F61" s="1138"/>
      <c r="G61" s="1138"/>
      <c r="H61" s="1138"/>
      <c r="I61" s="1138"/>
      <c r="J61" s="1138"/>
      <c r="K61" s="1138"/>
      <c r="L61" s="1138"/>
      <c r="M61" s="1139"/>
      <c r="N61" s="1131" t="s">
        <v>657</v>
      </c>
      <c r="O61" s="1142" t="s">
        <v>656</v>
      </c>
      <c r="P61" s="1143"/>
      <c r="Q61" s="786"/>
      <c r="R61" s="743"/>
    </row>
    <row r="62" spans="1:18" ht="31.5" thickTop="1" thickBot="1">
      <c r="A62" s="1130"/>
      <c r="B62" s="1141"/>
      <c r="C62" s="1133"/>
      <c r="D62" s="1134" t="s">
        <v>197</v>
      </c>
      <c r="E62" s="1135"/>
      <c r="F62" s="1135"/>
      <c r="G62" s="1135"/>
      <c r="H62" s="1136"/>
      <c r="I62" s="787" t="s">
        <v>245</v>
      </c>
      <c r="J62" s="788" t="s">
        <v>246</v>
      </c>
      <c r="K62" s="788" t="s">
        <v>234</v>
      </c>
      <c r="L62" s="788" t="s">
        <v>247</v>
      </c>
      <c r="M62" s="1147" t="s">
        <v>127</v>
      </c>
      <c r="N62" s="1132"/>
      <c r="O62" s="927"/>
      <c r="P62" s="928"/>
      <c r="Q62" s="786"/>
      <c r="R62" s="743"/>
    </row>
    <row r="63" spans="1:18" ht="95.25" customHeight="1" thickTop="1" thickBot="1">
      <c r="A63" s="1116"/>
      <c r="B63" s="855" t="s">
        <v>565</v>
      </c>
      <c r="C63" s="855" t="s">
        <v>655</v>
      </c>
      <c r="D63" s="789" t="s">
        <v>199</v>
      </c>
      <c r="E63" s="790" t="s">
        <v>200</v>
      </c>
      <c r="F63" s="791" t="s">
        <v>201</v>
      </c>
      <c r="G63" s="792" t="s">
        <v>203</v>
      </c>
      <c r="H63" s="793" t="s">
        <v>204</v>
      </c>
      <c r="I63" s="794"/>
      <c r="J63" s="790"/>
      <c r="K63" s="790"/>
      <c r="L63" s="790"/>
      <c r="M63" s="1148"/>
      <c r="N63" s="1133"/>
      <c r="O63" s="858" t="s">
        <v>658</v>
      </c>
      <c r="P63" s="856" t="s">
        <v>659</v>
      </c>
      <c r="Q63" s="786"/>
      <c r="R63" s="743"/>
    </row>
    <row r="64" spans="1:18" ht="15.75" thickTop="1">
      <c r="A64" s="795" t="s">
        <v>249</v>
      </c>
      <c r="B64" s="909">
        <f>'lokale energieproductie'!B4</f>
        <v>0</v>
      </c>
      <c r="C64" s="796">
        <f>'lokale energieproductie'!B4</f>
        <v>0</v>
      </c>
      <c r="D64" s="1149"/>
      <c r="E64" s="1117"/>
      <c r="F64" s="1117"/>
      <c r="G64" s="1120"/>
      <c r="H64" s="1123"/>
      <c r="I64" s="797"/>
      <c r="J64" s="797"/>
      <c r="K64" s="797"/>
      <c r="L64" s="797"/>
      <c r="M64" s="1144"/>
      <c r="N64" s="922">
        <v>0</v>
      </c>
      <c r="O64" s="929"/>
      <c r="P64" s="922">
        <v>0</v>
      </c>
      <c r="Q64" s="786"/>
      <c r="R64" s="784"/>
    </row>
    <row r="65" spans="1:18" ht="15">
      <c r="A65" s="798" t="s">
        <v>250</v>
      </c>
      <c r="B65" s="795">
        <f>'lokale energieproductie'!B5</f>
        <v>0</v>
      </c>
      <c r="C65" s="796">
        <f>'lokale energieproductie'!B5</f>
        <v>0</v>
      </c>
      <c r="D65" s="1150"/>
      <c r="E65" s="1118"/>
      <c r="F65" s="1118"/>
      <c r="G65" s="1121"/>
      <c r="H65" s="1124"/>
      <c r="I65" s="799"/>
      <c r="J65" s="799"/>
      <c r="K65" s="799"/>
      <c r="L65" s="799"/>
      <c r="M65" s="1145"/>
      <c r="N65" s="923">
        <v>0</v>
      </c>
      <c r="O65" s="929"/>
      <c r="P65" s="923">
        <v>0</v>
      </c>
      <c r="Q65" s="786"/>
      <c r="R65" s="749"/>
    </row>
    <row r="66" spans="1:18" ht="15">
      <c r="A66" s="798" t="s">
        <v>251</v>
      </c>
      <c r="B66" s="795">
        <f>'lokale energieproductie'!B6</f>
        <v>1507.3970815474909</v>
      </c>
      <c r="C66" s="796">
        <f>'lokale energieproductie'!B6</f>
        <v>1507.3970815474909</v>
      </c>
      <c r="D66" s="1151"/>
      <c r="E66" s="1119"/>
      <c r="F66" s="1119"/>
      <c r="G66" s="1122"/>
      <c r="H66" s="1125"/>
      <c r="I66" s="800"/>
      <c r="J66" s="800"/>
      <c r="K66" s="800"/>
      <c r="L66" s="800"/>
      <c r="M66" s="1146"/>
      <c r="N66" s="923">
        <v>0</v>
      </c>
      <c r="O66" s="929"/>
      <c r="P66" s="923">
        <v>0</v>
      </c>
      <c r="Q66" s="786"/>
      <c r="R66" s="784"/>
    </row>
    <row r="67" spans="1:18" ht="15">
      <c r="A67" s="801" t="s">
        <v>252</v>
      </c>
      <c r="B67" s="795">
        <f>'lokale energieproductie'!B7</f>
        <v>0</v>
      </c>
      <c r="C67" s="795">
        <f>B67*IFERROR(SUM(J67:L67)/SUM(D67:M67),0)</f>
        <v>0</v>
      </c>
      <c r="D67" s="827">
        <f>'lokale energieproductie'!C7</f>
        <v>0</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0</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0</v>
      </c>
      <c r="P67" s="923">
        <v>0</v>
      </c>
      <c r="Q67" s="786"/>
      <c r="R67" s="743"/>
    </row>
    <row r="68" spans="1:18" ht="30.75" thickBot="1">
      <c r="A68" s="802" t="s">
        <v>353</v>
      </c>
      <c r="B68" s="795">
        <f>'lokale energieproductie'!B8</f>
        <v>0</v>
      </c>
      <c r="C68" s="795">
        <f>B68*IFERROR(SUM(J68:L68)/SUM(D68:M68),0)</f>
        <v>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1507.3970815474909</v>
      </c>
      <c r="C69" s="804">
        <f>SUM(C64:C68)</f>
        <v>1507.3970815474909</v>
      </c>
      <c r="D69" s="805">
        <f t="shared" ref="D69:M69" si="8">SUM(D67:D68)</f>
        <v>0</v>
      </c>
      <c r="E69" s="805">
        <f t="shared" si="8"/>
        <v>0</v>
      </c>
      <c r="F69" s="805">
        <f t="shared" si="8"/>
        <v>0</v>
      </c>
      <c r="G69" s="805">
        <f t="shared" si="8"/>
        <v>0</v>
      </c>
      <c r="H69" s="805">
        <f t="shared" si="8"/>
        <v>0</v>
      </c>
      <c r="I69" s="805">
        <f t="shared" si="8"/>
        <v>0</v>
      </c>
      <c r="J69" s="805">
        <f t="shared" si="8"/>
        <v>0</v>
      </c>
      <c r="K69" s="805">
        <f t="shared" si="8"/>
        <v>0</v>
      </c>
      <c r="L69" s="805">
        <f t="shared" si="8"/>
        <v>0</v>
      </c>
      <c r="M69" s="931">
        <f t="shared" si="8"/>
        <v>0</v>
      </c>
      <c r="N69" s="806">
        <v>0</v>
      </c>
      <c r="O69" s="806">
        <f>SUM(O67:O68)</f>
        <v>0</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102"/>
      <c r="B73" s="1102"/>
      <c r="C73" s="1102"/>
      <c r="D73" s="1102"/>
      <c r="E73" s="1102"/>
      <c r="F73" s="1102"/>
      <c r="G73" s="1102"/>
      <c r="H73" s="1102"/>
      <c r="I73" s="1102"/>
      <c r="J73" s="1102"/>
      <c r="K73" s="1102"/>
      <c r="L73" s="1102"/>
      <c r="M73" s="1102"/>
      <c r="N73" s="1102"/>
      <c r="O73" s="1102"/>
      <c r="P73" s="110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115" t="s">
        <v>253</v>
      </c>
      <c r="B75" s="1140" t="s">
        <v>355</v>
      </c>
      <c r="C75" s="1131"/>
      <c r="D75" s="1137" t="s">
        <v>356</v>
      </c>
      <c r="E75" s="1138"/>
      <c r="F75" s="1138"/>
      <c r="G75" s="1138"/>
      <c r="H75" s="1138"/>
      <c r="I75" s="1138"/>
      <c r="J75" s="1138"/>
      <c r="K75" s="1138"/>
      <c r="L75" s="1138"/>
      <c r="M75" s="1139"/>
      <c r="N75" s="1131" t="s">
        <v>657</v>
      </c>
      <c r="O75" s="1140" t="s">
        <v>656</v>
      </c>
      <c r="P75" s="1131"/>
      <c r="Q75" s="813"/>
      <c r="R75" s="743"/>
    </row>
    <row r="76" spans="1:18" ht="16.5" thickTop="1" thickBot="1">
      <c r="A76" s="1130"/>
      <c r="B76" s="1157"/>
      <c r="C76" s="1132"/>
      <c r="D76" s="1152" t="s">
        <v>197</v>
      </c>
      <c r="E76" s="1153"/>
      <c r="F76" s="1153"/>
      <c r="G76" s="1153"/>
      <c r="H76" s="1154"/>
      <c r="I76" s="1155" t="s">
        <v>245</v>
      </c>
      <c r="J76" s="1155" t="s">
        <v>246</v>
      </c>
      <c r="K76" s="1110" t="s">
        <v>234</v>
      </c>
      <c r="L76" s="1159" t="s">
        <v>257</v>
      </c>
      <c r="M76" s="1147" t="s">
        <v>127</v>
      </c>
      <c r="N76" s="1132"/>
      <c r="O76" s="927"/>
      <c r="P76" s="928"/>
      <c r="Q76" s="813"/>
      <c r="R76" s="743"/>
    </row>
    <row r="77" spans="1:18" ht="110.25" customHeight="1" thickTop="1" thickBot="1">
      <c r="A77" s="1116"/>
      <c r="B77" s="910" t="s">
        <v>565</v>
      </c>
      <c r="C77" s="910" t="s">
        <v>655</v>
      </c>
      <c r="D77" s="814" t="s">
        <v>199</v>
      </c>
      <c r="E77" s="790" t="s">
        <v>200</v>
      </c>
      <c r="F77" s="815" t="s">
        <v>201</v>
      </c>
      <c r="G77" s="790" t="s">
        <v>203</v>
      </c>
      <c r="H77" s="816" t="s">
        <v>204</v>
      </c>
      <c r="I77" s="1156"/>
      <c r="J77" s="1156"/>
      <c r="K77" s="1158"/>
      <c r="L77" s="1111"/>
      <c r="M77" s="1160"/>
      <c r="N77" s="1133"/>
      <c r="O77" s="858" t="s">
        <v>658</v>
      </c>
      <c r="P77" s="856" t="s">
        <v>659</v>
      </c>
      <c r="Q77" s="813"/>
      <c r="R77" s="743"/>
    </row>
    <row r="78" spans="1:18" ht="15.75" thickTop="1">
      <c r="A78" s="817" t="s">
        <v>252</v>
      </c>
      <c r="B78" s="818">
        <f>'lokale energieproductie'!B16</f>
        <v>0</v>
      </c>
      <c r="C78" s="818">
        <f>B78*IFERROR(SUM(I78:L78)/SUM(D78:M78),0)</f>
        <v>0</v>
      </c>
      <c r="D78" s="833">
        <f>'lokale energieproductie'!C16</f>
        <v>0</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0</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0</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0</v>
      </c>
      <c r="C81" s="804">
        <f>SUM(C78:C80)</f>
        <v>0</v>
      </c>
      <c r="D81" s="804">
        <f t="shared" ref="D81:P81" si="9">SUM(D78:D80)</f>
        <v>0</v>
      </c>
      <c r="E81" s="804">
        <f t="shared" si="9"/>
        <v>0</v>
      </c>
      <c r="F81" s="804">
        <f t="shared" si="9"/>
        <v>0</v>
      </c>
      <c r="G81" s="804">
        <f t="shared" si="9"/>
        <v>0</v>
      </c>
      <c r="H81" s="804">
        <f t="shared" si="9"/>
        <v>0</v>
      </c>
      <c r="I81" s="804">
        <f t="shared" si="9"/>
        <v>0</v>
      </c>
      <c r="J81" s="804">
        <f t="shared" si="9"/>
        <v>0</v>
      </c>
      <c r="K81" s="804">
        <f t="shared" si="9"/>
        <v>0</v>
      </c>
      <c r="L81" s="804">
        <f t="shared" si="9"/>
        <v>0</v>
      </c>
      <c r="M81" s="804">
        <f t="shared" si="9"/>
        <v>0</v>
      </c>
      <c r="N81" s="804">
        <v>0</v>
      </c>
      <c r="O81" s="804">
        <f>SUM(O78:O80)</f>
        <v>0</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4"/>
  <sheetViews>
    <sheetView workbookViewId="0">
      <selection activeCell="A25" sqref="A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803</v>
      </c>
      <c r="D16" s="1012" t="s">
        <v>676</v>
      </c>
    </row>
    <row r="17" spans="1:4" s="7" customFormat="1">
      <c r="A17" s="960" t="s">
        <v>754</v>
      </c>
      <c r="B17" s="1011">
        <v>42877</v>
      </c>
      <c r="C17" s="959" t="s">
        <v>804</v>
      </c>
      <c r="D17" s="1012" t="s">
        <v>752</v>
      </c>
    </row>
    <row r="18" spans="1:4" s="7" customFormat="1">
      <c r="A18" s="960" t="s">
        <v>754</v>
      </c>
      <c r="B18" s="1011">
        <v>42877</v>
      </c>
      <c r="C18" s="959" t="s">
        <v>805</v>
      </c>
      <c r="D18" s="1012" t="s">
        <v>753</v>
      </c>
    </row>
    <row r="19" spans="1:4" s="7" customFormat="1">
      <c r="A19" s="960" t="s">
        <v>789</v>
      </c>
      <c r="B19" s="986">
        <v>43167</v>
      </c>
      <c r="C19" s="986" t="s">
        <v>790</v>
      </c>
      <c r="D19" s="1012" t="s">
        <v>791</v>
      </c>
    </row>
    <row r="20" spans="1:4" s="7" customFormat="1">
      <c r="A20" s="960" t="s">
        <v>789</v>
      </c>
      <c r="B20" s="986">
        <v>43167</v>
      </c>
      <c r="C20" s="986" t="s">
        <v>792</v>
      </c>
      <c r="D20" s="1024" t="s">
        <v>793</v>
      </c>
    </row>
    <row r="21" spans="1:4">
      <c r="A21" s="960" t="s">
        <v>789</v>
      </c>
      <c r="B21" s="986">
        <v>43167</v>
      </c>
      <c r="C21" s="986" t="s">
        <v>794</v>
      </c>
      <c r="D21" s="1024" t="s">
        <v>795</v>
      </c>
    </row>
    <row r="22" spans="1:4">
      <c r="A22" s="960" t="s">
        <v>789</v>
      </c>
      <c r="B22" s="986">
        <v>43167</v>
      </c>
      <c r="C22" s="986" t="s">
        <v>796</v>
      </c>
      <c r="D22" s="1024" t="s">
        <v>797</v>
      </c>
    </row>
    <row r="23" spans="1:4">
      <c r="A23" s="960" t="s">
        <v>789</v>
      </c>
      <c r="B23" s="986">
        <v>43278</v>
      </c>
      <c r="C23" s="986" t="s">
        <v>824</v>
      </c>
      <c r="D23" s="1012"/>
    </row>
    <row r="24" spans="1:4">
      <c r="A24" s="960" t="s">
        <v>826</v>
      </c>
      <c r="B24" s="986">
        <v>43425</v>
      </c>
      <c r="C24" s="986" t="s">
        <v>827</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61" t="s">
        <v>560</v>
      </c>
      <c r="B1" s="1162" t="s">
        <v>556</v>
      </c>
      <c r="C1" s="1162"/>
      <c r="D1" s="1162"/>
      <c r="E1" s="1162"/>
      <c r="F1" s="1162"/>
      <c r="G1" s="1162"/>
      <c r="H1" s="1162"/>
      <c r="I1" s="1162"/>
      <c r="J1" s="1162"/>
      <c r="K1" s="1162"/>
      <c r="L1" s="1162"/>
      <c r="M1" s="1162"/>
      <c r="N1" s="1162"/>
      <c r="O1" s="1162"/>
      <c r="P1" s="1163"/>
      <c r="Q1" s="476"/>
    </row>
    <row r="2" spans="1:17">
      <c r="A2" s="1161"/>
      <c r="B2" s="1164" t="s">
        <v>21</v>
      </c>
      <c r="C2" s="1166" t="s">
        <v>196</v>
      </c>
      <c r="D2" s="1168" t="s">
        <v>197</v>
      </c>
      <c r="E2" s="1169"/>
      <c r="F2" s="1169"/>
      <c r="G2" s="1169"/>
      <c r="H2" s="1169"/>
      <c r="I2" s="1169"/>
      <c r="J2" s="1169"/>
      <c r="K2" s="1165"/>
      <c r="L2" s="1168" t="s">
        <v>198</v>
      </c>
      <c r="M2" s="1169"/>
      <c r="N2" s="1169"/>
      <c r="O2" s="1169"/>
      <c r="P2" s="1165"/>
      <c r="Q2" s="476"/>
    </row>
    <row r="3" spans="1:17" ht="45">
      <c r="A3" s="1161"/>
      <c r="B3" s="1165"/>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30223.396404504048</v>
      </c>
      <c r="C4" s="479">
        <f>huishoudens!C8</f>
        <v>0</v>
      </c>
      <c r="D4" s="479">
        <f>huishoudens!D8</f>
        <v>43956.874054115156</v>
      </c>
      <c r="E4" s="479">
        <f>huishoudens!E8</f>
        <v>710.53781044452728</v>
      </c>
      <c r="F4" s="479">
        <f>huishoudens!F8</f>
        <v>0</v>
      </c>
      <c r="G4" s="479">
        <f>huishoudens!G8</f>
        <v>0</v>
      </c>
      <c r="H4" s="479">
        <f>huishoudens!H8</f>
        <v>0</v>
      </c>
      <c r="I4" s="479">
        <f>huishoudens!I8</f>
        <v>0</v>
      </c>
      <c r="J4" s="479">
        <f>huishoudens!J8</f>
        <v>0</v>
      </c>
      <c r="K4" s="479">
        <f>huishoudens!K8</f>
        <v>0</v>
      </c>
      <c r="L4" s="479">
        <f>huishoudens!L8</f>
        <v>0</v>
      </c>
      <c r="M4" s="479">
        <f>huishoudens!M8</f>
        <v>0</v>
      </c>
      <c r="N4" s="479">
        <f>huishoudens!N8</f>
        <v>2694.544621773251</v>
      </c>
      <c r="O4" s="479">
        <f>huishoudens!O8</f>
        <v>85.983333333333334</v>
      </c>
      <c r="P4" s="480">
        <f>huishoudens!P8</f>
        <v>57.2</v>
      </c>
      <c r="Q4" s="481">
        <f>SUM(B4:P4)</f>
        <v>77728.536224170311</v>
      </c>
    </row>
    <row r="5" spans="1:17">
      <c r="A5" s="478" t="s">
        <v>156</v>
      </c>
      <c r="B5" s="479">
        <f ca="1">tertiair!B16</f>
        <v>36410.335699999996</v>
      </c>
      <c r="C5" s="479">
        <f ca="1">tertiair!C16</f>
        <v>0</v>
      </c>
      <c r="D5" s="479">
        <f ca="1">tertiair!D16</f>
        <v>37200.489327360308</v>
      </c>
      <c r="E5" s="479">
        <f>tertiair!E16</f>
        <v>507.03247595593729</v>
      </c>
      <c r="F5" s="479">
        <f ca="1">tertiair!F16</f>
        <v>5473.3774421249382</v>
      </c>
      <c r="G5" s="479">
        <f>tertiair!G16</f>
        <v>0</v>
      </c>
      <c r="H5" s="479">
        <f>tertiair!H16</f>
        <v>0</v>
      </c>
      <c r="I5" s="479">
        <f>tertiair!I16</f>
        <v>0</v>
      </c>
      <c r="J5" s="479">
        <f>tertiair!J16</f>
        <v>0</v>
      </c>
      <c r="K5" s="479">
        <f>tertiair!K16</f>
        <v>0</v>
      </c>
      <c r="L5" s="479">
        <f ca="1">tertiair!L16</f>
        <v>0</v>
      </c>
      <c r="M5" s="479">
        <f>tertiair!M16</f>
        <v>0</v>
      </c>
      <c r="N5" s="479">
        <f ca="1">tertiair!N16</f>
        <v>1979.6371603877537</v>
      </c>
      <c r="O5" s="479">
        <f>tertiair!O16</f>
        <v>7.8166666666666664</v>
      </c>
      <c r="P5" s="480">
        <f>tertiair!P16</f>
        <v>19.066666666666666</v>
      </c>
      <c r="Q5" s="478">
        <f t="shared" ref="Q5:Q13" ca="1" si="0">SUM(B5:P5)</f>
        <v>81597.755439162269</v>
      </c>
    </row>
    <row r="6" spans="1:17">
      <c r="A6" s="478" t="s">
        <v>194</v>
      </c>
      <c r="B6" s="479">
        <f>'openbare verlichting'!B8</f>
        <v>1087.6569999999999</v>
      </c>
      <c r="C6" s="479"/>
      <c r="D6" s="479"/>
      <c r="E6" s="479"/>
      <c r="F6" s="479"/>
      <c r="G6" s="479"/>
      <c r="H6" s="479"/>
      <c r="I6" s="479"/>
      <c r="J6" s="479"/>
      <c r="K6" s="479"/>
      <c r="L6" s="479"/>
      <c r="M6" s="479"/>
      <c r="N6" s="479"/>
      <c r="O6" s="479"/>
      <c r="P6" s="480"/>
      <c r="Q6" s="478">
        <f t="shared" si="0"/>
        <v>1087.6569999999999</v>
      </c>
    </row>
    <row r="7" spans="1:17">
      <c r="A7" s="478" t="s">
        <v>112</v>
      </c>
      <c r="B7" s="479">
        <f>landbouw!B8</f>
        <v>1098.7521000000002</v>
      </c>
      <c r="C7" s="479">
        <f>landbouw!C8</f>
        <v>0</v>
      </c>
      <c r="D7" s="479">
        <f>landbouw!D8</f>
        <v>6045.5375116023715</v>
      </c>
      <c r="E7" s="479">
        <f>landbouw!E8</f>
        <v>10.17710214988192</v>
      </c>
      <c r="F7" s="479">
        <f>landbouw!F8</f>
        <v>2787.74338976025</v>
      </c>
      <c r="G7" s="479">
        <f>landbouw!G8</f>
        <v>0</v>
      </c>
      <c r="H7" s="479">
        <f>landbouw!H8</f>
        <v>0</v>
      </c>
      <c r="I7" s="479">
        <f>landbouw!I8</f>
        <v>0</v>
      </c>
      <c r="J7" s="479">
        <f>landbouw!J8</f>
        <v>168.45095903922413</v>
      </c>
      <c r="K7" s="479">
        <f>landbouw!K8</f>
        <v>0</v>
      </c>
      <c r="L7" s="479">
        <f>landbouw!L8</f>
        <v>0</v>
      </c>
      <c r="M7" s="479">
        <f>landbouw!M8</f>
        <v>0</v>
      </c>
      <c r="N7" s="479">
        <f>landbouw!N8</f>
        <v>0</v>
      </c>
      <c r="O7" s="479">
        <f>landbouw!O8</f>
        <v>0</v>
      </c>
      <c r="P7" s="480">
        <f>landbouw!P8</f>
        <v>0</v>
      </c>
      <c r="Q7" s="478">
        <f t="shared" si="0"/>
        <v>10110.661062551728</v>
      </c>
    </row>
    <row r="8" spans="1:17">
      <c r="A8" s="478" t="s">
        <v>650</v>
      </c>
      <c r="B8" s="479">
        <f>industrie!B18</f>
        <v>5237.6506499999996</v>
      </c>
      <c r="C8" s="479">
        <f>industrie!C18</f>
        <v>0</v>
      </c>
      <c r="D8" s="479">
        <f>industrie!D18</f>
        <v>3615.6975253206747</v>
      </c>
      <c r="E8" s="479">
        <f>industrie!E18</f>
        <v>605.08188023279024</v>
      </c>
      <c r="F8" s="479">
        <f>industrie!F18</f>
        <v>6190.3028570266397</v>
      </c>
      <c r="G8" s="479">
        <f>industrie!G18</f>
        <v>0</v>
      </c>
      <c r="H8" s="479">
        <f>industrie!H18</f>
        <v>0</v>
      </c>
      <c r="I8" s="479">
        <f>industrie!I18</f>
        <v>0</v>
      </c>
      <c r="J8" s="479">
        <f>industrie!J18</f>
        <v>57.398431486817898</v>
      </c>
      <c r="K8" s="479">
        <f>industrie!K18</f>
        <v>0</v>
      </c>
      <c r="L8" s="479">
        <f>industrie!L18</f>
        <v>0</v>
      </c>
      <c r="M8" s="479">
        <f>industrie!M18</f>
        <v>0</v>
      </c>
      <c r="N8" s="479">
        <f>industrie!N18</f>
        <v>1963.3126345058129</v>
      </c>
      <c r="O8" s="479">
        <f>industrie!O18</f>
        <v>0</v>
      </c>
      <c r="P8" s="480">
        <f>industrie!P18</f>
        <v>0</v>
      </c>
      <c r="Q8" s="478">
        <f t="shared" si="0"/>
        <v>17669.443978572734</v>
      </c>
    </row>
    <row r="9" spans="1:17" s="484" customFormat="1">
      <c r="A9" s="482" t="s">
        <v>571</v>
      </c>
      <c r="B9" s="483">
        <f>transport!B14</f>
        <v>12.430986257910272</v>
      </c>
      <c r="C9" s="483"/>
      <c r="D9" s="483">
        <f>transport!D14</f>
        <v>30.359797770685191</v>
      </c>
      <c r="E9" s="483">
        <f>transport!E14</f>
        <v>225.67405282677964</v>
      </c>
      <c r="F9" s="483"/>
      <c r="G9" s="483">
        <f>transport!G14</f>
        <v>92335.828250481194</v>
      </c>
      <c r="H9" s="483">
        <f>transport!H14</f>
        <v>11858.375726600118</v>
      </c>
      <c r="I9" s="483"/>
      <c r="J9" s="483"/>
      <c r="K9" s="483"/>
      <c r="L9" s="483"/>
      <c r="M9" s="483">
        <f>transport!M14</f>
        <v>5706.243099864123</v>
      </c>
      <c r="N9" s="483"/>
      <c r="O9" s="483"/>
      <c r="P9" s="483"/>
      <c r="Q9" s="482">
        <f>SUM(B9:P9)</f>
        <v>110168.91191380081</v>
      </c>
    </row>
    <row r="10" spans="1:17">
      <c r="A10" s="478" t="s">
        <v>561</v>
      </c>
      <c r="B10" s="479">
        <f>transport!B54</f>
        <v>816.55705804772651</v>
      </c>
      <c r="C10" s="479"/>
      <c r="D10" s="479">
        <f>transport!D54</f>
        <v>0</v>
      </c>
      <c r="E10" s="479"/>
      <c r="F10" s="479"/>
      <c r="G10" s="479">
        <f>transport!G54</f>
        <v>648.70658173728634</v>
      </c>
      <c r="H10" s="479"/>
      <c r="I10" s="479"/>
      <c r="J10" s="479"/>
      <c r="K10" s="479"/>
      <c r="L10" s="479"/>
      <c r="M10" s="479">
        <f>transport!M54</f>
        <v>36.993845274635909</v>
      </c>
      <c r="N10" s="479"/>
      <c r="O10" s="479"/>
      <c r="P10" s="480"/>
      <c r="Q10" s="478">
        <f t="shared" si="0"/>
        <v>1502.2574850596488</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c r="D13" s="486">
        <f>'Eigen vloot'!D27</f>
        <v>0</v>
      </c>
      <c r="E13" s="486">
        <f>'Eigen vloot'!E27</f>
        <v>0</v>
      </c>
      <c r="F13" s="486"/>
      <c r="G13" s="486">
        <f>'Eigen vloot'!G27</f>
        <v>0</v>
      </c>
      <c r="H13" s="486">
        <f>'Eigen vloot'!H27</f>
        <v>0</v>
      </c>
      <c r="I13" s="486"/>
      <c r="J13" s="486"/>
      <c r="K13" s="486"/>
      <c r="L13" s="486"/>
      <c r="M13" s="486">
        <f>'Eigen vloot'!M27</f>
        <v>0</v>
      </c>
      <c r="N13" s="486"/>
      <c r="O13" s="486"/>
      <c r="P13" s="487"/>
      <c r="Q13" s="485">
        <f t="shared" si="0"/>
        <v>0</v>
      </c>
    </row>
    <row r="14" spans="1:17" s="491" customFormat="1">
      <c r="A14" s="488" t="s">
        <v>565</v>
      </c>
      <c r="B14" s="489">
        <f ca="1">SUM(B4:B13)</f>
        <v>74886.779898809677</v>
      </c>
      <c r="C14" s="489">
        <f t="shared" ref="C14:Q14" ca="1" si="1">SUM(C4:C13)</f>
        <v>0</v>
      </c>
      <c r="D14" s="489">
        <f t="shared" ca="1" si="1"/>
        <v>90848.958216169194</v>
      </c>
      <c r="E14" s="489">
        <f t="shared" si="1"/>
        <v>2058.5033216099164</v>
      </c>
      <c r="F14" s="489">
        <f t="shared" ca="1" si="1"/>
        <v>14451.423688911827</v>
      </c>
      <c r="G14" s="489">
        <f t="shared" si="1"/>
        <v>92984.534832218487</v>
      </c>
      <c r="H14" s="489">
        <f t="shared" si="1"/>
        <v>11858.375726600118</v>
      </c>
      <c r="I14" s="489">
        <f t="shared" si="1"/>
        <v>0</v>
      </c>
      <c r="J14" s="489">
        <f t="shared" si="1"/>
        <v>225.84939052604204</v>
      </c>
      <c r="K14" s="489">
        <f t="shared" si="1"/>
        <v>0</v>
      </c>
      <c r="L14" s="489">
        <f t="shared" ca="1" si="1"/>
        <v>0</v>
      </c>
      <c r="M14" s="489">
        <f t="shared" si="1"/>
        <v>5743.2369451387585</v>
      </c>
      <c r="N14" s="489">
        <f t="shared" ca="1" si="1"/>
        <v>6637.4944166668174</v>
      </c>
      <c r="O14" s="489">
        <f t="shared" si="1"/>
        <v>93.8</v>
      </c>
      <c r="P14" s="490">
        <f t="shared" si="1"/>
        <v>76.266666666666666</v>
      </c>
      <c r="Q14" s="490">
        <f t="shared" ca="1" si="1"/>
        <v>299865.22310331755</v>
      </c>
    </row>
    <row r="16" spans="1:17">
      <c r="A16" s="492" t="s">
        <v>566</v>
      </c>
      <c r="B16" s="842">
        <f ca="1">huishoudens!B10</f>
        <v>0.21655148778633368</v>
      </c>
      <c r="C16" s="842">
        <f ca="1">huishoudens!C10</f>
        <v>0</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61" t="s">
        <v>568</v>
      </c>
      <c r="B18" s="1162" t="s">
        <v>567</v>
      </c>
      <c r="C18" s="1162"/>
      <c r="D18" s="1162"/>
      <c r="E18" s="1162"/>
      <c r="F18" s="1162"/>
      <c r="G18" s="1162"/>
      <c r="H18" s="1162"/>
      <c r="I18" s="1162"/>
      <c r="J18" s="1162"/>
      <c r="K18" s="1162"/>
      <c r="L18" s="1162"/>
      <c r="M18" s="1162"/>
      <c r="N18" s="1162"/>
      <c r="O18" s="1162"/>
      <c r="P18" s="1163"/>
      <c r="Q18" s="476"/>
    </row>
    <row r="19" spans="1:17" ht="15" customHeight="1">
      <c r="A19" s="1161"/>
      <c r="B19" s="1164" t="s">
        <v>21</v>
      </c>
      <c r="C19" s="1166" t="s">
        <v>196</v>
      </c>
      <c r="D19" s="1168" t="s">
        <v>197</v>
      </c>
      <c r="E19" s="1169"/>
      <c r="F19" s="1169"/>
      <c r="G19" s="1169"/>
      <c r="H19" s="1169"/>
      <c r="I19" s="1169"/>
      <c r="J19" s="1169"/>
      <c r="K19" s="1165"/>
      <c r="L19" s="1168" t="s">
        <v>198</v>
      </c>
      <c r="M19" s="1169"/>
      <c r="N19" s="1169"/>
      <c r="O19" s="1169"/>
      <c r="P19" s="1165"/>
      <c r="Q19" s="476"/>
    </row>
    <row r="20" spans="1:17" ht="45">
      <c r="A20" s="1161"/>
      <c r="B20" s="1165"/>
      <c r="C20" s="116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6544.9214573514801</v>
      </c>
      <c r="C21" s="479">
        <f t="shared" ref="C21:C28" ca="1" si="3">C4*$C$16</f>
        <v>0</v>
      </c>
      <c r="D21" s="479">
        <f t="shared" ref="D21:D30" si="4">D4*$D$16</f>
        <v>8879.2885589312627</v>
      </c>
      <c r="E21" s="479">
        <f t="shared" ref="E21:E30" si="5">E4*$E$16</f>
        <v>161.2920829709077</v>
      </c>
      <c r="F21" s="479">
        <f t="shared" ref="F21:F28" si="6">F4*$F$16</f>
        <v>0</v>
      </c>
      <c r="G21" s="479">
        <f t="shared" ref="G21:G30" si="7">G4*$G$16</f>
        <v>0</v>
      </c>
      <c r="H21" s="479">
        <f t="shared" ref="H21:H30" si="8">H4*$H$16</f>
        <v>0</v>
      </c>
      <c r="I21" s="479">
        <f t="shared" ref="I21:I28" si="9">I4*$I$16</f>
        <v>0</v>
      </c>
      <c r="J21" s="479">
        <f t="shared" ref="J21:J28" si="10">J4*$J$16</f>
        <v>0</v>
      </c>
      <c r="K21" s="479">
        <f t="shared" ref="K21:K28" si="11">K4*$K$16</f>
        <v>0</v>
      </c>
      <c r="L21" s="479">
        <f t="shared" ref="L21:L28" si="12">L4*$L$16</f>
        <v>0</v>
      </c>
      <c r="M21" s="479">
        <f t="shared" ref="M21:M30" si="13">M4*$M$16</f>
        <v>0</v>
      </c>
      <c r="N21" s="479">
        <f t="shared" ref="N21:N28" si="14">N4*$N$16</f>
        <v>0</v>
      </c>
      <c r="O21" s="479">
        <f t="shared" ref="O21:O28" si="15">O4*$O$16</f>
        <v>0</v>
      </c>
      <c r="P21" s="493">
        <f t="shared" ref="P21:P28" si="16">P4*$P$16</f>
        <v>0</v>
      </c>
      <c r="Q21" s="481">
        <f ca="1">SUM(B21:P21)</f>
        <v>15585.50209925365</v>
      </c>
    </row>
    <row r="22" spans="1:17">
      <c r="A22" s="478" t="s">
        <v>156</v>
      </c>
      <c r="B22" s="479">
        <f t="shared" ca="1" si="2"/>
        <v>7884.712366634858</v>
      </c>
      <c r="C22" s="479">
        <f t="shared" ca="1" si="3"/>
        <v>0</v>
      </c>
      <c r="D22" s="479">
        <f t="shared" ca="1" si="4"/>
        <v>7514.4988441267824</v>
      </c>
      <c r="E22" s="479">
        <f t="shared" si="5"/>
        <v>115.09637204199777</v>
      </c>
      <c r="F22" s="479">
        <f t="shared" ca="1" si="6"/>
        <v>1461.3917770473586</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16975.699359850998</v>
      </c>
    </row>
    <row r="23" spans="1:17">
      <c r="A23" s="478" t="s">
        <v>194</v>
      </c>
      <c r="B23" s="479">
        <f t="shared" ca="1" si="2"/>
        <v>235.53374155122032</v>
      </c>
      <c r="C23" s="479"/>
      <c r="D23" s="479"/>
      <c r="E23" s="479"/>
      <c r="F23" s="479"/>
      <c r="G23" s="479"/>
      <c r="H23" s="479"/>
      <c r="I23" s="479"/>
      <c r="J23" s="479"/>
      <c r="K23" s="479"/>
      <c r="L23" s="479"/>
      <c r="M23" s="479"/>
      <c r="N23" s="479"/>
      <c r="O23" s="479"/>
      <c r="P23" s="480"/>
      <c r="Q23" s="478">
        <f t="shared" ca="1" si="17"/>
        <v>235.53374155122032</v>
      </c>
    </row>
    <row r="24" spans="1:17">
      <c r="A24" s="478" t="s">
        <v>112</v>
      </c>
      <c r="B24" s="479">
        <f t="shared" ca="1" si="2"/>
        <v>237.93640196335852</v>
      </c>
      <c r="C24" s="479">
        <f t="shared" ca="1" si="3"/>
        <v>0</v>
      </c>
      <c r="D24" s="479">
        <f t="shared" si="4"/>
        <v>1221.1985773436791</v>
      </c>
      <c r="E24" s="479">
        <f t="shared" si="5"/>
        <v>2.310202188023196</v>
      </c>
      <c r="F24" s="479">
        <f t="shared" si="6"/>
        <v>744.32748506598682</v>
      </c>
      <c r="G24" s="479">
        <f t="shared" si="7"/>
        <v>0</v>
      </c>
      <c r="H24" s="479">
        <f t="shared" si="8"/>
        <v>0</v>
      </c>
      <c r="I24" s="479">
        <f t="shared" si="9"/>
        <v>0</v>
      </c>
      <c r="J24" s="479">
        <f t="shared" si="10"/>
        <v>59.631639499885338</v>
      </c>
      <c r="K24" s="479">
        <f t="shared" si="11"/>
        <v>0</v>
      </c>
      <c r="L24" s="479">
        <f t="shared" si="12"/>
        <v>0</v>
      </c>
      <c r="M24" s="479">
        <f t="shared" si="13"/>
        <v>0</v>
      </c>
      <c r="N24" s="479">
        <f t="shared" si="14"/>
        <v>0</v>
      </c>
      <c r="O24" s="479">
        <f t="shared" si="15"/>
        <v>0</v>
      </c>
      <c r="P24" s="480">
        <f t="shared" si="16"/>
        <v>0</v>
      </c>
      <c r="Q24" s="478">
        <f t="shared" ca="1" si="17"/>
        <v>2265.4043060609329</v>
      </c>
    </row>
    <row r="25" spans="1:17">
      <c r="A25" s="478" t="s">
        <v>650</v>
      </c>
      <c r="B25" s="479">
        <f t="shared" ca="1" si="2"/>
        <v>1134.2210407625575</v>
      </c>
      <c r="C25" s="479">
        <f t="shared" ca="1" si="3"/>
        <v>0</v>
      </c>
      <c r="D25" s="479">
        <f t="shared" si="4"/>
        <v>730.3709001147763</v>
      </c>
      <c r="E25" s="479">
        <f t="shared" si="5"/>
        <v>137.35358681284339</v>
      </c>
      <c r="F25" s="479">
        <f t="shared" si="6"/>
        <v>1652.810862826113</v>
      </c>
      <c r="G25" s="479">
        <f t="shared" si="7"/>
        <v>0</v>
      </c>
      <c r="H25" s="479">
        <f t="shared" si="8"/>
        <v>0</v>
      </c>
      <c r="I25" s="479">
        <f t="shared" si="9"/>
        <v>0</v>
      </c>
      <c r="J25" s="479">
        <f t="shared" si="10"/>
        <v>20.319044746333535</v>
      </c>
      <c r="K25" s="479">
        <f t="shared" si="11"/>
        <v>0</v>
      </c>
      <c r="L25" s="479">
        <f t="shared" si="12"/>
        <v>0</v>
      </c>
      <c r="M25" s="479">
        <f t="shared" si="13"/>
        <v>0</v>
      </c>
      <c r="N25" s="479">
        <f t="shared" si="14"/>
        <v>0</v>
      </c>
      <c r="O25" s="479">
        <f t="shared" si="15"/>
        <v>0</v>
      </c>
      <c r="P25" s="480">
        <f t="shared" si="16"/>
        <v>0</v>
      </c>
      <c r="Q25" s="478">
        <f t="shared" ca="1" si="17"/>
        <v>3675.0754352626236</v>
      </c>
    </row>
    <row r="26" spans="1:17" s="484" customFormat="1">
      <c r="A26" s="482" t="s">
        <v>571</v>
      </c>
      <c r="B26" s="836">
        <f t="shared" ca="1" si="2"/>
        <v>2.691948568801938</v>
      </c>
      <c r="C26" s="483"/>
      <c r="D26" s="483">
        <f t="shared" si="4"/>
        <v>6.1326791496784088</v>
      </c>
      <c r="E26" s="483">
        <f t="shared" si="5"/>
        <v>51.228009991678981</v>
      </c>
      <c r="F26" s="483"/>
      <c r="G26" s="483">
        <f t="shared" si="7"/>
        <v>24653.666142878479</v>
      </c>
      <c r="H26" s="483">
        <f t="shared" si="8"/>
        <v>2952.7355559234293</v>
      </c>
      <c r="I26" s="483"/>
      <c r="J26" s="483"/>
      <c r="K26" s="483"/>
      <c r="L26" s="483"/>
      <c r="M26" s="483">
        <f t="shared" si="13"/>
        <v>0</v>
      </c>
      <c r="N26" s="483"/>
      <c r="O26" s="483"/>
      <c r="P26" s="494"/>
      <c r="Q26" s="482">
        <f t="shared" ca="1" si="17"/>
        <v>27666.45433651207</v>
      </c>
    </row>
    <row r="27" spans="1:17">
      <c r="A27" s="478" t="s">
        <v>561</v>
      </c>
      <c r="B27" s="479">
        <f t="shared" ca="1" si="2"/>
        <v>176.82664578266682</v>
      </c>
      <c r="C27" s="479"/>
      <c r="D27" s="483">
        <f t="shared" si="4"/>
        <v>0</v>
      </c>
      <c r="E27" s="479"/>
      <c r="F27" s="479"/>
      <c r="G27" s="479">
        <f t="shared" si="7"/>
        <v>173.20465732385546</v>
      </c>
      <c r="H27" s="479"/>
      <c r="I27" s="479"/>
      <c r="J27" s="479"/>
      <c r="K27" s="479"/>
      <c r="L27" s="479"/>
      <c r="M27" s="479">
        <f t="shared" si="13"/>
        <v>0</v>
      </c>
      <c r="N27" s="479"/>
      <c r="O27" s="479"/>
      <c r="P27" s="480"/>
      <c r="Q27" s="478">
        <f t="shared" ca="1" si="17"/>
        <v>350.03130310652227</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c r="D29" s="479"/>
      <c r="E29" s="479"/>
      <c r="F29" s="479"/>
      <c r="G29" s="479"/>
      <c r="H29" s="479"/>
      <c r="I29" s="479"/>
      <c r="J29" s="479"/>
      <c r="K29" s="479"/>
      <c r="L29" s="479"/>
      <c r="M29" s="479"/>
      <c r="N29" s="479"/>
      <c r="O29" s="479"/>
      <c r="P29" s="480"/>
      <c r="Q29" s="478">
        <f t="shared" ca="1" si="17"/>
        <v>0</v>
      </c>
    </row>
    <row r="30" spans="1:17">
      <c r="A30" s="485" t="s">
        <v>564</v>
      </c>
      <c r="B30" s="479">
        <f t="shared" ca="1" si="2"/>
        <v>0</v>
      </c>
      <c r="C30" s="479"/>
      <c r="D30" s="479">
        <f t="shared" si="4"/>
        <v>0</v>
      </c>
      <c r="E30" s="479">
        <f t="shared" si="5"/>
        <v>0</v>
      </c>
      <c r="F30" s="479"/>
      <c r="G30" s="479">
        <f t="shared" si="7"/>
        <v>0</v>
      </c>
      <c r="H30" s="479">
        <f t="shared" si="8"/>
        <v>0</v>
      </c>
      <c r="I30" s="479"/>
      <c r="J30" s="479"/>
      <c r="K30" s="479"/>
      <c r="L30" s="479"/>
      <c r="M30" s="479">
        <f t="shared" si="13"/>
        <v>0</v>
      </c>
      <c r="N30" s="479"/>
      <c r="O30" s="479"/>
      <c r="P30" s="480"/>
      <c r="Q30" s="478">
        <f t="shared" ca="1" si="17"/>
        <v>0</v>
      </c>
    </row>
    <row r="31" spans="1:17" s="491" customFormat="1">
      <c r="A31" s="488" t="s">
        <v>565</v>
      </c>
      <c r="B31" s="489">
        <f t="shared" ref="B31:Q31" ca="1" si="18">SUM(B21:B30)</f>
        <v>16216.843602614941</v>
      </c>
      <c r="C31" s="489">
        <f t="shared" ca="1" si="18"/>
        <v>0</v>
      </c>
      <c r="D31" s="489">
        <f t="shared" ca="1" si="18"/>
        <v>18351.489559666181</v>
      </c>
      <c r="E31" s="489">
        <f t="shared" si="18"/>
        <v>467.28025400545101</v>
      </c>
      <c r="F31" s="489">
        <f t="shared" ca="1" si="18"/>
        <v>3858.5301249394583</v>
      </c>
      <c r="G31" s="489">
        <f t="shared" si="18"/>
        <v>24826.870800202334</v>
      </c>
      <c r="H31" s="489">
        <f t="shared" si="18"/>
        <v>2952.7355559234293</v>
      </c>
      <c r="I31" s="489">
        <f t="shared" si="18"/>
        <v>0</v>
      </c>
      <c r="J31" s="489">
        <f t="shared" si="18"/>
        <v>79.95068424621887</v>
      </c>
      <c r="K31" s="489">
        <f t="shared" si="18"/>
        <v>0</v>
      </c>
      <c r="L31" s="489">
        <f t="shared" ca="1" si="18"/>
        <v>0</v>
      </c>
      <c r="M31" s="489">
        <f t="shared" si="18"/>
        <v>0</v>
      </c>
      <c r="N31" s="489">
        <f t="shared" ca="1" si="18"/>
        <v>0</v>
      </c>
      <c r="O31" s="489">
        <f t="shared" si="18"/>
        <v>0</v>
      </c>
      <c r="P31" s="490">
        <f t="shared" si="18"/>
        <v>0</v>
      </c>
      <c r="Q31" s="490">
        <f t="shared" ca="1" si="18"/>
        <v>66753.700581598008</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77" customWidth="1"/>
    <col min="2" max="8" width="26.28515625" style="477" customWidth="1"/>
    <col min="9" max="9" width="32" style="477" customWidth="1"/>
    <col min="10" max="11" width="26.28515625" style="477" customWidth="1"/>
    <col min="12" max="12" width="23.7109375" style="477" customWidth="1"/>
    <col min="13" max="15" width="26.28515625" style="477" customWidth="1"/>
    <col min="16" max="16" width="42" style="477" customWidth="1"/>
    <col min="17" max="17" width="26.28515625" style="477" customWidth="1"/>
    <col min="18" max="18" width="9.5703125" style="477" bestFit="1" customWidth="1"/>
    <col min="19" max="16384" width="9.140625" style="477"/>
  </cols>
  <sheetData>
    <row r="1" spans="1:17" s="1028" customFormat="1" ht="21">
      <c r="A1" s="1170" t="s">
        <v>560</v>
      </c>
      <c r="B1" s="1171" t="s">
        <v>828</v>
      </c>
      <c r="C1" s="1171"/>
      <c r="D1" s="1171"/>
      <c r="E1" s="1171"/>
      <c r="F1" s="1171"/>
      <c r="G1" s="1171"/>
      <c r="H1" s="1171"/>
      <c r="I1" s="1171"/>
      <c r="J1" s="1171"/>
      <c r="K1" s="1171"/>
      <c r="L1" s="1171"/>
      <c r="M1" s="1171"/>
      <c r="N1" s="1171"/>
      <c r="O1" s="1171"/>
      <c r="P1" s="1172"/>
      <c r="Q1" s="1027"/>
    </row>
    <row r="2" spans="1:17" s="1028" customFormat="1" ht="21">
      <c r="A2" s="1170"/>
      <c r="B2" s="1173" t="s">
        <v>21</v>
      </c>
      <c r="C2" s="1175" t="s">
        <v>196</v>
      </c>
      <c r="D2" s="1177" t="s">
        <v>197</v>
      </c>
      <c r="E2" s="1178"/>
      <c r="F2" s="1178"/>
      <c r="G2" s="1178"/>
      <c r="H2" s="1178"/>
      <c r="I2" s="1178"/>
      <c r="J2" s="1178"/>
      <c r="K2" s="1174"/>
      <c r="L2" s="1177" t="s">
        <v>198</v>
      </c>
      <c r="M2" s="1178"/>
      <c r="N2" s="1178"/>
      <c r="O2" s="1178"/>
      <c r="P2" s="1174"/>
      <c r="Q2" s="1027"/>
    </row>
    <row r="3" spans="1:17" s="1028" customFormat="1" ht="42">
      <c r="A3" s="1170"/>
      <c r="B3" s="1174"/>
      <c r="C3" s="1176"/>
      <c r="D3" s="1029" t="s">
        <v>199</v>
      </c>
      <c r="E3" s="1029" t="s">
        <v>200</v>
      </c>
      <c r="F3" s="1029" t="s">
        <v>201</v>
      </c>
      <c r="G3" s="1029" t="s">
        <v>202</v>
      </c>
      <c r="H3" s="1029" t="s">
        <v>120</v>
      </c>
      <c r="I3" s="1029" t="s">
        <v>203</v>
      </c>
      <c r="J3" s="1029" t="s">
        <v>204</v>
      </c>
      <c r="K3" s="1029" t="s">
        <v>205</v>
      </c>
      <c r="L3" s="1029" t="s">
        <v>206</v>
      </c>
      <c r="M3" s="1029" t="s">
        <v>207</v>
      </c>
      <c r="N3" s="1029" t="s">
        <v>208</v>
      </c>
      <c r="O3" s="1029" t="s">
        <v>209</v>
      </c>
      <c r="P3" s="1029" t="s">
        <v>210</v>
      </c>
      <c r="Q3" s="1027" t="s">
        <v>116</v>
      </c>
    </row>
    <row r="4" spans="1:17" ht="124.35" customHeight="1">
      <c r="A4" s="1030" t="s">
        <v>155</v>
      </c>
      <c r="B4" s="1031" t="s">
        <v>829</v>
      </c>
      <c r="C4" s="1032" t="s">
        <v>830</v>
      </c>
      <c r="D4" s="1033" t="s">
        <v>831</v>
      </c>
      <c r="E4" s="1034" t="s">
        <v>832</v>
      </c>
      <c r="F4" s="1034" t="s">
        <v>833</v>
      </c>
      <c r="G4" s="1035" t="s">
        <v>836</v>
      </c>
      <c r="H4" s="1035" t="s">
        <v>836</v>
      </c>
      <c r="I4" s="1035" t="s">
        <v>836</v>
      </c>
      <c r="J4" s="1034" t="s">
        <v>835</v>
      </c>
      <c r="K4" s="1035" t="s">
        <v>836</v>
      </c>
      <c r="L4" s="1035" t="s">
        <v>836</v>
      </c>
      <c r="M4" s="1035" t="s">
        <v>836</v>
      </c>
      <c r="N4" s="1034" t="s">
        <v>837</v>
      </c>
      <c r="O4" s="1036" t="s">
        <v>838</v>
      </c>
      <c r="P4" s="1037" t="s">
        <v>839</v>
      </c>
      <c r="Q4" s="1038"/>
    </row>
    <row r="5" spans="1:17" ht="124.35" customHeight="1">
      <c r="A5" s="1039" t="s">
        <v>156</v>
      </c>
      <c r="B5" s="1040" t="s">
        <v>840</v>
      </c>
      <c r="C5" s="1041" t="s">
        <v>841</v>
      </c>
      <c r="D5" s="1041" t="s">
        <v>842</v>
      </c>
      <c r="E5" s="1042" t="s">
        <v>843</v>
      </c>
      <c r="F5" s="1042" t="s">
        <v>844</v>
      </c>
      <c r="G5" s="1043" t="s">
        <v>836</v>
      </c>
      <c r="H5" s="1043" t="s">
        <v>836</v>
      </c>
      <c r="I5" s="1043" t="s">
        <v>836</v>
      </c>
      <c r="J5" s="1042" t="s">
        <v>845</v>
      </c>
      <c r="K5" s="1040" t="s">
        <v>846</v>
      </c>
      <c r="L5" s="1043" t="s">
        <v>836</v>
      </c>
      <c r="M5" s="1043" t="s">
        <v>836</v>
      </c>
      <c r="N5" s="1042" t="s">
        <v>847</v>
      </c>
      <c r="O5" s="1044" t="s">
        <v>838</v>
      </c>
      <c r="P5" s="1045" t="s">
        <v>839</v>
      </c>
      <c r="Q5" s="1046"/>
    </row>
    <row r="6" spans="1:17" ht="124.35" customHeight="1">
      <c r="A6" s="1039" t="s">
        <v>194</v>
      </c>
      <c r="B6" s="1047" t="s">
        <v>848</v>
      </c>
      <c r="C6" s="1048" t="s">
        <v>834</v>
      </c>
      <c r="D6" s="1043" t="s">
        <v>834</v>
      </c>
      <c r="E6" s="1043" t="s">
        <v>834</v>
      </c>
      <c r="F6" s="1043" t="s">
        <v>834</v>
      </c>
      <c r="G6" s="1043" t="s">
        <v>834</v>
      </c>
      <c r="H6" s="1043" t="s">
        <v>834</v>
      </c>
      <c r="I6" s="1043" t="s">
        <v>834</v>
      </c>
      <c r="J6" s="1043" t="s">
        <v>834</v>
      </c>
      <c r="K6" s="1043" t="s">
        <v>834</v>
      </c>
      <c r="L6" s="1043" t="s">
        <v>834</v>
      </c>
      <c r="M6" s="1043" t="s">
        <v>834</v>
      </c>
      <c r="N6" s="1043" t="s">
        <v>834</v>
      </c>
      <c r="O6" s="1049" t="s">
        <v>834</v>
      </c>
      <c r="P6" s="1050" t="s">
        <v>834</v>
      </c>
      <c r="Q6" s="1051"/>
    </row>
    <row r="7" spans="1:17" ht="124.35" customHeight="1">
      <c r="A7" s="1039" t="s">
        <v>112</v>
      </c>
      <c r="B7" s="1047" t="s">
        <v>848</v>
      </c>
      <c r="C7" s="1041" t="s">
        <v>841</v>
      </c>
      <c r="D7" s="1041" t="s">
        <v>842</v>
      </c>
      <c r="E7" s="1042" t="s">
        <v>843</v>
      </c>
      <c r="F7" s="1042" t="s">
        <v>844</v>
      </c>
      <c r="G7" s="1043" t="s">
        <v>836</v>
      </c>
      <c r="H7" s="1043" t="s">
        <v>836</v>
      </c>
      <c r="I7" s="1043" t="s">
        <v>836</v>
      </c>
      <c r="J7" s="1042" t="s">
        <v>845</v>
      </c>
      <c r="K7" s="1043" t="s">
        <v>836</v>
      </c>
      <c r="L7" s="1043" t="s">
        <v>836</v>
      </c>
      <c r="M7" s="1043" t="s">
        <v>836</v>
      </c>
      <c r="N7" s="1052" t="s">
        <v>836</v>
      </c>
      <c r="O7" s="1048" t="s">
        <v>836</v>
      </c>
      <c r="P7" s="1053" t="s">
        <v>836</v>
      </c>
      <c r="Q7" s="1046"/>
    </row>
    <row r="8" spans="1:17" ht="124.35" customHeight="1">
      <c r="A8" s="1039" t="s">
        <v>650</v>
      </c>
      <c r="B8" s="1040" t="s">
        <v>849</v>
      </c>
      <c r="C8" s="1041" t="s">
        <v>841</v>
      </c>
      <c r="D8" s="1041" t="s">
        <v>842</v>
      </c>
      <c r="E8" s="1042" t="s">
        <v>843</v>
      </c>
      <c r="F8" s="1042" t="s">
        <v>844</v>
      </c>
      <c r="G8" s="1043" t="s">
        <v>836</v>
      </c>
      <c r="H8" s="1043" t="s">
        <v>836</v>
      </c>
      <c r="I8" s="1043" t="s">
        <v>836</v>
      </c>
      <c r="J8" s="1042" t="s">
        <v>845</v>
      </c>
      <c r="K8" s="1040" t="s">
        <v>846</v>
      </c>
      <c r="L8" s="1043" t="s">
        <v>836</v>
      </c>
      <c r="M8" s="1043" t="s">
        <v>836</v>
      </c>
      <c r="N8" s="1042" t="s">
        <v>847</v>
      </c>
      <c r="O8" s="1044" t="s">
        <v>838</v>
      </c>
      <c r="P8" s="1045" t="s">
        <v>839</v>
      </c>
      <c r="Q8" s="1046"/>
    </row>
    <row r="9" spans="1:17" s="484" customFormat="1" ht="124.35" customHeight="1">
      <c r="A9" s="1054" t="s">
        <v>571</v>
      </c>
      <c r="B9" s="1042" t="s">
        <v>850</v>
      </c>
      <c r="C9" s="1049" t="s">
        <v>834</v>
      </c>
      <c r="D9" s="1042" t="s">
        <v>851</v>
      </c>
      <c r="E9" s="1042" t="s">
        <v>852</v>
      </c>
      <c r="F9" s="1043" t="s">
        <v>834</v>
      </c>
      <c r="G9" s="1042" t="s">
        <v>853</v>
      </c>
      <c r="H9" s="1042" t="s">
        <v>854</v>
      </c>
      <c r="I9" s="1043" t="s">
        <v>834</v>
      </c>
      <c r="J9" s="1043" t="s">
        <v>834</v>
      </c>
      <c r="K9" s="1043" t="s">
        <v>834</v>
      </c>
      <c r="L9" s="1043" t="s">
        <v>834</v>
      </c>
      <c r="M9" s="1042" t="s">
        <v>850</v>
      </c>
      <c r="N9" s="1043" t="s">
        <v>834</v>
      </c>
      <c r="O9" s="1043" t="s">
        <v>834</v>
      </c>
      <c r="P9" s="1055" t="s">
        <v>834</v>
      </c>
      <c r="Q9" s="1056"/>
    </row>
    <row r="10" spans="1:17" ht="124.35" customHeight="1">
      <c r="A10" s="1039" t="s">
        <v>561</v>
      </c>
      <c r="B10" s="1040" t="s">
        <v>862</v>
      </c>
      <c r="C10" s="1049" t="s">
        <v>834</v>
      </c>
      <c r="D10" s="1049" t="s">
        <v>834</v>
      </c>
      <c r="E10" s="1049" t="s">
        <v>834</v>
      </c>
      <c r="F10" s="1043" t="s">
        <v>834</v>
      </c>
      <c r="G10" s="1040" t="s">
        <v>855</v>
      </c>
      <c r="H10" s="1043" t="s">
        <v>834</v>
      </c>
      <c r="I10" s="1043" t="s">
        <v>834</v>
      </c>
      <c r="J10" s="1043" t="s">
        <v>834</v>
      </c>
      <c r="K10" s="1043" t="s">
        <v>834</v>
      </c>
      <c r="L10" s="1043" t="s">
        <v>834</v>
      </c>
      <c r="M10" s="1040" t="s">
        <v>856</v>
      </c>
      <c r="N10" s="1043" t="s">
        <v>834</v>
      </c>
      <c r="O10" s="1043" t="s">
        <v>834</v>
      </c>
      <c r="P10" s="1055" t="s">
        <v>834</v>
      </c>
      <c r="Q10" s="1046"/>
    </row>
    <row r="11" spans="1:17" ht="21">
      <c r="A11" s="1039" t="s">
        <v>562</v>
      </c>
      <c r="B11" s="1057" t="s">
        <v>857</v>
      </c>
      <c r="C11" s="1057" t="s">
        <v>857</v>
      </c>
      <c r="D11" s="1057" t="s">
        <v>857</v>
      </c>
      <c r="E11" s="1057" t="s">
        <v>857</v>
      </c>
      <c r="F11" s="1057" t="s">
        <v>857</v>
      </c>
      <c r="G11" s="1057" t="s">
        <v>857</v>
      </c>
      <c r="H11" s="1057" t="s">
        <v>857</v>
      </c>
      <c r="I11" s="1057" t="s">
        <v>857</v>
      </c>
      <c r="J11" s="1057" t="s">
        <v>857</v>
      </c>
      <c r="K11" s="1057" t="s">
        <v>857</v>
      </c>
      <c r="L11" s="1057" t="s">
        <v>857</v>
      </c>
      <c r="M11" s="1057" t="s">
        <v>857</v>
      </c>
      <c r="N11" s="1057" t="s">
        <v>857</v>
      </c>
      <c r="O11" s="1057" t="s">
        <v>857</v>
      </c>
      <c r="P11" s="1075" t="s">
        <v>857</v>
      </c>
      <c r="Q11" s="1076"/>
    </row>
    <row r="12" spans="1:17" ht="21">
      <c r="A12" s="1039" t="s">
        <v>563</v>
      </c>
      <c r="B12" s="1057" t="s">
        <v>857</v>
      </c>
      <c r="C12" s="1057" t="s">
        <v>834</v>
      </c>
      <c r="D12" s="1057" t="s">
        <v>834</v>
      </c>
      <c r="E12" s="1057" t="s">
        <v>834</v>
      </c>
      <c r="F12" s="1057" t="s">
        <v>834</v>
      </c>
      <c r="G12" s="1057" t="s">
        <v>834</v>
      </c>
      <c r="H12" s="1057" t="s">
        <v>834</v>
      </c>
      <c r="I12" s="1057" t="s">
        <v>834</v>
      </c>
      <c r="J12" s="1057" t="s">
        <v>834</v>
      </c>
      <c r="K12" s="1057" t="s">
        <v>834</v>
      </c>
      <c r="L12" s="1057" t="s">
        <v>834</v>
      </c>
      <c r="M12" s="1057" t="s">
        <v>834</v>
      </c>
      <c r="N12" s="1057" t="s">
        <v>834</v>
      </c>
      <c r="O12" s="1057" t="s">
        <v>834</v>
      </c>
      <c r="P12" s="1058" t="s">
        <v>834</v>
      </c>
      <c r="Q12" s="480"/>
    </row>
    <row r="13" spans="1:17" ht="21">
      <c r="A13" s="1059" t="s">
        <v>564</v>
      </c>
      <c r="B13" s="1060" t="s">
        <v>857</v>
      </c>
      <c r="C13" s="479" t="s">
        <v>834</v>
      </c>
      <c r="D13" s="486" t="s">
        <v>857</v>
      </c>
      <c r="E13" s="486" t="s">
        <v>857</v>
      </c>
      <c r="F13" s="486" t="s">
        <v>834</v>
      </c>
      <c r="G13" s="486" t="s">
        <v>857</v>
      </c>
      <c r="H13" s="486" t="s">
        <v>857</v>
      </c>
      <c r="I13" s="486" t="s">
        <v>834</v>
      </c>
      <c r="J13" s="486" t="s">
        <v>834</v>
      </c>
      <c r="K13" s="486" t="s">
        <v>834</v>
      </c>
      <c r="L13" s="486" t="s">
        <v>834</v>
      </c>
      <c r="M13" s="1061" t="s">
        <v>857</v>
      </c>
      <c r="N13" s="486" t="s">
        <v>834</v>
      </c>
      <c r="O13" s="486" t="s">
        <v>834</v>
      </c>
      <c r="P13" s="486" t="s">
        <v>834</v>
      </c>
      <c r="Q13" s="485"/>
    </row>
    <row r="14" spans="1:17" s="491" customFormat="1" ht="21">
      <c r="A14" s="1062" t="s">
        <v>565</v>
      </c>
      <c r="B14" s="1063"/>
      <c r="C14" s="1063"/>
      <c r="D14" s="1063"/>
      <c r="E14" s="1063"/>
      <c r="F14" s="1063"/>
      <c r="G14" s="1063"/>
      <c r="H14" s="1063"/>
      <c r="I14" s="1063"/>
      <c r="J14" s="1063"/>
      <c r="K14" s="1063"/>
      <c r="L14" s="1063"/>
      <c r="M14" s="1064"/>
      <c r="N14" s="1063"/>
      <c r="O14" s="1063"/>
      <c r="P14" s="1065"/>
      <c r="Q14" s="1066"/>
    </row>
    <row r="15" spans="1:17">
      <c r="M15" s="1067"/>
    </row>
    <row r="16" spans="1:17">
      <c r="B16" s="1068">
        <v>1</v>
      </c>
      <c r="C16" s="1069">
        <v>2</v>
      </c>
      <c r="D16" s="1070">
        <v>3</v>
      </c>
    </row>
    <row r="17" spans="1:4" ht="252">
      <c r="A17" s="1071" t="s">
        <v>858</v>
      </c>
      <c r="B17" s="1072" t="s">
        <v>859</v>
      </c>
      <c r="C17" s="1073" t="s">
        <v>860</v>
      </c>
      <c r="D17" s="1074" t="s">
        <v>861</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0.21655148778633368</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0</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0</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85"/>
      <c r="P13" s="1185"/>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0.21655148778633368</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61" t="s">
        <v>328</v>
      </c>
      <c r="B1" s="1179" t="s">
        <v>195</v>
      </c>
      <c r="C1" s="1180"/>
      <c r="D1" s="1180"/>
      <c r="E1" s="1180"/>
      <c r="F1" s="1180"/>
      <c r="G1" s="1180"/>
      <c r="H1" s="1180"/>
      <c r="I1" s="1180"/>
      <c r="J1" s="1180"/>
      <c r="K1" s="1180"/>
      <c r="L1" s="1180"/>
      <c r="M1" s="1180"/>
      <c r="N1" s="1180"/>
      <c r="O1" s="1180"/>
      <c r="P1" s="1180"/>
    </row>
    <row r="2" spans="1:16" ht="15" customHeight="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0.21655148778633368</v>
      </c>
      <c r="C29" s="530">
        <f ca="1">'EF ele_warmte'!B22</f>
        <v>0</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2014</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2019-01-01T21:33:01Z</dcterms:modified>
</cp:coreProperties>
</file>