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<sst xmlns="http://schemas.openxmlformats.org/spreadsheetml/2006/main" count="2137" uniqueCount="871">
  <si>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</si>
  <si>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</si>
  <si>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</si>
  <si>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</si>
  <si>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</si>
  <si>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</si>
  <si>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</si>
  <si>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</si>
  <si>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</si>
  <si>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</si>
  <si>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</si>
  <si>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</si>
  <si>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</si>
  <si>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</si>
  <si>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</si>
  <si>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</si>
  <si>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</si>
  <si>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</si>
  <si>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</si>
  <si>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</si>
  <si>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</si>
  <si>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</si>
  <si>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</si>
  <si>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</si>
  <si>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</si>
  <si>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</si>
  <si>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</si>
  <si>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</si>
  <si>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</si>
  <si>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</si>
  <si>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</si>
  <si>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</si>
  <si>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</si>
  <si>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</si>
  <si>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</si>
  <si>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</si>
  <si>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</si>
  <si>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</si>
  <si>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</si>
  <si>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</si>
  <si>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</si>
  <si>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</si>
  <si>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</si>
  <si>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</si>
  <si>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</si>
  <si>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</si>
  <si>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</si>
  <si>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</si>
  <si>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</si>
  <si>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</si>
  <si>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</si>
  <si>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</si>
  <si>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</si>
  <si>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</si>
  <si>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</si>
  <si>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</si>
  <si>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</si>
  <si>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</si>
  <si>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</si>
  <si>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</si>
  <si>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</si>
  <si>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</si>
  <si>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</si>
  <si>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</si>
  <si>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</si>
  <si>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</si>
  <si>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</si>
  <si>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</si>
  <si>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</si>
  <si>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</si>
  <si>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</si>
  <si>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</si>
  <si>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</si>
  <si>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</si>
  <si>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</si>
  <si>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</si>
  <si>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</si>
  <si>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</si>
  <si>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</si>
  <si>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</si>
  <si>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</si>
  <si>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</si>
  <si>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</si>
  <si>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</si>
  <si>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</si>
  <si>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</si>
  <si>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</si>
  <si>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</si>
  <si>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</si>
  <si>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</si>
  <si>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</si>
  <si>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</si>
  <si>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</si>
  <si>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</si>
  <si>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</si>
  <si>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</si>
  <si>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</si>
  <si>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</si>
  <si>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</si>
  <si>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</si>
  <si>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</si>
  <si>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</si>
  <si>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</si>
  <si>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</si>
  <si>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</si>
  <si>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</si>
  <si>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</si>
  <si>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</si>
  <si>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</si>
  <si>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</si>
  <si>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</si>
  <si>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</si>
  <si>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</si>
  <si>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</si>
  <si>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</si>
  <si>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</si>
  <si>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</si>
  <si>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</si>
  <si>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</si>
  <si>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</si>
  <si>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</si>
  <si>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</si>
  <si>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</si>
  <si>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</si>
  <si>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</si>
  <si>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</si>
  <si>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</si>
  <si>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</si>
  <si>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</si>
  <si>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</si>
  <si>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</si>
  <si>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</si>
  <si>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</si>
  <si>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</si>
  <si>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</si>
  <si>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</si>
  <si>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</si>
  <si>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</si>
  <si>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</si>
  <si>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</si>
  <si>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</si>
  <si>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</si>
  <si>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</si>
  <si>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</si>
  <si>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</si>
  <si>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</si>
  <si>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</si>
  <si>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</si>
  <si>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</si>
  <si>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</si>
  <si>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</si>
  <si>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</si>
  <si>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</si>
  <si>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</si>
  <si>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</si>
  <si>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</si>
  <si>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</si>
  <si>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</si>
  <si>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</si>
  <si>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</si>
  <si>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</si>
  <si>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</si>
  <si>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</si>
  <si>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</si>
  <si>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</si>
  <si>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</si>
  <si>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</si>
  <si>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</si>
  <si>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</si>
  <si>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</si>
  <si>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</si>
  <si>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</si>
  <si>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</si>
  <si>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</si>
  <si>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</si>
  <si>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</si>
  <si>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</si>
  <si>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</si>
  <si>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</si>
  <si>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</si>
  <si>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</si>
  <si>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</si>
  <si>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</si>
  <si>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</si>
  <si>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</si>
  <si>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</si>
  <si>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</si>
  <si>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</si>
  <si>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</si>
  <si>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</si>
  <si>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</si>
  <si>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</si>
  <si>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</si>
  <si>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</si>
  <si>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</si>
  <si>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</si>
  <si>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</si>
  <si>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</si>
  <si>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</si>
  <si>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</si>
  <si>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</si>
  <si>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</si>
  <si>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</si>
  <si>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</si>
  <si>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</si>
  <si>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</si>
  <si>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</si>
  <si>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</si>
  <si>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</si>
  <si>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</si>
  <si>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</si>
  <si>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</si>
  <si>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</si>
  <si>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</si>
  <si>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</si>
  <si>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</si>
  <si>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</si>
  <si>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</si>
  <si>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</si>
  <si>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</si>
  <si>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</si>
  <si>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</si>
  <si>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</si>
  <si>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</si>
  <si>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</si>
  <si>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</si>
  <si>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</si>
  <si>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</si>
  <si>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</si>
  <si>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</si>
  <si>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</si>
  <si>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</si>
  <si>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</si>
  <si>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</si>
  <si>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</si>
  <si>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</si>
  <si>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</si>
  <si>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</si>
  <si>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</si>
  <si>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</si>
  <si>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</si>
  <si>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</si>
  <si>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</si>
  <si>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</si>
  <si>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</si>
  <si>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</si>
  <si>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</si>
  <si>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</si>
  <si>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</si>
  <si>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</si>
  <si>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</si>
  <si>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</si>
  <si>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</si>
  <si>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</si>
  <si>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</si>
  <si>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</si>
  <si>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</si>
  <si>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</si>
  <si>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</si>
  <si>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</si>
  <si>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</si>
  <si>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</si>
  <si>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</si>
  <si>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</si>
  <si>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</si>
  <si>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</si>
  <si>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</si>
  <si>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</si>
  <si>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</si>
  <si>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</si>
  <si>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</si>
  <si>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</si>
  <si>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</si>
  <si>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</si>
  <si>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</si>
  <si>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</si>
  <si>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</si>
  <si>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</si>
  <si>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</si>
  <si>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</si>
  <si>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</si>
  <si>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</si>
  <si>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</si>
  <si>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</si>
  <si>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</si>
  <si>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</si>
  <si>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</si>
  <si>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</si>
  <si>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</si>
  <si>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</si>
  <si>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</si>
  <si>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</si>
  <si>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</si>
  <si>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</si>
  <si>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</si>
  <si>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</si>
  <si>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</si>
  <si>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</si>
  <si>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</si>
  <si>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</si>
  <si>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</si>
  <si>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</si>
  <si>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</si>
  <si>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</si>
  <si>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</si>
  <si>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</si>
  <si>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</si>
  <si>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</si>
  <si>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</si>
  <si>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</si>
  <si>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</si>
  <si>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</si>
  <si>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</si>
  <si>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</si>
  <si>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</si>
  <si>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</si>
  <si>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</si>
  <si>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</si>
  <si>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</si>
  <si>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</si>
  <si>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</si>
  <si>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</si>
  <si>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</si>
  <si>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</si>
  <si>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</si>
  <si>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</si>
  <si>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</si>
  <si>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</si>
  <si>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</si>
  <si>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</si>
  <si>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</si>
  <si>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</si>
  <si>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</si>
  <si>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</si>
  <si>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</si>
  <si>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</si>
  <si>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</si>
  <si>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</si>
  <si>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</si>
  <si>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</si>
  <si>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</si>
  <si>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</si>
  <si>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</si>
  <si>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</si>
  <si>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</si>
  <si>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</si>
  <si>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</si>
  <si>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</si>
  <si>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</si>
  <si>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</si>
  <si>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</si>
  <si>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</si>
  <si>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</si>
  <si>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</si>
  <si>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</si>
  <si>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</si>
  <si>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</si>
  <si>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</si>
  <si>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</si>
  <si>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</si>
  <si>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</si>
  <si>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</si>
  <si>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</si>
  <si>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</si>
  <si>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</si>
  <si>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</si>
  <si>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</si>
  <si>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</si>
  <si>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</si>
  <si>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</si>
  <si>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</si>
  <si>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</si>
  <si>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</si>
  <si>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</si>
  <si>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</si>
  <si>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</si>
  <si>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</si>
  <si>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</si>
  <si>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</si>
  <si>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</si>
  <si>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</si>
  <si>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</si>
  <si>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</si>
  <si>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</si>
  <si>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</si>
  <si>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</si>
  <si>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</si>
  <si>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</si>
  <si>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</si>
  <si>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</si>
  <si>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</si>
  <si>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</si>
  <si>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</si>
  <si>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</si>
  <si>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</si>
  <si>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</si>
  <si>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</si>
  <si>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</si>
  <si>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</si>
  <si>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</si>
  <si>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</si>
  <si>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</si>
  <si>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</si>
  <si>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</si>
  <si>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</si>
  <si>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</si>
  <si>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</si>
  <si>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</si>
  <si>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</si>
  <si>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</si>
  <si>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</si>
  <si>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</si>
  <si>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</si>
  <si>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</si>
  <si>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</si>
  <si>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</si>
  <si>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</si>
  <si>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</si>
  <si>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</si>
  <si>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</si>
  <si>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</si>
  <si>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</si>
  <si>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</si>
  <si>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</si>
  <si>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</si>
  <si>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</si>
  <si>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</si>
  <si>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</si>
  <si>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</si>
  <si>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</si>
  <si>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</si>
  <si>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</si>
  <si>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</si>
  <si>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</si>
  <si>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</si>
  <si>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</si>
  <si>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</si>
  <si>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</si>
  <si>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</si>
  <si>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</si>
  <si>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</si>
  <si>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</si>
  <si>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</si>
  <si>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</si>
  <si>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</si>
  <si>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</si>
  <si>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</si>
  <si>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</si>
  <si>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</si>
  <si>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</si>
  <si>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</si>
  <si>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</si>
  <si>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</si>
  <si>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</si>
  <si>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</si>
  <si>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</si>
  <si>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</si>
  <si>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</si>
  <si>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</si>
  <si>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</si>
  <si>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</si>
  <si>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</si>
  <si>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</si>
  <si>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</si>
  <si>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</si>
  <si>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</si>
  <si>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</si>
  <si>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</si>
  <si>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</si>
  <si>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</si>
  <si>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</si>
  <si>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</si>
  <si>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</si>
  <si>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</si>
  <si>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</si>
  <si>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</si>
  <si>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</si>
  <si>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</si>
  <si>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</si>
  <si>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</si>
  <si>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</si>
  <si>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</si>
  <si>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</si>
  <si>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</si>
  <si>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</si>
  <si>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</si>
  <si>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</si>
  <si>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</si>
  <si>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</si>
  <si>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</si>
  <si>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</si>
  <si>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</si>
  <si>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</si>
  <si>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</si>
  <si>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</si>
  <si>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</si>
  <si>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</si>
  <si>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</si>
  <si>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</si>
  <si>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</si>
  <si>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</si>
  <si>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</si>
  <si>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</si>
  <si>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</si>
  <si>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</si>
  <si>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</si>
  <si>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</si>
  <si>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</si>
  <si>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</si>
  <si>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</si>
  <si>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</si>
  <si>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</si>
  <si>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</si>
  <si>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</si>
  <si>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</si>
  <si>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</si>
  <si>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</si>
  <si>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</si>
  <si>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</si>
  <si>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</si>
  <si>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</si>
  <si>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</si>
  <si>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</si>
  <si>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</si>
  <si>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</si>
  <si>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</si>
  <si>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</si>
  <si>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</si>
  <si>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</si>
  <si>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</si>
  <si>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</si>
  <si>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</si>
  <si>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</si>
  <si>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</si>
  <si>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</si>
  <si>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</si>
  <si>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</si>
  <si>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</si>
  <si>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</si>
  <si>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</si>
  <si>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</si>
  <si>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</si>
  <si>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</si>
  <si>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</si>
  <si>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</si>
  <si>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</si>
  <si>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</si>
  <si>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</si>
  <si>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</si>
  <si>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</si>
  <si>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</si>
  <si>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</si>
  <si>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</si>
  <si>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</si>
  <si>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</si>
  <si>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</si>
  <si>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</si>
  <si>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</si>
  <si>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</si>
  <si>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</si>
  <si>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</si>
  <si>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</si>
  <si>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</si>
  <si>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</si>
  <si>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</si>
  <si>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</si>
  <si>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</si>
  <si>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</si>
  <si>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</si>
  <si>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</si>
  <si>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</si>
  <si>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</si>
  <si>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</si>
  <si>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</si>
  <si>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</si>
  <si>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</si>
  <si>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</si>
  <si>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</si>
  <si>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</si>
  <si>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</si>
  <si>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</si>
  <si>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</si>
  <si>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</si>
  <si>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</si>
  <si>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</si>
  <si>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</si>
  <si>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</si>
  <si>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</si>
  <si>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</si>
  <si>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</si>
  <si>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</si>
  <si>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</si>
  <si>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</si>
  <si>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</si>
  <si>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</si>
  <si>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</si>
  <si>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</si>
  <si>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</si>
  <si>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</si>
  <si>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</si>
  <si>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</si>
  <si>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</si>
  <si>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</si>
  <si>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</si>
  <si>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</si>
  <si>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</si>
  <si>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</si>
  <si>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</si>
  <si>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</si>
  <si>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</si>
  <si>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</si>
  <si>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</si>
  <si>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</si>
  <si>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</si>
  <si>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</si>
  <si>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</si>
  <si>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</si>
  <si>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</si>
  <si>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</si>
  <si>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</si>
  <si>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</si>
  <si>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</si>
  <si>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</si>
  <si>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</si>
  <si>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</si>
  <si>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</si>
  <si>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</si>
  <si>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</si>
  <si>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</si>
  <si>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</si>
  <si>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</si>
  <si>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</si>
  <si>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</si>
  <si>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</si>
  <si>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</si>
  <si>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</si>
  <si>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</si>
  <si>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</si>
  <si>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</si>
  <si>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</si>
  <si>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</si>
  <si>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</si>
  <si>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</si>
  <si>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</si>
  <si>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</si>
  <si>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</si>
  <si>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</si>
  <si>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</si>
  <si>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</si>
  <si>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</si>
  <si>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</si>
  <si>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</si>
  <si>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</si>
  <si>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</si>
  <si>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</si>
  <si>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</si>
  <si>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</si>
  <si>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</si>
  <si>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</si>
  <si>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</si>
  <si>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</si>
  <si>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</si>
  <si>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</si>
  <si>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</si>
  <si>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</si>
  <si>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</si>
  <si>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</si>
  <si>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</si>
  <si>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</si>
  <si>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</si>
  <si>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</si>
  <si>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</si>
  <si>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</si>
  <si>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</si>
  <si>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</si>
  <si>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</si>
  <si>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</si>
  <si>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</si>
  <si>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</si>
  <si>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</si>
  <si>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</si>
  <si>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</si>
  <si>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</si>
  <si>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</si>
  <si>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</si>
  <si>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</si>
  <si>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</si>
  <si>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</si>
  <si>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</si>
  <si>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</si>
  <si>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</si>
  <si>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</si>
  <si>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</si>
  <si>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</si>
  <si>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</si>
  <si>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</si>
  <si>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</si>
  <si>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</si>
  <si>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</si>
  <si>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</si>
  <si>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</si>
  <si>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</si>
  <si>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</si>
  <si>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</si>
  <si>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</si>
  <si>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</si>
  <si>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</si>
  <si>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</si>
  <si>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</si>
  <si>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</si>
  <si>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</si>
  <si>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</si>
  <si>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</si>
  <si>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</si>
  <si>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</si>
  <si>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</si>
  <si>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</si>
  <si>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</si>
  <si>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</si>
  <si>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</si>
  <si>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</si>
  <si>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</si>
  <si>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</si>
  <si>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</si>
  <si>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</si>
  <si>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</si>
  <si>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</si>
  <si>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</si>
  <si>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</si>
  <si>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</si>
  <si>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</si>
  <si>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</si>
  <si>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</si>
  <si>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</si>
  <si>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</si>
  <si>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</si>
  <si>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</si>
  <si>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</si>
  <si>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</si>
  <si>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</si>
  <si>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</si>
  <si>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</si>
  <si>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</si>
  <si>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</si>
  <si>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</si>
  <si>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</si>
  <si>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</si>
  <si>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</si>
  <si>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</si>
  <si>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</si>
  <si>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</si>
  <si>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</si>
  <si>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</si>
  <si>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</si>
  <si>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</si>
  <si>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</si>
  <si>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</si>
  <si>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</si>
  <si>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</si>
  <si>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</si>
  <si>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</si>
  <si>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</si>
  <si>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</si>
  <si>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</si>
  <si>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</si>
  <si>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</si>
  <si>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</si>
  <si>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</si>
  <si>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</si>
  <si>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</si>
  <si>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</si>
  <si>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</si>
  <si>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</si>
  <si>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</si>
  <si>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</si>
  <si>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</si>
  <si>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</si>
  <si>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</si>
  <si>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</si>
  <si>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</si>
  <si>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</si>
  <si>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</si>
  <si>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</si>
  <si>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</si>
  <si>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</si>
  <si>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</si>
  <si>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</si>
  <si>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</si>
  <si>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</si>
  <si>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</si>
  <si>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</si>
  <si>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</si>
  <si>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</si>
  <si>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</si>
  <si>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</si>
  <si>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</si>
  <si>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</si>
  <si>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</si>
  <si>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</si>
  <si>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</si>
  <si>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</si>
  <si>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</si>
  <si>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</si>
  <si>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</si>
  <si>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</si>
  <si>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</si>
  <si>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</si>
  <si>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</si>
  <si>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</si>
  <si>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</si>
  <si>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</si>
  <si>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</si>
  <si>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</si>
  <si>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</si>
  <si>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</si>
  <si>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</si>
  <si>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</si>
  <si>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</si>
  <si>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</si>
  <si>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</si>
  <si>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</si>
  <si>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</si>
  <si>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</si>
  <si>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</si>
  <si>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</si>
  <si>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</si>
  <si>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</si>
  <si>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</si>
  <si>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</si>
  <si>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</si>
  <si>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</si>
  <si>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</si>
  <si>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</si>
  <si>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</si>
  <si>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</si>
  <si>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</si>
  <si>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</si>
  <si>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</si>
  <si>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</si>
  <si>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</si>
  <si>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</si>
  <si>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</si>
  <si>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</si>
  <si>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</si>
  <si>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</si>
  <si>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</si>
  <si>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</si>
  <si>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</si>
  <si>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</si>
  <si>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</si>
  <si>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</si>
  <si>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</si>
  <si>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</si>
  <si>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</si>
  <si>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</si>
  <si>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</si>
  <si>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</si>
  <si>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</si>
  <si>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</si>
  <si>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</si>
  <si>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</si>
  <si>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</si>
  <si>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</si>
  <si>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38008</t>
  </si>
  <si>
    <t>DE_PANNE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</si>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</sst>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80675.793145134885</c:v>
                </c:pt>
                <c:pt idx="1">
                  <c:v>58041.578942150016</c:v>
                </c:pt>
                <c:pt idx="2">
                  <c:v>1579.4559999999999</c:v>
                </c:pt>
                <c:pt idx="3">
                  <c:v>9348.5390438948525</c:v>
                </c:pt>
                <c:pt idx="4">
                  <c:v>4984.7247688064044</c:v>
                </c:pt>
                <c:pt idx="5">
                  <c:v>84582.986537772056</c:v>
                </c:pt>
                <c:pt idx="6">
                  <c:v>951.25598795186045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680960"/>
        <c:axId val="182682752"/>
      </c:barChart>
      <c:catAx>
        <c:axId val="182680960"/>
        <c:scaling>
          <c:orientation val="minMax"/>
        </c:scaling>
        <c:axPos val="b"/>
        <c:numFmt formatCode="General" sourceLinked="0"/>
        <c:tickLblPos val="nextTo"/>
        <c:crossAx val="182682752"/>
        <c:crosses val="autoZero"/>
        <c:auto val="1"/>
        <c:lblAlgn val="ctr"/>
        <c:lblOffset val="100"/>
      </c:catAx>
      <c:valAx>
        <c:axId val="182682752"/>
        <c:scaling>
          <c:orientation val="minMax"/>
        </c:scaling>
        <c:axPos val="l"/>
        <c:majorGridlines/>
        <c:numFmt formatCode="#,##0" sourceLinked="1"/>
        <c:tickLblPos val="nextTo"/>
        <c:crossAx val="182680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80675.793145134885</c:v>
                </c:pt>
                <c:pt idx="1">
                  <c:v>58041.578942150016</c:v>
                </c:pt>
                <c:pt idx="2">
                  <c:v>1579.4559999999999</c:v>
                </c:pt>
                <c:pt idx="3">
                  <c:v>9348.5390438948525</c:v>
                </c:pt>
                <c:pt idx="4">
                  <c:v>4984.7247688064044</c:v>
                </c:pt>
                <c:pt idx="5">
                  <c:v>84582.986537772056</c:v>
                </c:pt>
                <c:pt idx="6">
                  <c:v>951.25598795186045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16599.370008457463</c:v>
                </c:pt>
                <c:pt idx="1">
                  <c:v>11956.250948246552</c:v>
                </c:pt>
                <c:pt idx="2">
                  <c:v>339.87227612910272</c:v>
                </c:pt>
                <c:pt idx="3">
                  <c:v>1974.6084043075527</c:v>
                </c:pt>
                <c:pt idx="4">
                  <c:v>1020.265830969081</c:v>
                </c:pt>
                <c:pt idx="5">
                  <c:v>21253.801806247797</c:v>
                </c:pt>
                <c:pt idx="6">
                  <c:v>210.92227760808697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040256"/>
        <c:axId val="183214080"/>
      </c:barChart>
      <c:catAx>
        <c:axId val="183040256"/>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040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16599.370008457463</c:v>
                </c:pt>
                <c:pt idx="1">
                  <c:v>11956.250948246552</c:v>
                </c:pt>
                <c:pt idx="2">
                  <c:v>339.87227612910272</c:v>
                </c:pt>
                <c:pt idx="3">
                  <c:v>1974.6084043075527</c:v>
                </c:pt>
                <c:pt idx="4">
                  <c:v>1020.265830969081</c:v>
                </c:pt>
                <c:pt idx="5">
                  <c:v>21253.801806247797</c:v>
                </c:pt>
                <c:pt idx="6">
                  <c:v>210.92227760808697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38008</v>
      </c>
      <c r="B6" s="416"/>
      <c r="C6" s="417"/>
    </row>
    <row r="7" spans="1:7" s="414" customFormat="1" ht="15.75" customHeight="1">
      <c r="A7" s="418" t="str">
        <f>txtMunicipality</f>
        <v>DE_PANNE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5385</v>
      </c>
      <c r="C9" s="342">
        <v>5606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1293</v>
      </c>
    </row>
    <row r="15" spans="1:6">
      <c r="A15" s="348" t="s">
        <v>184</v>
      </c>
      <c r="B15" s="334">
        <v>12</v>
      </c>
    </row>
    <row r="16" spans="1:6">
      <c r="A16" s="348" t="s">
        <v>6</v>
      </c>
      <c r="B16" s="334">
        <v>673</v>
      </c>
    </row>
    <row r="17" spans="1:6">
      <c r="A17" s="348" t="s">
        <v>7</v>
      </c>
      <c r="B17" s="334">
        <v>91</v>
      </c>
    </row>
    <row r="18" spans="1:6">
      <c r="A18" s="348" t="s">
        <v>8</v>
      </c>
      <c r="B18" s="334">
        <v>336</v>
      </c>
    </row>
    <row r="19" spans="1:6">
      <c r="A19" s="348" t="s">
        <v>9</v>
      </c>
      <c r="B19" s="334">
        <v>364</v>
      </c>
    </row>
    <row r="20" spans="1:6">
      <c r="A20" s="348" t="s">
        <v>10</v>
      </c>
      <c r="B20" s="334">
        <v>287</v>
      </c>
    </row>
    <row r="21" spans="1:6">
      <c r="A21" s="348" t="s">
        <v>11</v>
      </c>
      <c r="B21" s="334">
        <v>1930</v>
      </c>
    </row>
    <row r="22" spans="1:6">
      <c r="A22" s="348" t="s">
        <v>12</v>
      </c>
      <c r="B22" s="334">
        <v>486</v>
      </c>
    </row>
    <row r="23" spans="1:6">
      <c r="A23" s="348" t="s">
        <v>13</v>
      </c>
      <c r="B23" s="334">
        <v>35</v>
      </c>
    </row>
    <row r="24" spans="1:6">
      <c r="A24" s="348" t="s">
        <v>14</v>
      </c>
      <c r="B24" s="334">
        <v>4</v>
      </c>
    </row>
    <row r="25" spans="1:6">
      <c r="A25" s="348" t="s">
        <v>15</v>
      </c>
      <c r="B25" s="334">
        <v>682</v>
      </c>
    </row>
    <row r="26" spans="1:6">
      <c r="A26" s="348" t="s">
        <v>16</v>
      </c>
      <c r="B26" s="334">
        <v>29</v>
      </c>
    </row>
    <row r="27" spans="1:6">
      <c r="A27" s="348" t="s">
        <v>17</v>
      </c>
      <c r="B27" s="334">
        <v>0</v>
      </c>
    </row>
    <row r="28" spans="1:6" s="356" customFormat="1">
      <c r="A28" s="355" t="s">
        <v>18</v>
      </c>
      <c r="B28" s="355">
        <v>30135</v>
      </c>
    </row>
    <row r="29" spans="1:6">
      <c r="A29" s="355" t="s">
        <v>865</v>
      </c>
      <c r="B29" s="355">
        <v>184</v>
      </c>
      <c r="C29" s="356"/>
      <c r="D29" s="356"/>
      <c r="E29" s="356"/>
      <c r="F29" s="356"/>
    </row>
    <row r="30" spans="1:6">
      <c r="A30" s="341" t="s">
        <v>866</v>
      </c>
      <c r="B30" s="341">
        <v>94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20282.509999999998</v>
      </c>
    </row>
    <row r="37" spans="1:6">
      <c r="A37" s="348" t="s">
        <v>25</v>
      </c>
      <c r="B37" s="348" t="s">
        <v>28</v>
      </c>
      <c r="C37" s="334">
        <v>0</v>
      </c>
      <c r="D37" s="334">
        <v>0</v>
      </c>
      <c r="E37" s="334">
        <v>0</v>
      </c>
      <c r="F37" s="334">
        <v>0</v>
      </c>
    </row>
    <row r="38" spans="1:6">
      <c r="A38" s="348" t="s">
        <v>25</v>
      </c>
      <c r="B38" s="348" t="s">
        <v>29</v>
      </c>
      <c r="C38" s="334">
        <v>2</v>
      </c>
      <c r="D38" s="334">
        <v>481511.766975276</v>
      </c>
      <c r="E38" s="334">
        <v>0</v>
      </c>
      <c r="F38" s="334">
        <v>0</v>
      </c>
    </row>
    <row r="39" spans="1:6">
      <c r="A39" s="348" t="s">
        <v>30</v>
      </c>
      <c r="B39" s="348" t="s">
        <v>31</v>
      </c>
      <c r="C39" s="334">
        <v>6041</v>
      </c>
      <c r="D39" s="334">
        <v>59832515.924140498</v>
      </c>
      <c r="E39" s="334">
        <v>11189</v>
      </c>
      <c r="F39" s="334">
        <v>25235232</v>
      </c>
    </row>
    <row r="40" spans="1:6">
      <c r="A40" s="348" t="s">
        <v>30</v>
      </c>
      <c r="B40" s="348" t="s">
        <v>29</v>
      </c>
      <c r="C40" s="334">
        <v>1</v>
      </c>
      <c r="D40" s="334">
        <v>9395.6704069013995</v>
      </c>
      <c r="E40" s="334">
        <v>1</v>
      </c>
      <c r="F40" s="334">
        <v>1172</v>
      </c>
    </row>
    <row r="41" spans="1:6">
      <c r="A41" s="348" t="s">
        <v>32</v>
      </c>
      <c r="B41" s="348" t="s">
        <v>33</v>
      </c>
      <c r="C41" s="334">
        <v>99</v>
      </c>
      <c r="D41" s="334">
        <v>706590.12928262295</v>
      </c>
      <c r="E41" s="334">
        <v>161</v>
      </c>
      <c r="F41" s="334">
        <v>727583.7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30374.613220848001</v>
      </c>
      <c r="E44" s="334">
        <v>11</v>
      </c>
      <c r="F44" s="334">
        <v>117529.9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238722.41959935401</v>
      </c>
      <c r="E48" s="334">
        <v>23</v>
      </c>
      <c r="F48" s="334">
        <v>490320.3</v>
      </c>
    </row>
    <row r="49" spans="1:6">
      <c r="A49" s="348" t="s">
        <v>32</v>
      </c>
      <c r="B49" s="348" t="s">
        <v>40</v>
      </c>
      <c r="C49" s="334">
        <v>0</v>
      </c>
      <c r="D49" s="334">
        <v>0</v>
      </c>
      <c r="E49" s="334">
        <v>0</v>
      </c>
      <c r="F49" s="334">
        <v>0</v>
      </c>
    </row>
    <row r="50" spans="1:6">
      <c r="A50" s="348" t="s">
        <v>32</v>
      </c>
      <c r="B50" s="348" t="s">
        <v>41</v>
      </c>
      <c r="C50" s="334">
        <v>10</v>
      </c>
      <c r="D50" s="334">
        <v>549772.35938430997</v>
      </c>
      <c r="E50" s="334">
        <v>13</v>
      </c>
      <c r="F50" s="334">
        <v>287126.59999999998</v>
      </c>
    </row>
    <row r="51" spans="1:6">
      <c r="A51" s="348" t="s">
        <v>42</v>
      </c>
      <c r="B51" s="348" t="s">
        <v>43</v>
      </c>
      <c r="C51" s="334">
        <v>0</v>
      </c>
      <c r="D51" s="334">
        <v>0</v>
      </c>
      <c r="E51" s="334">
        <v>20</v>
      </c>
      <c r="F51" s="334">
        <v>367767.8</v>
      </c>
    </row>
    <row r="52" spans="1:6">
      <c r="A52" s="348" t="s">
        <v>42</v>
      </c>
      <c r="B52" s="348" t="s">
        <v>29</v>
      </c>
      <c r="C52" s="334">
        <v>5</v>
      </c>
      <c r="D52" s="334">
        <v>56933.919482374302</v>
      </c>
      <c r="E52" s="334">
        <v>9</v>
      </c>
      <c r="F52" s="334">
        <v>59754.02</v>
      </c>
    </row>
    <row r="53" spans="1:6">
      <c r="A53" s="348" t="s">
        <v>44</v>
      </c>
      <c r="B53" s="348" t="s">
        <v>45</v>
      </c>
      <c r="C53" s="334">
        <v>729</v>
      </c>
      <c r="D53" s="334">
        <v>8553719.2638977207</v>
      </c>
      <c r="E53" s="334">
        <v>2153</v>
      </c>
      <c r="F53" s="334">
        <v>5484627</v>
      </c>
    </row>
    <row r="54" spans="1:6">
      <c r="A54" s="348" t="s">
        <v>46</v>
      </c>
      <c r="B54" s="348" t="s">
        <v>47</v>
      </c>
      <c r="C54" s="334">
        <v>0</v>
      </c>
      <c r="D54" s="334">
        <v>0</v>
      </c>
      <c r="E54" s="334">
        <v>1</v>
      </c>
      <c r="F54" s="334">
        <v>1579456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1188334.1876545299</v>
      </c>
      <c r="E57" s="334">
        <v>102</v>
      </c>
      <c r="F57" s="334">
        <v>2100205</v>
      </c>
    </row>
    <row r="58" spans="1:6">
      <c r="A58" s="348" t="s">
        <v>49</v>
      </c>
      <c r="B58" s="348" t="s">
        <v>51</v>
      </c>
      <c r="C58" s="334">
        <v>10</v>
      </c>
      <c r="D58" s="334">
        <v>92295.260999050894</v>
      </c>
      <c r="E58" s="334">
        <v>36</v>
      </c>
      <c r="F58" s="334">
        <v>610104</v>
      </c>
    </row>
    <row r="59" spans="1:6">
      <c r="A59" s="348" t="s">
        <v>49</v>
      </c>
      <c r="B59" s="348" t="s">
        <v>52</v>
      </c>
      <c r="C59" s="334">
        <v>163</v>
      </c>
      <c r="D59" s="334">
        <v>3300125.4157987498</v>
      </c>
      <c r="E59" s="334">
        <v>328</v>
      </c>
      <c r="F59" s="334">
        <v>6139519</v>
      </c>
    </row>
    <row r="60" spans="1:6">
      <c r="A60" s="348" t="s">
        <v>49</v>
      </c>
      <c r="B60" s="348" t="s">
        <v>53</v>
      </c>
      <c r="C60" s="334">
        <v>163</v>
      </c>
      <c r="D60" s="334">
        <v>8736498.7102249507</v>
      </c>
      <c r="E60" s="334">
        <v>220</v>
      </c>
      <c r="F60" s="334">
        <v>6574247</v>
      </c>
    </row>
    <row r="61" spans="1:6">
      <c r="A61" s="348" t="s">
        <v>49</v>
      </c>
      <c r="B61" s="348" t="s">
        <v>54</v>
      </c>
      <c r="C61" s="334">
        <v>212</v>
      </c>
      <c r="D61" s="334">
        <v>8510096.7333808802</v>
      </c>
      <c r="E61" s="334">
        <v>711</v>
      </c>
      <c r="F61" s="334">
        <v>6509577</v>
      </c>
    </row>
    <row r="62" spans="1:6">
      <c r="A62" s="348" t="s">
        <v>49</v>
      </c>
      <c r="B62" s="348" t="s">
        <v>55</v>
      </c>
      <c r="C62" s="334">
        <v>7</v>
      </c>
      <c r="D62" s="334">
        <v>1104997.3647302701</v>
      </c>
      <c r="E62" s="334">
        <v>7</v>
      </c>
      <c r="F62" s="334">
        <v>127894.8</v>
      </c>
    </row>
    <row r="63" spans="1:6">
      <c r="A63" s="348" t="s">
        <v>49</v>
      </c>
      <c r="B63" s="348" t="s">
        <v>29</v>
      </c>
      <c r="C63" s="334">
        <v>86</v>
      </c>
      <c r="D63" s="334">
        <v>4263406.6346285399</v>
      </c>
      <c r="E63" s="334">
        <v>76</v>
      </c>
      <c r="F63" s="334">
        <v>4793813</v>
      </c>
    </row>
    <row r="64" spans="1:6">
      <c r="A64" s="348" t="s">
        <v>56</v>
      </c>
      <c r="B64" s="348" t="s">
        <v>57</v>
      </c>
      <c r="C64" s="334">
        <v>0</v>
      </c>
      <c r="D64" s="334">
        <v>0</v>
      </c>
      <c r="E64" s="334">
        <v>0</v>
      </c>
      <c r="F64" s="334">
        <v>0</v>
      </c>
    </row>
    <row r="65" spans="1:6">
      <c r="A65" s="348" t="s">
        <v>56</v>
      </c>
      <c r="B65" s="348" t="s">
        <v>29</v>
      </c>
      <c r="C65" s="334">
        <v>5</v>
      </c>
      <c r="D65" s="334">
        <v>199698.584927274</v>
      </c>
      <c r="E65" s="334">
        <v>2</v>
      </c>
      <c r="F65" s="334">
        <v>8891.0339999999997</v>
      </c>
    </row>
    <row r="66" spans="1:6">
      <c r="A66" s="348" t="s">
        <v>56</v>
      </c>
      <c r="B66" s="348" t="s">
        <v>58</v>
      </c>
      <c r="C66" s="334">
        <v>0</v>
      </c>
      <c r="D66" s="334">
        <v>0</v>
      </c>
      <c r="E66" s="334">
        <v>25</v>
      </c>
      <c r="F66" s="334">
        <v>227456.3</v>
      </c>
    </row>
    <row r="67" spans="1:6">
      <c r="A67" s="355" t="s">
        <v>56</v>
      </c>
      <c r="B67" s="355" t="s">
        <v>59</v>
      </c>
      <c r="C67" s="334">
        <v>0</v>
      </c>
      <c r="D67" s="334">
        <v>0</v>
      </c>
      <c r="E67" s="334">
        <v>0</v>
      </c>
      <c r="F67" s="334">
        <v>0</v>
      </c>
    </row>
    <row r="68" spans="1:6">
      <c r="A68" s="341" t="s">
        <v>56</v>
      </c>
      <c r="B68" s="341" t="s">
        <v>60</v>
      </c>
      <c r="C68" s="334">
        <v>0</v>
      </c>
      <c r="D68" s="334">
        <v>0</v>
      </c>
      <c r="E68" s="334">
        <v>16</v>
      </c>
      <c r="F68" s="334">
        <v>1432340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27060434</v>
      </c>
      <c r="E73" s="477">
        <v>28604903.813366547</v>
      </c>
    </row>
    <row r="74" spans="1:6">
      <c r="A74" s="348" t="s">
        <v>64</v>
      </c>
      <c r="B74" s="348" t="s">
        <v>714</v>
      </c>
      <c r="C74" s="1288" t="s">
        <v>716</v>
      </c>
      <c r="D74" s="477">
        <v>2480838.4453228991</v>
      </c>
      <c r="E74" s="477">
        <v>2650486.6197012323</v>
      </c>
    </row>
    <row r="75" spans="1:6">
      <c r="A75" s="348" t="s">
        <v>65</v>
      </c>
      <c r="B75" s="348" t="s">
        <v>713</v>
      </c>
      <c r="C75" s="1288" t="s">
        <v>717</v>
      </c>
      <c r="D75" s="477">
        <v>3030712</v>
      </c>
      <c r="E75" s="477">
        <v>3201941.2313086716</v>
      </c>
    </row>
    <row r="76" spans="1:6">
      <c r="A76" s="348" t="s">
        <v>65</v>
      </c>
      <c r="B76" s="348" t="s">
        <v>714</v>
      </c>
      <c r="C76" s="1288" t="s">
        <v>718</v>
      </c>
      <c r="D76" s="477">
        <v>222722.44532289897</v>
      </c>
      <c r="E76" s="477">
        <v>238849.8283373205</v>
      </c>
    </row>
    <row r="77" spans="1:6">
      <c r="A77" s="348" t="s">
        <v>66</v>
      </c>
      <c r="B77" s="348" t="s">
        <v>713</v>
      </c>
      <c r="C77" s="1288" t="s">
        <v>719</v>
      </c>
      <c r="D77" s="477">
        <v>31222552</v>
      </c>
      <c r="E77" s="477">
        <v>31086774.362650316</v>
      </c>
    </row>
    <row r="78" spans="1:6">
      <c r="A78" s="341" t="s">
        <v>66</v>
      </c>
      <c r="B78" s="341" t="s">
        <v>714</v>
      </c>
      <c r="C78" s="341" t="s">
        <v>720</v>
      </c>
      <c r="D78" s="1284">
        <v>14324539</v>
      </c>
      <c r="E78" s="1284">
        <v>15338532.77496391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44485.109354202032</v>
      </c>
      <c r="C83" s="477">
        <v>44864.855398833752</v>
      </c>
    </row>
    <row r="84" spans="1:6">
      <c r="A84" s="341" t="s">
        <v>337</v>
      </c>
      <c r="B84" s="1284">
        <v>222633.95024187517</v>
      </c>
      <c r="C84" s="1284">
        <v>224685.1376802483</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1233.768220186467</v>
      </c>
    </row>
    <row r="92" spans="1:6">
      <c r="A92" s="341" t="s">
        <v>69</v>
      </c>
      <c r="B92" s="342">
        <v>286.20672939823862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3072</v>
      </c>
    </row>
    <row r="98" spans="1:6">
      <c r="A98" s="348" t="s">
        <v>72</v>
      </c>
      <c r="B98" s="334">
        <v>3</v>
      </c>
    </row>
    <row r="99" spans="1:6">
      <c r="A99" s="348" t="s">
        <v>73</v>
      </c>
      <c r="B99" s="334">
        <v>28</v>
      </c>
    </row>
    <row r="100" spans="1:6">
      <c r="A100" s="348" t="s">
        <v>74</v>
      </c>
      <c r="B100" s="334">
        <v>564</v>
      </c>
    </row>
    <row r="101" spans="1:6">
      <c r="A101" s="348" t="s">
        <v>75</v>
      </c>
      <c r="B101" s="334">
        <v>30</v>
      </c>
    </row>
    <row r="102" spans="1:6">
      <c r="A102" s="348" t="s">
        <v>76</v>
      </c>
      <c r="B102" s="334">
        <v>111</v>
      </c>
    </row>
    <row r="103" spans="1:6">
      <c r="A103" s="348" t="s">
        <v>77</v>
      </c>
      <c r="B103" s="334">
        <v>65</v>
      </c>
    </row>
    <row r="104" spans="1:6">
      <c r="A104" s="348" t="s">
        <v>78</v>
      </c>
      <c r="B104" s="334">
        <v>657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4</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57748.258272991348</v>
      </c>
      <c r="C3" s="43" t="s">
        <v>170</v>
      </c>
      <c r="D3" s="43"/>
      <c r="E3" s="154"/>
      <c r="F3" s="43"/>
      <c r="G3" s="43"/>
      <c r="H3" s="43"/>
      <c r="I3" s="43"/>
      <c r="J3" s="43"/>
      <c r="K3" s="96"/>
    </row>
    <row r="4" spans="1:11">
      <c r="A4" s="384" t="s">
        <v>171</v>
      </c>
      <c r="B4" s="49">
        <f>IF(ISERROR('SEAP template'!B69),0,'SEAP template'!B69)</f>
        <v>1519.9749495847057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0.2151831238914555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1579.4559999999999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1579.4559999999999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0.2151831238914555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339.87227612910272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25236.403999999999</v>
      </c>
      <c r="C5" s="17">
        <f>IF(ISERROR('Eigen informatie GS &amp; warmtenet'!B57),0,'Eigen informatie GS &amp; warmtenet'!B57)</f>
        <v>0</v>
      </c>
      <c r="D5" s="30">
        <f>(SUM(HH_hh_gas_kWh,HH_rest_gas_kWh)/1000)*0.902</f>
        <v>53977.404258281756</v>
      </c>
      <c r="E5" s="17">
        <f>B46*B57</f>
        <v>0</v>
      </c>
      <c r="F5" s="17">
        <f>B51*B62</f>
        <v>0</v>
      </c>
      <c r="G5" s="18"/>
      <c r="H5" s="17"/>
      <c r="I5" s="17"/>
      <c r="J5" s="17">
        <f>B50*B61+C50*C61</f>
        <v>0</v>
      </c>
      <c r="K5" s="17"/>
      <c r="L5" s="17"/>
      <c r="M5" s="17"/>
      <c r="N5" s="17">
        <f>B48*B59+C48*C59</f>
        <v>0</v>
      </c>
      <c r="O5" s="17">
        <f>B69*B70*B71</f>
        <v>132.88333333333333</v>
      </c>
      <c r="P5" s="17">
        <f>B77*B78*B79/1000-B77*B78*B79/1000/B80</f>
        <v>95.333333333333343</v>
      </c>
    </row>
    <row r="6" spans="1:16">
      <c r="A6" s="16" t="s">
        <v>631</v>
      </c>
      <c r="B6" s="844">
        <f>kWh_PV_kleiner_dan_10kW</f>
        <v>1233.768220186467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26470.172220186465</v>
      </c>
      <c r="C8" s="21">
        <f>C5</f>
        <v>0</v>
      </c>
      <c r="D8" s="21">
        <f>D5</f>
        <v>53977.404258281756</v>
      </c>
      <c r="E8" s="21">
        <f>E5</f>
        <v>0</v>
      </c>
      <c r="F8" s="21">
        <f>F5</f>
        <v>0</v>
      </c>
      <c r="G8" s="21"/>
      <c r="H8" s="21"/>
      <c r="I8" s="21"/>
      <c r="J8" s="21">
        <f>J5</f>
        <v>0</v>
      </c>
      <c r="K8" s="21"/>
      <c r="L8" s="21">
        <f>L5</f>
        <v>0</v>
      </c>
      <c r="M8" s="21">
        <f>M5</f>
        <v>0</v>
      </c>
      <c r="N8" s="21">
        <f>N5</f>
        <v>0</v>
      </c>
      <c r="O8" s="21">
        <f>O5</f>
        <v>132.88333333333333</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0.2151831238914555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5695.9343482845479</v>
      </c>
      <c r="C12" s="23">
        <f ca="1">C10*C8</f>
        <v>0</v>
      </c>
      <c r="D12" s="23">
        <f>D8*D10</f>
        <v>10903.435660172916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3072</v>
      </c>
      <c r="C18" s="166" t="s">
        <v>111</v>
      </c>
      <c r="D18" s="228"/>
      <c r="E18" s="15"/>
    </row>
    <row r="19" spans="1:7">
      <c r="A19" s="171" t="s">
        <v>72</v>
      </c>
      <c r="B19" s="37">
        <f>aantalw2001_ander</f>
        <v>3</v>
      </c>
      <c r="C19" s="166" t="s">
        <v>111</v>
      </c>
      <c r="D19" s="229"/>
      <c r="E19" s="15"/>
    </row>
    <row r="20" spans="1:7">
      <c r="A20" s="171" t="s">
        <v>73</v>
      </c>
      <c r="B20" s="37">
        <f>aantalw2001_propaan</f>
        <v>28</v>
      </c>
      <c r="C20" s="167">
        <f>IF(ISERROR(B20/SUM($B$20,$B$21,$B$22)*100),0,B20/SUM($B$20,$B$21,$B$22)*100)</f>
        <v>4.501607717041801</v>
      </c>
      <c r="D20" s="229"/>
      <c r="E20" s="15"/>
    </row>
    <row r="21" spans="1:7">
      <c r="A21" s="171" t="s">
        <v>74</v>
      </c>
      <c r="B21" s="37">
        <f>aantalw2001_elektriciteit</f>
        <v>564</v>
      </c>
      <c r="C21" s="167">
        <f>IF(ISERROR(B21/SUM($B$20,$B$21,$B$22)*100),0,B21/SUM($B$20,$B$21,$B$22)*100)</f>
        <v>90.675241157556272</v>
      </c>
      <c r="D21" s="229"/>
      <c r="E21" s="15"/>
    </row>
    <row r="22" spans="1:7">
      <c r="A22" s="171" t="s">
        <v>75</v>
      </c>
      <c r="B22" s="37">
        <f>aantalw2001_hout</f>
        <v>30</v>
      </c>
      <c r="C22" s="167">
        <f>IF(ISERROR(B22/SUM($B$20,$B$21,$B$22)*100),0,B22/SUM($B$20,$B$21,$B$22)*100)</f>
        <v>4.823151125401929</v>
      </c>
      <c r="D22" s="229"/>
      <c r="E22" s="15"/>
    </row>
    <row r="23" spans="1:7">
      <c r="A23" s="171" t="s">
        <v>76</v>
      </c>
      <c r="B23" s="37">
        <f>aantalw2001_niet_gespec</f>
        <v>111</v>
      </c>
      <c r="C23" s="166" t="s">
        <v>111</v>
      </c>
      <c r="D23" s="228"/>
      <c r="E23" s="15"/>
    </row>
    <row r="24" spans="1:7">
      <c r="A24" s="171" t="s">
        <v>77</v>
      </c>
      <c r="B24" s="37">
        <f>aantalw2001_steenkool</f>
        <v>65</v>
      </c>
      <c r="C24" s="166" t="s">
        <v>111</v>
      </c>
      <c r="D24" s="229"/>
      <c r="E24" s="15"/>
    </row>
    <row r="25" spans="1:7">
      <c r="A25" s="171" t="s">
        <v>78</v>
      </c>
      <c r="B25" s="37">
        <f>aantalw2001_stookolie</f>
        <v>657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5385</v>
      </c>
      <c r="C28" s="36"/>
      <c r="D28" s="228"/>
    </row>
    <row r="29" spans="1:7" s="15" customFormat="1">
      <c r="A29" s="230" t="s">
        <v>741</v>
      </c>
      <c r="B29" s="37">
        <f>SUM(HH_hh_gas_aantal,HH_rest_gas_aantal)</f>
        <v>6042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6042</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6042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26855.359799999998</v>
      </c>
      <c r="C5" s="17">
        <f>IF(ISERROR('Eigen informatie GS &amp; warmtenet'!B58),0,'Eigen informatie GS &amp; warmtenet'!B58)</f>
        <v>0</v>
      </c>
      <c r="D5" s="30">
        <f>SUM(D6:D12)</f>
        <v>24530.57038529011</v>
      </c>
      <c r="E5" s="17">
        <f>SUM(E6:E12)</f>
        <v>411.88445335114545</v>
      </c>
      <c r="F5" s="17">
        <f>SUM(F6:F12)</f>
        <v>4227.5570955589028</v>
      </c>
      <c r="G5" s="18"/>
      <c r="H5" s="17"/>
      <c r="I5" s="17"/>
      <c r="J5" s="17">
        <f>SUM(J6:J12)</f>
        <v>0</v>
      </c>
      <c r="K5" s="17"/>
      <c r="L5" s="17"/>
      <c r="M5" s="17"/>
      <c r="N5" s="17">
        <f>SUM(N6:N12)</f>
        <v>2009.9538746165231</v>
      </c>
      <c r="O5" s="17">
        <f>B38*B39*B40</f>
        <v>6.2533333333333339</v>
      </c>
      <c r="P5" s="17">
        <f>B46*B47*B48/1000-B46*B47*B48/1000/B49</f>
        <v>0</v>
      </c>
      <c r="R5" s="32"/>
    </row>
    <row r="6" spans="1:18">
      <c r="A6" s="32" t="s">
        <v>54</v>
      </c>
      <c r="B6" s="37">
        <f>B26</f>
        <v>6509.5770000000002</v>
      </c>
      <c r="C6" s="33"/>
      <c r="D6" s="37">
        <f>IF(ISERROR(TER_kantoor_gas_kWh/1000),0,TER_kantoor_gas_kWh/1000)*0.902</f>
        <v>7676.1072535095545</v>
      </c>
      <c r="E6" s="33">
        <f>$C$26*'E Balans VL '!I12/100/3.6*1000000</f>
        <v>18.859199659370649</v>
      </c>
      <c r="F6" s="33">
        <f>$C$26*('E Balans VL '!L12+'E Balans VL '!N12)/100/3.6*1000000</f>
        <v>736.74069929922598</v>
      </c>
      <c r="G6" s="34"/>
      <c r="H6" s="33"/>
      <c r="I6" s="33"/>
      <c r="J6" s="33">
        <f>$C$26*('E Balans VL '!D12+'E Balans VL '!E12)/100/3.6*1000000</f>
        <v>0</v>
      </c>
      <c r="K6" s="33"/>
      <c r="L6" s="33"/>
      <c r="M6" s="33"/>
      <c r="N6" s="33">
        <f>$C$26*'E Balans VL '!Y12/100/3.6*1000000</f>
        <v>65.156069299509909</v>
      </c>
      <c r="O6" s="33"/>
      <c r="P6" s="33"/>
      <c r="R6" s="32"/>
    </row>
    <row r="7" spans="1:18">
      <c r="A7" s="32" t="s">
        <v>53</v>
      </c>
      <c r="B7" s="37">
        <f t="shared" ref="B7:B12" si="0">B27</f>
        <v>6574.2470000000003</v>
      </c>
      <c r="C7" s="33"/>
      <c r="D7" s="37">
        <f>IF(ISERROR(TER_horeca_gas_kWh/1000),0,TER_horeca_gas_kWh/1000)*0.902</f>
        <v>7880.3218366229057</v>
      </c>
      <c r="E7" s="33">
        <f>$C$27*'E Balans VL '!I9/100/3.6*1000000</f>
        <v>275.96852097690567</v>
      </c>
      <c r="F7" s="33">
        <f>$C$27*('E Balans VL '!L9+'E Balans VL '!N9)/100/3.6*1000000</f>
        <v>1412.611785582257</v>
      </c>
      <c r="G7" s="34"/>
      <c r="H7" s="33"/>
      <c r="I7" s="33"/>
      <c r="J7" s="33">
        <f>$C$27*('E Balans VL '!D9+'E Balans VL '!E9)/100/3.6*1000000</f>
        <v>0</v>
      </c>
      <c r="K7" s="33"/>
      <c r="L7" s="33"/>
      <c r="M7" s="33"/>
      <c r="N7" s="33">
        <f>$C$27*'E Balans VL '!Y9/100/3.6*1000000</f>
        <v>1.6941259580242618</v>
      </c>
      <c r="O7" s="33"/>
      <c r="P7" s="33"/>
      <c r="R7" s="32"/>
    </row>
    <row r="8" spans="1:18">
      <c r="A8" s="6" t="s">
        <v>52</v>
      </c>
      <c r="B8" s="37">
        <f t="shared" si="0"/>
        <v>6139.5190000000002</v>
      </c>
      <c r="C8" s="33"/>
      <c r="D8" s="37">
        <f>IF(ISERROR(TER_handel_gas_kWh/1000),0,TER_handel_gas_kWh/1000)*0.902</f>
        <v>2976.7131250504722</v>
      </c>
      <c r="E8" s="33">
        <f>$C$28*'E Balans VL '!I13/100/3.6*1000000</f>
        <v>65.943543836410186</v>
      </c>
      <c r="F8" s="33">
        <f>$C$28*('E Balans VL '!L13+'E Balans VL '!N13)/100/3.6*1000000</f>
        <v>794.81143365275045</v>
      </c>
      <c r="G8" s="34"/>
      <c r="H8" s="33"/>
      <c r="I8" s="33"/>
      <c r="J8" s="33">
        <f>$C$28*('E Balans VL '!D13+'E Balans VL '!E13)/100/3.6*1000000</f>
        <v>0</v>
      </c>
      <c r="K8" s="33"/>
      <c r="L8" s="33"/>
      <c r="M8" s="33"/>
      <c r="N8" s="33">
        <f>$C$28*'E Balans VL '!Y13/100/3.6*1000000</f>
        <v>49.804113360313139</v>
      </c>
      <c r="O8" s="33"/>
      <c r="P8" s="33"/>
      <c r="R8" s="32"/>
    </row>
    <row r="9" spans="1:18">
      <c r="A9" s="32" t="s">
        <v>51</v>
      </c>
      <c r="B9" s="37">
        <f t="shared" si="0"/>
        <v>610.10400000000004</v>
      </c>
      <c r="C9" s="33"/>
      <c r="D9" s="37">
        <f>IF(ISERROR(TER_gezond_gas_kWh/1000),0,TER_gezond_gas_kWh/1000)*0.902</f>
        <v>83.250325421143913</v>
      </c>
      <c r="E9" s="33">
        <f>$C$29*'E Balans VL '!I10/100/3.6*1000000</f>
        <v>0.48568224446954278</v>
      </c>
      <c r="F9" s="33">
        <f>$C$29*('E Balans VL '!L10+'E Balans VL '!N10)/100/3.6*1000000</f>
        <v>74.166957996932467</v>
      </c>
      <c r="G9" s="34"/>
      <c r="H9" s="33"/>
      <c r="I9" s="33"/>
      <c r="J9" s="33">
        <f>$C$29*('E Balans VL '!D10+'E Balans VL '!E10)/100/3.6*1000000</f>
        <v>0</v>
      </c>
      <c r="K9" s="33"/>
      <c r="L9" s="33"/>
      <c r="M9" s="33"/>
      <c r="N9" s="33">
        <f>$C$29*'E Balans VL '!Y10/100/3.6*1000000</f>
        <v>4.928258475565312</v>
      </c>
      <c r="O9" s="33"/>
      <c r="P9" s="33"/>
      <c r="R9" s="32"/>
    </row>
    <row r="10" spans="1:18">
      <c r="A10" s="32" t="s">
        <v>50</v>
      </c>
      <c r="B10" s="37">
        <f t="shared" si="0"/>
        <v>2100.2049999999999</v>
      </c>
      <c r="C10" s="33"/>
      <c r="D10" s="37">
        <f>IF(ISERROR(TER_ander_gas_kWh/1000),0,TER_ander_gas_kWh/1000)*0.902</f>
        <v>1071.8774372643859</v>
      </c>
      <c r="E10" s="33">
        <f>$C$30*'E Balans VL '!I14/100/3.6*1000000</f>
        <v>7.1975128656278633</v>
      </c>
      <c r="F10" s="33">
        <f>$C$30*('E Balans VL '!L14+'E Balans VL '!N14)/100/3.6*1000000</f>
        <v>469.10045472182185</v>
      </c>
      <c r="G10" s="34"/>
      <c r="H10" s="33"/>
      <c r="I10" s="33"/>
      <c r="J10" s="33">
        <f>$C$30*('E Balans VL '!D14+'E Balans VL '!E14)/100/3.6*1000000</f>
        <v>0</v>
      </c>
      <c r="K10" s="33"/>
      <c r="L10" s="33"/>
      <c r="M10" s="33"/>
      <c r="N10" s="33">
        <f>$C$30*'E Balans VL '!Y14/100/3.6*1000000</f>
        <v>1479.3958751956452</v>
      </c>
      <c r="O10" s="33"/>
      <c r="P10" s="33"/>
      <c r="R10" s="32"/>
    </row>
    <row r="11" spans="1:18">
      <c r="A11" s="32" t="s">
        <v>55</v>
      </c>
      <c r="B11" s="37">
        <f t="shared" si="0"/>
        <v>127.8948</v>
      </c>
      <c r="C11" s="33"/>
      <c r="D11" s="37">
        <f>IF(ISERROR(TER_onderwijs_gas_kWh/1000),0,TER_onderwijs_gas_kWh/1000)*0.902</f>
        <v>996.70762298670377</v>
      </c>
      <c r="E11" s="33">
        <f>$C$31*'E Balans VL '!I11/100/3.6*1000000</f>
        <v>8.8409736390152399E-2</v>
      </c>
      <c r="F11" s="33">
        <f>$C$31*('E Balans VL '!L11+'E Balans VL '!N11)/100/3.6*1000000</f>
        <v>33.479143548135042</v>
      </c>
      <c r="G11" s="34"/>
      <c r="H11" s="33"/>
      <c r="I11" s="33"/>
      <c r="J11" s="33">
        <f>$C$31*('E Balans VL '!D11+'E Balans VL '!E11)/100/3.6*1000000</f>
        <v>0</v>
      </c>
      <c r="K11" s="33"/>
      <c r="L11" s="33"/>
      <c r="M11" s="33"/>
      <c r="N11" s="33">
        <f>$C$31*'E Balans VL '!Y11/100/3.6*1000000</f>
        <v>0.12730838017069787</v>
      </c>
      <c r="O11" s="33"/>
      <c r="P11" s="33"/>
      <c r="R11" s="32"/>
    </row>
    <row r="12" spans="1:18">
      <c r="A12" s="32" t="s">
        <v>260</v>
      </c>
      <c r="B12" s="37">
        <f t="shared" si="0"/>
        <v>4793.8130000000001</v>
      </c>
      <c r="C12" s="33"/>
      <c r="D12" s="37">
        <f>IF(ISERROR(TER_rest_gas_kWh/1000),0,TER_rest_gas_kWh/1000)*0.902</f>
        <v>3845.592784434943</v>
      </c>
      <c r="E12" s="33">
        <f>$C$32*'E Balans VL '!I8/100/3.6*1000000</f>
        <v>43.341584031971436</v>
      </c>
      <c r="F12" s="33">
        <f>$C$32*('E Balans VL '!L8+'E Balans VL '!N8)/100/3.6*1000000</f>
        <v>706.64662075777937</v>
      </c>
      <c r="G12" s="34"/>
      <c r="H12" s="33"/>
      <c r="I12" s="33"/>
      <c r="J12" s="33">
        <f>$C$32*('E Balans VL '!D8+'E Balans VL '!E8)/100/3.6*1000000</f>
        <v>0</v>
      </c>
      <c r="K12" s="33"/>
      <c r="L12" s="33"/>
      <c r="M12" s="33"/>
      <c r="N12" s="33">
        <f>$C$32*'E Balans VL '!Y8/100/3.6*1000000</f>
        <v>408.8481239472946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26855.359799999998</v>
      </c>
      <c r="C16" s="21">
        <f t="shared" ca="1" si="1"/>
        <v>0</v>
      </c>
      <c r="D16" s="21">
        <f t="shared" ca="1" si="1"/>
        <v>24530.57038529011</v>
      </c>
      <c r="E16" s="21">
        <f t="shared" si="1"/>
        <v>411.88445335114545</v>
      </c>
      <c r="F16" s="21">
        <f t="shared" ca="1" si="1"/>
        <v>4227.5570955589028</v>
      </c>
      <c r="G16" s="21">
        <f t="shared" si="1"/>
        <v>0</v>
      </c>
      <c r="H16" s="21">
        <f t="shared" si="1"/>
        <v>0</v>
      </c>
      <c r="I16" s="21">
        <f t="shared" si="1"/>
        <v>0</v>
      </c>
      <c r="J16" s="21">
        <f t="shared" si="1"/>
        <v>0</v>
      </c>
      <c r="K16" s="21">
        <f t="shared" si="1"/>
        <v>0</v>
      </c>
      <c r="L16" s="21">
        <f t="shared" ca="1" si="1"/>
        <v>0</v>
      </c>
      <c r="M16" s="21">
        <f t="shared" si="1"/>
        <v>0</v>
      </c>
      <c r="N16" s="21">
        <f t="shared" ca="1" si="1"/>
        <v>2009.9538746165231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0.2151831238914555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5778.820214993013</v>
      </c>
      <c r="C20" s="23">
        <f t="shared" ref="C20:P20" ca="1" si="2">C16*C18</f>
        <v>0</v>
      </c>
      <c r="D20" s="23">
        <f t="shared" ca="1" si="2"/>
        <v>4955.1752178286024</v>
      </c>
      <c r="E20" s="23">
        <f t="shared" si="2"/>
        <v>93.497770910710017</v>
      </c>
      <c r="F20" s="23">
        <f t="shared" ca="1" si="2"/>
        <v>1128.7577445142272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6509.5770000000002</v>
      </c>
      <c r="C26" s="39">
        <f>IF(ISERROR(B26*3.6/1000000/'E Balans VL '!Z12*100),0,B26*3.6/1000000/'E Balans VL '!Z12*100)</f>
        <v>0.14299038462962735</v>
      </c>
      <c r="D26" s="237" t="s">
        <v>692</v>
      </c>
      <c r="F26" s="6"/>
    </row>
    <row r="27" spans="1:18">
      <c r="A27" s="231" t="s">
        <v>53</v>
      </c>
      <c r="B27" s="33">
        <f>IF(ISERROR(TER_horeca_ele_kWh/1000),0,TER_horeca_ele_kWh/1000)</f>
        <v>6574.2470000000003</v>
      </c>
      <c r="C27" s="39">
        <f>IF(ISERROR(B27*3.6/1000000/'E Balans VL '!Z9*100),0,B27*3.6/1000000/'E Balans VL '!Z9*100)</f>
        <v>0.52830627931810992</v>
      </c>
      <c r="D27" s="237" t="s">
        <v>692</v>
      </c>
      <c r="F27" s="6"/>
    </row>
    <row r="28" spans="1:18">
      <c r="A28" s="171" t="s">
        <v>52</v>
      </c>
      <c r="B28" s="33">
        <f>IF(ISERROR(TER_handel_ele_kWh/1000),0,TER_handel_ele_kWh/1000)</f>
        <v>6139.5190000000002</v>
      </c>
      <c r="C28" s="39">
        <f>IF(ISERROR(B28*3.6/1000000/'E Balans VL '!Z13*100),0,B28*3.6/1000000/'E Balans VL '!Z13*100)</f>
        <v>0.18154128767196898</v>
      </c>
      <c r="D28" s="237" t="s">
        <v>692</v>
      </c>
      <c r="F28" s="6"/>
    </row>
    <row r="29" spans="1:18">
      <c r="A29" s="231" t="s">
        <v>51</v>
      </c>
      <c r="B29" s="33">
        <f>IF(ISERROR(TER_gezond_ele_kWh/1000),0,TER_gezond_ele_kWh/1000)</f>
        <v>610.10400000000004</v>
      </c>
      <c r="C29" s="39">
        <f>IF(ISERROR(B29*3.6/1000000/'E Balans VL '!Z10*100),0,B29*3.6/1000000/'E Balans VL '!Z10*100)</f>
        <v>6.8742969303217952E-2</v>
      </c>
      <c r="D29" s="237" t="s">
        <v>692</v>
      </c>
      <c r="F29" s="6"/>
    </row>
    <row r="30" spans="1:18">
      <c r="A30" s="231" t="s">
        <v>50</v>
      </c>
      <c r="B30" s="33">
        <f>IF(ISERROR(TER_ander_ele_kWh/1000),0,TER_ander_ele_kWh/1000)</f>
        <v>2100.2049999999999</v>
      </c>
      <c r="C30" s="39">
        <f>IF(ISERROR(B30*3.6/1000000/'E Balans VL '!Z14*100),0,B30*3.6/1000000/'E Balans VL '!Z14*100)</f>
        <v>0.15883491401171929</v>
      </c>
      <c r="D30" s="237" t="s">
        <v>692</v>
      </c>
      <c r="F30" s="6"/>
    </row>
    <row r="31" spans="1:18">
      <c r="A31" s="231" t="s">
        <v>55</v>
      </c>
      <c r="B31" s="33">
        <f>IF(ISERROR(TER_onderwijs_ele_kWh/1000),0,TER_onderwijs_ele_kWh/1000)</f>
        <v>127.8948</v>
      </c>
      <c r="C31" s="39">
        <f>IF(ISERROR(B31*3.6/1000000/'E Balans VL '!Z11*100),0,B31*3.6/1000000/'E Balans VL '!Z11*100)</f>
        <v>2.6547991529676303E-2</v>
      </c>
      <c r="D31" s="237" t="s">
        <v>692</v>
      </c>
    </row>
    <row r="32" spans="1:18">
      <c r="A32" s="231" t="s">
        <v>260</v>
      </c>
      <c r="B32" s="33">
        <f>IF(ISERROR(TER_rest_ele_kWh/1000),0,TER_rest_ele_kWh/1000)</f>
        <v>4793.8130000000001</v>
      </c>
      <c r="C32" s="39">
        <f>IF(ISERROR(B32*3.6/1000000/'E Balans VL '!Z8*100),0,B32*3.6/1000000/'E Balans VL '!Z8*100)</f>
        <v>4.0385054420313947E-2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1622.5605</v>
      </c>
      <c r="C5" s="17">
        <f>IF(ISERROR('Eigen informatie GS &amp; warmtenet'!B59),0,'Eigen informatie GS &amp; warmtenet'!B59)</f>
        <v>0</v>
      </c>
      <c r="D5" s="30">
        <f>SUM(D6:D15)</f>
        <v>1375.9644883813955</v>
      </c>
      <c r="E5" s="17">
        <f>SUM(E6:E15)</f>
        <v>230.86825390135721</v>
      </c>
      <c r="F5" s="17">
        <f>SUM(F6:F15)</f>
        <v>1264.4398154207263</v>
      </c>
      <c r="G5" s="18"/>
      <c r="H5" s="17"/>
      <c r="I5" s="17"/>
      <c r="J5" s="17">
        <f>SUM(J6:J15)</f>
        <v>8.9289346616243161</v>
      </c>
      <c r="K5" s="17"/>
      <c r="L5" s="17"/>
      <c r="M5" s="17"/>
      <c r="N5" s="17">
        <f>SUM(N6:N15)</f>
        <v>481.96277644130038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117.5299</v>
      </c>
      <c r="C8" s="33"/>
      <c r="D8" s="37">
        <f>IF( ISERROR(IND_metaal_Gas_kWH/1000),0,IND_metaal_Gas_kWH/1000)*0.902</f>
        <v>27.397901125204896</v>
      </c>
      <c r="E8" s="33">
        <f>C30*'E Balans VL '!I18/100/3.6*1000000</f>
        <v>2.9413620511625092</v>
      </c>
      <c r="F8" s="33">
        <f>C30*'E Balans VL '!L18/100/3.6*1000000+C30*'E Balans VL '!N18/100/3.6*1000000</f>
        <v>36.8344552837886</v>
      </c>
      <c r="G8" s="34"/>
      <c r="H8" s="33"/>
      <c r="I8" s="33"/>
      <c r="J8" s="40">
        <f>C30*'E Balans VL '!D18/100/3.6*1000000+C30*'E Balans VL '!E18/100/3.6*1000000</f>
        <v>0</v>
      </c>
      <c r="K8" s="33"/>
      <c r="L8" s="33"/>
      <c r="M8" s="33"/>
      <c r="N8" s="33">
        <f>C30*'E Balans VL '!Y18/100/3.6*1000000</f>
        <v>2.9526561046881596</v>
      </c>
      <c r="O8" s="33"/>
      <c r="P8" s="33"/>
      <c r="R8" s="32"/>
    </row>
    <row r="9" spans="1:18">
      <c r="A9" s="6" t="s">
        <v>33</v>
      </c>
      <c r="B9" s="37">
        <f t="shared" si="0"/>
        <v>727.58369999999991</v>
      </c>
      <c r="C9" s="33"/>
      <c r="D9" s="37">
        <f>IF( ISERROR(IND_andere_gas_kWh/1000),0,IND_andere_gas_kWh/1000)*0.902</f>
        <v>637.34429661292586</v>
      </c>
      <c r="E9" s="33">
        <f>C31*'E Balans VL '!I19/100/3.6*1000000</f>
        <v>200.05567561409504</v>
      </c>
      <c r="F9" s="33">
        <f>C31*'E Balans VL '!L19/100/3.6*1000000+C31*'E Balans VL '!N19/100/3.6*1000000</f>
        <v>573.46256425404295</v>
      </c>
      <c r="G9" s="34"/>
      <c r="H9" s="33"/>
      <c r="I9" s="33"/>
      <c r="J9" s="40">
        <f>C31*'E Balans VL '!D19/100/3.6*1000000+C31*'E Balans VL '!E19/100/3.6*1000000</f>
        <v>0</v>
      </c>
      <c r="K9" s="33"/>
      <c r="L9" s="33"/>
      <c r="M9" s="33"/>
      <c r="N9" s="33">
        <f>C31*'E Balans VL '!Y19/100/3.6*1000000</f>
        <v>235.53804868593235</v>
      </c>
      <c r="O9" s="33"/>
      <c r="P9" s="33"/>
      <c r="R9" s="32"/>
    </row>
    <row r="10" spans="1:18">
      <c r="A10" s="6" t="s">
        <v>41</v>
      </c>
      <c r="B10" s="37">
        <f t="shared" si="0"/>
        <v>287.1266</v>
      </c>
      <c r="C10" s="33"/>
      <c r="D10" s="37">
        <f>IF( ISERROR(IND_voed_gas_kWh/1000),0,IND_voed_gas_kWh/1000)*0.902</f>
        <v>495.89466816464761</v>
      </c>
      <c r="E10" s="33">
        <f>C32*'E Balans VL '!I20/100/3.6*1000000</f>
        <v>2.9270975080534871</v>
      </c>
      <c r="F10" s="33">
        <f>C32*'E Balans VL '!L20/100/3.6*1000000+C32*'E Balans VL '!N20/100/3.6*1000000</f>
        <v>542.38035159646779</v>
      </c>
      <c r="G10" s="34"/>
      <c r="H10" s="33"/>
      <c r="I10" s="33"/>
      <c r="J10" s="40">
        <f>C32*'E Balans VL '!D20/100/3.6*1000000+C32*'E Balans VL '!E20/100/3.6*1000000</f>
        <v>6.8718790204886107</v>
      </c>
      <c r="K10" s="33"/>
      <c r="L10" s="33"/>
      <c r="M10" s="33"/>
      <c r="N10" s="33">
        <f>C32*'E Balans VL '!Y20/100/3.6*1000000</f>
        <v>151.34879112879952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490.32029999999997</v>
      </c>
      <c r="C15" s="33"/>
      <c r="D15" s="37">
        <f>IF( ISERROR(IND_rest_gas_kWh/1000),0,IND_rest_gas_kWh/1000)*0.902</f>
        <v>215.32762247861731</v>
      </c>
      <c r="E15" s="33">
        <f>C37*'E Balans VL '!I15/100/3.6*1000000</f>
        <v>24.944118728046149</v>
      </c>
      <c r="F15" s="33">
        <f>C37*'E Balans VL '!L15/100/3.6*1000000+C37*'E Balans VL '!N15/100/3.6*1000000</f>
        <v>111.762444286427</v>
      </c>
      <c r="G15" s="34"/>
      <c r="H15" s="33"/>
      <c r="I15" s="33"/>
      <c r="J15" s="40">
        <f>C37*'E Balans VL '!D15/100/3.6*1000000+C37*'E Balans VL '!E15/100/3.6*1000000</f>
        <v>2.057055641135705</v>
      </c>
      <c r="K15" s="33"/>
      <c r="L15" s="33"/>
      <c r="M15" s="33"/>
      <c r="N15" s="33">
        <f>C37*'E Balans VL '!Y15/100/3.6*1000000</f>
        <v>92.123280521880346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1622.5605</v>
      </c>
      <c r="C18" s="21">
        <f>C5+C16</f>
        <v>0</v>
      </c>
      <c r="D18" s="21">
        <f>MAX((D5+D16),0)</f>
        <v>1375.9644883813955</v>
      </c>
      <c r="E18" s="21">
        <f>MAX((E5+E16),0)</f>
        <v>230.86825390135721</v>
      </c>
      <c r="F18" s="21">
        <f>MAX((F5+F16),0)</f>
        <v>1264.4398154207263</v>
      </c>
      <c r="G18" s="21"/>
      <c r="H18" s="21"/>
      <c r="I18" s="21"/>
      <c r="J18" s="21">
        <f>MAX((J5+J16),0)</f>
        <v>8.9289346616243161</v>
      </c>
      <c r="K18" s="21"/>
      <c r="L18" s="21">
        <f>MAX((L5+L16),0)</f>
        <v>0</v>
      </c>
      <c r="M18" s="21"/>
      <c r="N18" s="21">
        <f>MAX((N5+N16),0)</f>
        <v>481.96277644130038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0.2151831238914555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349.14763709288201</v>
      </c>
      <c r="C22" s="23">
        <f ca="1">C18*C20</f>
        <v>0</v>
      </c>
      <c r="D22" s="23">
        <f>D18*D20</f>
        <v>277.9448266530419</v>
      </c>
      <c r="E22" s="23">
        <f>E18*E20</f>
        <v>52.407093635608085</v>
      </c>
      <c r="F22" s="23">
        <f>F18*F20</f>
        <v>337.60543071733395</v>
      </c>
      <c r="G22" s="23"/>
      <c r="H22" s="23"/>
      <c r="I22" s="23"/>
      <c r="J22" s="23">
        <f>J18*J20</f>
        <v>3.1608428702150078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117.5299</v>
      </c>
      <c r="C30" s="39">
        <f>IF(ISERROR(B30*3.6/1000000/'E Balans VL '!Z18*100),0,B30*3.6/1000000/'E Balans VL '!Z18*100)</f>
        <v>1.6450269272813216E-2</v>
      </c>
      <c r="D30" s="237" t="s">
        <v>692</v>
      </c>
    </row>
    <row r="31" spans="1:18">
      <c r="A31" s="6" t="s">
        <v>33</v>
      </c>
      <c r="B31" s="37">
        <f>IF( ISERROR(IND_ander_ele_kWh/1000),0,IND_ander_ele_kWh/1000)</f>
        <v>727.58369999999991</v>
      </c>
      <c r="C31" s="39">
        <f>IF(ISERROR(B31*3.6/1000000/'E Balans VL '!Z19*100),0,B31*3.6/1000000/'E Balans VL '!Z19*100)</f>
        <v>3.1846220518154701E-2</v>
      </c>
      <c r="D31" s="237" t="s">
        <v>692</v>
      </c>
    </row>
    <row r="32" spans="1:18">
      <c r="A32" s="171" t="s">
        <v>41</v>
      </c>
      <c r="B32" s="37">
        <f>IF( ISERROR(IND_voed_ele_kWh/1000),0,IND_voed_ele_kWh/1000)</f>
        <v>287.1266</v>
      </c>
      <c r="C32" s="39">
        <f>IF(ISERROR(B32*3.6/1000000/'E Balans VL '!Z20*100),0,B32*3.6/1000000/'E Balans VL '!Z20*100)</f>
        <v>7.1083011155932657E-2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490.32029999999997</v>
      </c>
      <c r="C37" s="39">
        <f>IF(ISERROR(B37*3.6/1000000/'E Balans VL '!Z15*100),0,B37*3.6/1000000/'E Balans VL '!Z15*100)</f>
        <v>3.6356410781123276E-3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427.52181999999999</v>
      </c>
      <c r="C5" s="17">
        <f>'Eigen informatie GS &amp; warmtenet'!B60</f>
        <v>0</v>
      </c>
      <c r="D5" s="30">
        <f>IF(ISERROR(SUM(LB_lb_gas_kWh,LB_rest_gas_kWh,onbekend_gas_kWh)/1000),0,SUM(LB_lb_gas_kWh,LB_rest_gas_kWh,onbekend_gas_kWh)/1000)*0.902</f>
        <v>7766.8091714088459</v>
      </c>
      <c r="E5" s="17">
        <f>B17*'E Balans VL '!I25/3.6*1000000/100</f>
        <v>3.9598861594379953</v>
      </c>
      <c r="F5" s="17">
        <f>B17*('E Balans VL '!L25/3.6*1000000+'E Balans VL '!N25/3.6*1000000)/100</f>
        <v>1084.7043001631321</v>
      </c>
      <c r="G5" s="18"/>
      <c r="H5" s="17"/>
      <c r="I5" s="17"/>
      <c r="J5" s="17">
        <f>('E Balans VL '!D25+'E Balans VL '!E25)/3.6*1000000*landbouw!B17/100</f>
        <v>65.543866163436292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427.52181999999999</v>
      </c>
      <c r="C8" s="21">
        <f>C5+C6</f>
        <v>0</v>
      </c>
      <c r="D8" s="21">
        <f>MAX((D5+D6),0)</f>
        <v>7766.8091714088459</v>
      </c>
      <c r="E8" s="21">
        <f>MAX((E5+E6),0)</f>
        <v>3.9598861594379953</v>
      </c>
      <c r="F8" s="21">
        <f>MAX((F5+F6),0)</f>
        <v>1084.7043001631321</v>
      </c>
      <c r="G8" s="21"/>
      <c r="H8" s="21"/>
      <c r="I8" s="21"/>
      <c r="J8" s="21">
        <f>MAX((J5+J6),0)</f>
        <v>65.543866163436292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0.2151831238914555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91.995480759360532</v>
      </c>
      <c r="C12" s="23">
        <f ca="1">C8*C10</f>
        <v>0</v>
      </c>
      <c r="D12" s="23">
        <f>D8*D10</f>
        <v>1568.8954526245871</v>
      </c>
      <c r="E12" s="23">
        <f>E8*E10</f>
        <v>0.89889415819242491</v>
      </c>
      <c r="F12" s="23">
        <f>F8*F10</f>
        <v>289.61604814355627</v>
      </c>
      <c r="G12" s="23"/>
      <c r="H12" s="23"/>
      <c r="I12" s="23"/>
      <c r="J12" s="23">
        <f>J8*J10</f>
        <v>23.202528621856445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6.0784537774534096E-2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156.47601859050826</v>
      </c>
      <c r="C26" s="247">
        <f>B26*'GWP N2O_CH4'!B5</f>
        <v>3285.9963904006736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45.083066717769903</v>
      </c>
      <c r="C27" s="247">
        <f>B27*'GWP N2O_CH4'!B5</f>
        <v>946.74440107316798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1.7595030187232932</v>
      </c>
      <c r="C28" s="247">
        <f>B28*'GWP N2O_CH4'!B4</f>
        <v>545.44593580422088</v>
      </c>
      <c r="D28" s="50"/>
    </row>
    <row r="29" spans="1:4">
      <c r="A29" s="41" t="s">
        <v>277</v>
      </c>
      <c r="B29" s="247">
        <f>B34*'ha_N2O bodem landbouw'!B4</f>
        <v>8.5593847818330655</v>
      </c>
      <c r="C29" s="247">
        <f>B29*'GWP N2O_CH4'!B4</f>
        <v>2653.4092823682504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1.9197192132269099E-3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3.0251729528207452E-5</v>
      </c>
      <c r="C5" s="464" t="s">
        <v>211</v>
      </c>
      <c r="D5" s="449">
        <f>SUM(D6:D11)</f>
        <v>7.4362781324963581E-5</v>
      </c>
      <c r="E5" s="449">
        <f>SUM(E6:E11)</f>
        <v>5.4116144383886352E-4</v>
      </c>
      <c r="F5" s="462" t="s">
        <v>211</v>
      </c>
      <c r="G5" s="449">
        <f>SUM(G6:G11)</f>
        <v>0.25904811755094248</v>
      </c>
      <c r="H5" s="449">
        <f>SUM(H6:H11)</f>
        <v>2.8929576406218314E-2</v>
      </c>
      <c r="I5" s="464" t="s">
        <v>211</v>
      </c>
      <c r="J5" s="464" t="s">
        <v>211</v>
      </c>
      <c r="K5" s="464" t="s">
        <v>211</v>
      </c>
      <c r="L5" s="464" t="s">
        <v>211</v>
      </c>
      <c r="M5" s="449">
        <f>SUM(M6:M11)</f>
        <v>1.5875281624126603E-2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1.3351419943450629E-5</v>
      </c>
      <c r="C6" s="450"/>
      <c r="D6" s="963">
        <f>vkm_2011_GW_PW*SUMIFS(TableVerdeelsleutelVkm[CNG],TableVerdeelsleutelVkm[Voertuigtype],"Lichte voertuigen")*SUMIFS(TableECFTransport[EnergieConsumptieFactor (PJ per km)],TableECFTransport[Index],CONCATENATE($A6,"_CNG_CNG"))</f>
        <v>3.0883304259645665E-5</v>
      </c>
      <c r="E6" s="963">
        <f>vkm_2011_GW_PW*SUMIFS(TableVerdeelsleutelVkm[LPG],TableVerdeelsleutelVkm[Voertuigtype],"Lichte voertuigen")*SUMIFS(TableECFTransport[EnergieConsumptieFactor (PJ per km)],TableECFTransport[Index],CONCATENATE($A6,"_LPG_LPG"))</f>
        <v>2.0109342743376686E-4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4.1775671805911449E-2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1.177569856203489E-2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2.7790385154444503E-3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2.3143356011069028E-2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7.9146074528617772E-6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1.3389743277354513E-3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1.4953311036938705E-6</v>
      </c>
      <c r="C8" s="450"/>
      <c r="D8" s="452">
        <f>vkm_2011_NGW_PW*SUMIFS(TableVerdeelsleutelVkm[CNG],TableVerdeelsleutelVkm[Voertuigtype],"Lichte voertuigen")*SUMIFS(TableECFTransport[EnergieConsumptieFactor (PJ per km)],TableECFTransport[Index],CONCATENATE($A8,"_CNG_CNG"))</f>
        <v>6.1177221874382684E-6</v>
      </c>
      <c r="E8" s="452">
        <f>vkm_2011_NGW_PW*SUMIFS(TableVerdeelsleutelVkm[LPG],TableVerdeelsleutelVkm[Voertuigtype],"Lichte voertuigen")*SUMIFS(TableECFTransport[EnergieConsumptieFactor (PJ per km)],TableECFTransport[Index],CONCATENATE($A8,"_LPG_LPG"))</f>
        <v>3.6763479891346252E-5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7.1394137869753545E-3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2.2555239764796291E-3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4.8241747137585281E-4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2.650653921068597E-3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8.5772073222595757E-7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1.5335385298973132E-4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1.5404978481062952E-5</v>
      </c>
      <c r="C10" s="450"/>
      <c r="D10" s="452">
        <f>vkm_2011_SW_PW*SUMIFS(TableVerdeelsleutelVkm[CNG],TableVerdeelsleutelVkm[Voertuigtype],"Lichte voertuigen")*SUMIFS(TableECFTransport[EnergieConsumptieFactor (PJ per km)],TableECFTransport[Index],CONCATENATE($A10,"_CNG_CNG"))</f>
        <v>3.7361754877879644E-5</v>
      </c>
      <c r="E10" s="452">
        <f>vkm_2011_SW_PW*SUMIFS(TableVerdeelsleutelVkm[LPG],TableVerdeelsleutelVkm[Voertuigtype],"Lichte voertuigen")*SUMIFS(TableECFTransport[EnergieConsumptieFactor (PJ per km)],TableECFTransport[Index],CONCATENATE($A10,"_LPG_LPG"))</f>
        <v>3.0330453651375043E-4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5.6726656954998601E-2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1.4842548437503328E-2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3.7382943739189501E-3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0.12761236507091941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4.7033102015380784E-5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7.3832030826621667E-3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8.4032582022798472</v>
      </c>
      <c r="C14" s="21"/>
      <c r="D14" s="21">
        <f t="shared" ref="D14:M14" si="0">((D5)*10^9/3600)+D12</f>
        <v>20.656328145823217</v>
      </c>
      <c r="E14" s="21">
        <f t="shared" si="0"/>
        <v>150.3226232885732</v>
      </c>
      <c r="F14" s="21"/>
      <c r="G14" s="21">
        <f t="shared" si="0"/>
        <v>71957.81043081735</v>
      </c>
      <c r="H14" s="21">
        <f t="shared" si="0"/>
        <v>8035.9934461717539</v>
      </c>
      <c r="I14" s="21"/>
      <c r="J14" s="21"/>
      <c r="K14" s="21"/>
      <c r="L14" s="21"/>
      <c r="M14" s="21">
        <f t="shared" si="0"/>
        <v>4409.8004511462786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0.2151831238914555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1.8082393508330739</v>
      </c>
      <c r="C18" s="23"/>
      <c r="D18" s="23">
        <f t="shared" ref="D18:M18" si="1">D14*D16</f>
        <v>4.1725782854562903</v>
      </c>
      <c r="E18" s="23">
        <f t="shared" si="1"/>
        <v>34.123235486506118</v>
      </c>
      <c r="F18" s="23"/>
      <c r="G18" s="23">
        <f t="shared" si="1"/>
        <v>19212.735385028234</v>
      </c>
      <c r="H18" s="23">
        <f t="shared" si="1"/>
        <v>2000.9623680967668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2.8252248285693957E-3</v>
      </c>
      <c r="C50" s="321">
        <f t="shared" ref="C50:P50" si="2">SUM(C51:C52)</f>
        <v>0</v>
      </c>
      <c r="D50" s="321">
        <f t="shared" si="2"/>
        <v>0</v>
      </c>
      <c r="E50" s="321">
        <f t="shared" si="2"/>
        <v>0</v>
      </c>
      <c r="F50" s="321">
        <f t="shared" si="2"/>
        <v>0</v>
      </c>
      <c r="G50" s="321">
        <f t="shared" si="2"/>
        <v>5.6696440105561308E-4</v>
      </c>
      <c r="H50" s="321">
        <f t="shared" si="2"/>
        <v>0</v>
      </c>
      <c r="I50" s="321">
        <f t="shared" si="2"/>
        <v>0</v>
      </c>
      <c r="J50" s="321">
        <f t="shared" si="2"/>
        <v>0</v>
      </c>
      <c r="K50" s="321">
        <f t="shared" si="2"/>
        <v>0</v>
      </c>
      <c r="L50" s="321">
        <f t="shared" si="2"/>
        <v>0</v>
      </c>
      <c r="M50" s="321">
        <f t="shared" si="2"/>
        <v>3.233232700168921E-5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5.6696440105561308E-4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3.233232700168921E-5</v>
      </c>
      <c r="N51" s="323"/>
      <c r="O51" s="323"/>
      <c r="P51" s="326"/>
    </row>
    <row r="52" spans="1:18">
      <c r="A52" s="4" t="s">
        <v>330</v>
      </c>
      <c r="B52" s="964">
        <f>vkm_2011_tram*SUMIFS(TableECFTransport[EnergieConsumptieFactor (PJ per km)],TableECFTransport[Index],"Tram_gemiddeld_Electric_Electric")</f>
        <v>2.8252248285693957E-3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784.78467460260981</v>
      </c>
      <c r="C54" s="21">
        <f t="shared" ref="C54:P54" si="3">(C50)*10^9/3600</f>
        <v>0</v>
      </c>
      <c r="D54" s="21">
        <f t="shared" si="3"/>
        <v>0</v>
      </c>
      <c r="E54" s="21">
        <f t="shared" si="3"/>
        <v>0</v>
      </c>
      <c r="F54" s="21">
        <f t="shared" si="3"/>
        <v>0</v>
      </c>
      <c r="G54" s="21">
        <f t="shared" si="3"/>
        <v>157.49011140433697</v>
      </c>
      <c r="H54" s="21">
        <f t="shared" si="3"/>
        <v>0</v>
      </c>
      <c r="I54" s="21">
        <f t="shared" si="3"/>
        <v>0</v>
      </c>
      <c r="J54" s="21">
        <f t="shared" si="3"/>
        <v>0</v>
      </c>
      <c r="K54" s="21">
        <f t="shared" si="3"/>
        <v>0</v>
      </c>
      <c r="L54" s="21">
        <f t="shared" si="3"/>
        <v>0</v>
      </c>
      <c r="M54" s="21">
        <f t="shared" si="3"/>
        <v>8.9812019449136695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0.2151831238914555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168.87241786312899</v>
      </c>
      <c r="C58" s="23">
        <f t="shared" ref="C58:P58" ca="1" si="4">C54*C56</f>
        <v>0</v>
      </c>
      <c r="D58" s="23">
        <f t="shared" si="4"/>
        <v>0</v>
      </c>
      <c r="E58" s="23">
        <f t="shared" si="4"/>
        <v>0</v>
      </c>
      <c r="F58" s="23">
        <f t="shared" si="4"/>
        <v>0</v>
      </c>
      <c r="G58" s="23">
        <f t="shared" si="4"/>
        <v>42.049859744957971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1519.9749495847057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1519.9749495847057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28434.815799999997</v>
      </c>
      <c r="D10" s="719">
        <f ca="1">tertiair!C16</f>
        <v>0</v>
      </c>
      <c r="E10" s="719">
        <f ca="1">tertiair!D16</f>
        <v>24530.57038529011</v>
      </c>
      <c r="F10" s="719">
        <f>tertiair!E16</f>
        <v>411.88445335114545</v>
      </c>
      <c r="G10" s="719">
        <f ca="1">tertiair!F16</f>
        <v>4227.5570955589028</v>
      </c>
      <c r="H10" s="719">
        <f>tertiair!G16</f>
        <v>0</v>
      </c>
      <c r="I10" s="719">
        <f>tertiair!H16</f>
        <v>0</v>
      </c>
      <c r="J10" s="719">
        <f>tertiair!I16</f>
        <v>0</v>
      </c>
      <c r="K10" s="719">
        <f>tertiair!J16</f>
        <v>0</v>
      </c>
      <c r="L10" s="719">
        <f>tertiair!K16</f>
        <v>0</v>
      </c>
      <c r="M10" s="719">
        <f ca="1">tertiair!L16</f>
        <v>0</v>
      </c>
      <c r="N10" s="719">
        <f>tertiair!M16</f>
        <v>0</v>
      </c>
      <c r="O10" s="719">
        <f ca="1">tertiair!N16</f>
        <v>2009.9538746165231</v>
      </c>
      <c r="P10" s="719">
        <f>tertiair!O16</f>
        <v>6.2533333333333339</v>
      </c>
      <c r="Q10" s="720">
        <f>tertiair!P16</f>
        <v>0</v>
      </c>
      <c r="R10" s="722">
        <f ca="1">SUM(C10:Q10)</f>
        <v>59621.034942150007</v>
      </c>
      <c r="S10" s="67"/>
    </row>
    <row r="11" spans="1:19" s="475" customFormat="1">
      <c r="A11" s="871" t="s">
        <v>225</v>
      </c>
      <c r="B11" s="876"/>
      <c r="C11" s="719">
        <f>huishoudens!B8</f>
        <v>26470.172220186465</v>
      </c>
      <c r="D11" s="719">
        <f>huishoudens!C8</f>
        <v>0</v>
      </c>
      <c r="E11" s="719">
        <f>huishoudens!D8</f>
        <v>53977.404258281756</v>
      </c>
      <c r="F11" s="719">
        <f>huishoudens!E8</f>
        <v>0</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0</v>
      </c>
      <c r="P11" s="719">
        <f>huishoudens!O8</f>
        <v>132.88333333333333</v>
      </c>
      <c r="Q11" s="720">
        <f>huishoudens!P8</f>
        <v>95.333333333333343</v>
      </c>
      <c r="R11" s="722">
        <f>SUM(C11:Q11)</f>
        <v>80675.793145134885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1622.5605</v>
      </c>
      <c r="D13" s="719">
        <f>industrie!C18</f>
        <v>0</v>
      </c>
      <c r="E13" s="719">
        <f>industrie!D18</f>
        <v>1375.9644883813955</v>
      </c>
      <c r="F13" s="719">
        <f>industrie!E18</f>
        <v>230.86825390135721</v>
      </c>
      <c r="G13" s="719">
        <f>industrie!F18</f>
        <v>1264.4398154207263</v>
      </c>
      <c r="H13" s="719">
        <f>industrie!G18</f>
        <v>0</v>
      </c>
      <c r="I13" s="719">
        <f>industrie!H18</f>
        <v>0</v>
      </c>
      <c r="J13" s="719">
        <f>industrie!I18</f>
        <v>0</v>
      </c>
      <c r="K13" s="719">
        <f>industrie!J18</f>
        <v>8.9289346616243161</v>
      </c>
      <c r="L13" s="719">
        <f>industrie!K18</f>
        <v>0</v>
      </c>
      <c r="M13" s="719">
        <f>industrie!L18</f>
        <v>0</v>
      </c>
      <c r="N13" s="719">
        <f>industrie!M18</f>
        <v>0</v>
      </c>
      <c r="O13" s="719">
        <f>industrie!N18</f>
        <v>481.96277644130038</v>
      </c>
      <c r="P13" s="719">
        <f>industrie!O18</f>
        <v>0</v>
      </c>
      <c r="Q13" s="720">
        <f>industrie!P18</f>
        <v>0</v>
      </c>
      <c r="R13" s="722">
        <f>SUM(C13:Q13)</f>
        <v>4984.7247688064044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56527.548520186458</v>
      </c>
      <c r="D15" s="724">
        <f t="shared" ref="D15:Q15" ca="1" si="0">SUM(D9:D14)</f>
        <v>0</v>
      </c>
      <c r="E15" s="724">
        <f t="shared" ca="1" si="0"/>
        <v>79883.939131953259</v>
      </c>
      <c r="F15" s="724">
        <f t="shared" si="0"/>
        <v>642.75270725250266</v>
      </c>
      <c r="G15" s="724">
        <f t="shared" ca="1" si="0"/>
        <v>5491.9969109796293</v>
      </c>
      <c r="H15" s="724">
        <f t="shared" si="0"/>
        <v>0</v>
      </c>
      <c r="I15" s="724">
        <f t="shared" si="0"/>
        <v>0</v>
      </c>
      <c r="J15" s="724">
        <f t="shared" si="0"/>
        <v>0</v>
      </c>
      <c r="K15" s="724">
        <f t="shared" si="0"/>
        <v>8.9289346616243161</v>
      </c>
      <c r="L15" s="724">
        <f t="shared" si="0"/>
        <v>0</v>
      </c>
      <c r="M15" s="724">
        <f t="shared" ca="1" si="0"/>
        <v>0</v>
      </c>
      <c r="N15" s="724">
        <f t="shared" si="0"/>
        <v>0</v>
      </c>
      <c r="O15" s="724">
        <f t="shared" ca="1" si="0"/>
        <v>2491.9166510578234</v>
      </c>
      <c r="P15" s="724">
        <f t="shared" si="0"/>
        <v>139.13666666666666</v>
      </c>
      <c r="Q15" s="725">
        <f t="shared" si="0"/>
        <v>95.333333333333343</v>
      </c>
      <c r="R15" s="726">
        <f ca="1">SUM(R9:R14)</f>
        <v>145281.55285609129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784.78467460260981</v>
      </c>
      <c r="D18" s="719">
        <f>transport!C54</f>
        <v>0</v>
      </c>
      <c r="E18" s="719">
        <f>transport!D54</f>
        <v>0</v>
      </c>
      <c r="F18" s="719">
        <f>transport!E54</f>
        <v>0</v>
      </c>
      <c r="G18" s="719">
        <f>transport!F54</f>
        <v>0</v>
      </c>
      <c r="H18" s="719">
        <f>transport!G54</f>
        <v>157.49011140433697</v>
      </c>
      <c r="I18" s="719">
        <f>transport!H54</f>
        <v>0</v>
      </c>
      <c r="J18" s="719">
        <f>transport!I54</f>
        <v>0</v>
      </c>
      <c r="K18" s="719">
        <f>transport!J54</f>
        <v>0</v>
      </c>
      <c r="L18" s="719">
        <f>transport!K54</f>
        <v>0</v>
      </c>
      <c r="M18" s="719">
        <f>transport!L54</f>
        <v>0</v>
      </c>
      <c r="N18" s="719">
        <f>transport!M54</f>
        <v>8.9812019449136695</v>
      </c>
      <c r="O18" s="719">
        <f>transport!N54</f>
        <v>0</v>
      </c>
      <c r="P18" s="719">
        <f>transport!O54</f>
        <v>0</v>
      </c>
      <c r="Q18" s="720">
        <f>transport!P54</f>
        <v>0</v>
      </c>
      <c r="R18" s="722">
        <f>SUM(C18:Q18)</f>
        <v>951.25598795186045</v>
      </c>
      <c r="S18" s="67"/>
    </row>
    <row r="19" spans="1:19" s="475" customFormat="1" ht="15" thickBot="1">
      <c r="A19" s="871" t="s">
        <v>307</v>
      </c>
      <c r="B19" s="876"/>
      <c r="C19" s="728">
        <f>transport!B14</f>
        <v>8.4032582022798472</v>
      </c>
      <c r="D19" s="728">
        <f>transport!C14</f>
        <v>0</v>
      </c>
      <c r="E19" s="728">
        <f>transport!D14</f>
        <v>20.656328145823217</v>
      </c>
      <c r="F19" s="728">
        <f>transport!E14</f>
        <v>150.3226232885732</v>
      </c>
      <c r="G19" s="728">
        <f>transport!F14</f>
        <v>0</v>
      </c>
      <c r="H19" s="728">
        <f>transport!G14</f>
        <v>71957.81043081735</v>
      </c>
      <c r="I19" s="728">
        <f>transport!H14</f>
        <v>8035.9934461717539</v>
      </c>
      <c r="J19" s="728">
        <f>transport!I14</f>
        <v>0</v>
      </c>
      <c r="K19" s="728">
        <f>transport!J14</f>
        <v>0</v>
      </c>
      <c r="L19" s="728">
        <f>transport!K14</f>
        <v>0</v>
      </c>
      <c r="M19" s="728">
        <f>transport!L14</f>
        <v>0</v>
      </c>
      <c r="N19" s="728">
        <f>transport!M14</f>
        <v>4409.8004511462786</v>
      </c>
      <c r="O19" s="728">
        <f>transport!N14</f>
        <v>0</v>
      </c>
      <c r="P19" s="728">
        <f>transport!O14</f>
        <v>0</v>
      </c>
      <c r="Q19" s="729">
        <f>transport!P14</f>
        <v>0</v>
      </c>
      <c r="R19" s="730">
        <f>SUM(C19:Q19)</f>
        <v>84582.986537772056</v>
      </c>
      <c r="S19" s="67"/>
    </row>
    <row r="20" spans="1:19" s="475" customFormat="1" ht="15.75" thickBot="1">
      <c r="A20" s="731" t="s">
        <v>230</v>
      </c>
      <c r="B20" s="879"/>
      <c r="C20" s="874">
        <f>SUM(C17:C19)</f>
        <v>793.18793280488967</v>
      </c>
      <c r="D20" s="732">
        <f t="shared" ref="D20:R20" si="1">SUM(D17:D19)</f>
        <v>0</v>
      </c>
      <c r="E20" s="732">
        <f t="shared" si="1"/>
        <v>20.656328145823217</v>
      </c>
      <c r="F20" s="732">
        <f t="shared" si="1"/>
        <v>150.3226232885732</v>
      </c>
      <c r="G20" s="732">
        <f t="shared" si="1"/>
        <v>0</v>
      </c>
      <c r="H20" s="732">
        <f t="shared" si="1"/>
        <v>72115.300542221681</v>
      </c>
      <c r="I20" s="732">
        <f t="shared" si="1"/>
        <v>8035.9934461717539</v>
      </c>
      <c r="J20" s="732">
        <f t="shared" si="1"/>
        <v>0</v>
      </c>
      <c r="K20" s="732">
        <f t="shared" si="1"/>
        <v>0</v>
      </c>
      <c r="L20" s="732">
        <f t="shared" si="1"/>
        <v>0</v>
      </c>
      <c r="M20" s="732">
        <f t="shared" si="1"/>
        <v>0</v>
      </c>
      <c r="N20" s="732">
        <f t="shared" si="1"/>
        <v>4418.7816530911923</v>
      </c>
      <c r="O20" s="732">
        <f t="shared" si="1"/>
        <v>0</v>
      </c>
      <c r="P20" s="732">
        <f t="shared" si="1"/>
        <v>0</v>
      </c>
      <c r="Q20" s="733">
        <f t="shared" si="1"/>
        <v>0</v>
      </c>
      <c r="R20" s="734">
        <f t="shared" si="1"/>
        <v>85534.242525723923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427.52181999999999</v>
      </c>
      <c r="D22" s="728">
        <f>+landbouw!C8</f>
        <v>0</v>
      </c>
      <c r="E22" s="728">
        <f>+landbouw!D8</f>
        <v>7766.8091714088459</v>
      </c>
      <c r="F22" s="728">
        <f>+landbouw!E8</f>
        <v>3.9598861594379953</v>
      </c>
      <c r="G22" s="728">
        <f>+landbouw!F8</f>
        <v>1084.7043001631321</v>
      </c>
      <c r="H22" s="728">
        <f>+landbouw!G8</f>
        <v>0</v>
      </c>
      <c r="I22" s="728">
        <f>+landbouw!H8</f>
        <v>0</v>
      </c>
      <c r="J22" s="728">
        <f>+landbouw!I8</f>
        <v>0</v>
      </c>
      <c r="K22" s="728">
        <f>+landbouw!J8</f>
        <v>65.543866163436292</v>
      </c>
      <c r="L22" s="728">
        <f>+landbouw!K8</f>
        <v>0</v>
      </c>
      <c r="M22" s="728">
        <f>+landbouw!L8</f>
        <v>0</v>
      </c>
      <c r="N22" s="728">
        <f>+landbouw!M8</f>
        <v>0</v>
      </c>
      <c r="O22" s="728">
        <f>+landbouw!N8</f>
        <v>0</v>
      </c>
      <c r="P22" s="728">
        <f>+landbouw!O8</f>
        <v>0</v>
      </c>
      <c r="Q22" s="729">
        <f>+landbouw!P8</f>
        <v>0</v>
      </c>
      <c r="R22" s="730">
        <f>SUM(C22:Q22)</f>
        <v>9348.5390438948525</v>
      </c>
      <c r="S22" s="67"/>
    </row>
    <row r="23" spans="1:19" s="475" customFormat="1" ht="17.25" thickTop="1" thickBot="1">
      <c r="A23" s="735" t="s">
        <v>116</v>
      </c>
      <c r="B23" s="865"/>
      <c r="C23" s="736">
        <f ca="1">C20+C15+C22</f>
        <v>57748.258272991348</v>
      </c>
      <c r="D23" s="736">
        <f t="shared" ref="D23:Q23" ca="1" si="2">D20+D15+D22</f>
        <v>0</v>
      </c>
      <c r="E23" s="736">
        <f t="shared" ca="1" si="2"/>
        <v>87671.404631507932</v>
      </c>
      <c r="F23" s="736">
        <f t="shared" si="2"/>
        <v>797.03521670051384</v>
      </c>
      <c r="G23" s="736">
        <f t="shared" ca="1" si="2"/>
        <v>6576.7012111427612</v>
      </c>
      <c r="H23" s="736">
        <f t="shared" si="2"/>
        <v>72115.300542221681</v>
      </c>
      <c r="I23" s="736">
        <f t="shared" si="2"/>
        <v>8035.9934461717539</v>
      </c>
      <c r="J23" s="736">
        <f t="shared" si="2"/>
        <v>0</v>
      </c>
      <c r="K23" s="736">
        <f t="shared" si="2"/>
        <v>74.472800825060602</v>
      </c>
      <c r="L23" s="736">
        <f t="shared" si="2"/>
        <v>0</v>
      </c>
      <c r="M23" s="736">
        <f t="shared" ca="1" si="2"/>
        <v>0</v>
      </c>
      <c r="N23" s="736">
        <f t="shared" si="2"/>
        <v>4418.7816530911923</v>
      </c>
      <c r="O23" s="736">
        <f t="shared" ca="1" si="2"/>
        <v>2491.9166510578234</v>
      </c>
      <c r="P23" s="736">
        <f t="shared" si="2"/>
        <v>139.13666666666666</v>
      </c>
      <c r="Q23" s="737">
        <f t="shared" si="2"/>
        <v>95.333333333333343</v>
      </c>
      <c r="R23" s="738">
        <f ca="1">R20+R15+R22</f>
        <v>240164.33442571008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6118.6924911221158</v>
      </c>
      <c r="D36" s="719">
        <f ca="1">tertiair!C20</f>
        <v>0</v>
      </c>
      <c r="E36" s="719">
        <f ca="1">tertiair!D20</f>
        <v>4955.1752178286024</v>
      </c>
      <c r="F36" s="719">
        <f>tertiair!E20</f>
        <v>93.497770910710017</v>
      </c>
      <c r="G36" s="719">
        <f ca="1">tertiair!F20</f>
        <v>1128.7577445142272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12296.123224375655</v>
      </c>
    </row>
    <row r="37" spans="1:18">
      <c r="A37" s="886" t="s">
        <v>225</v>
      </c>
      <c r="B37" s="893"/>
      <c r="C37" s="719">
        <f ca="1">huishoudens!B12</f>
        <v>5695.9343482845479</v>
      </c>
      <c r="D37" s="719">
        <f ca="1">huishoudens!C12</f>
        <v>0</v>
      </c>
      <c r="E37" s="719">
        <f>huishoudens!D12</f>
        <v>10903.435660172916</v>
      </c>
      <c r="F37" s="719">
        <f>huishoudens!E12</f>
        <v>0</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16599.370008457463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349.14763709288201</v>
      </c>
      <c r="D39" s="719">
        <f ca="1">industrie!C22</f>
        <v>0</v>
      </c>
      <c r="E39" s="719">
        <f>industrie!D22</f>
        <v>277.9448266530419</v>
      </c>
      <c r="F39" s="719">
        <f>industrie!E22</f>
        <v>52.407093635608085</v>
      </c>
      <c r="G39" s="719">
        <f>industrie!F22</f>
        <v>337.60543071733395</v>
      </c>
      <c r="H39" s="719">
        <f>industrie!G22</f>
        <v>0</v>
      </c>
      <c r="I39" s="719">
        <f>industrie!H22</f>
        <v>0</v>
      </c>
      <c r="J39" s="719">
        <f>industrie!I22</f>
        <v>0</v>
      </c>
      <c r="K39" s="719">
        <f>industrie!J22</f>
        <v>3.1608428702150078</v>
      </c>
      <c r="L39" s="719">
        <f>industrie!K22</f>
        <v>0</v>
      </c>
      <c r="M39" s="719">
        <f>industrie!L22</f>
        <v>0</v>
      </c>
      <c r="N39" s="719">
        <f>industrie!M22</f>
        <v>0</v>
      </c>
      <c r="O39" s="719">
        <f>industrie!N22</f>
        <v>0</v>
      </c>
      <c r="P39" s="719">
        <f>industrie!O22</f>
        <v>0</v>
      </c>
      <c r="Q39" s="829">
        <f>industrie!P22</f>
        <v>0</v>
      </c>
      <c r="R39" s="919">
        <f ca="1">SUM(C39:Q39)</f>
        <v>1020.265830969081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12163.774476499546</v>
      </c>
      <c r="D41" s="764">
        <f t="shared" ref="D41:R41" ca="1" si="4">SUM(D35:D40)</f>
        <v>0</v>
      </c>
      <c r="E41" s="764">
        <f t="shared" ca="1" si="4"/>
        <v>16136.55570465456</v>
      </c>
      <c r="F41" s="764">
        <f t="shared" si="4"/>
        <v>145.90486454631809</v>
      </c>
      <c r="G41" s="764">
        <f t="shared" ca="1" si="4"/>
        <v>1466.3631752315612</v>
      </c>
      <c r="H41" s="764">
        <f t="shared" si="4"/>
        <v>0</v>
      </c>
      <c r="I41" s="764">
        <f t="shared" si="4"/>
        <v>0</v>
      </c>
      <c r="J41" s="764">
        <f t="shared" si="4"/>
        <v>0</v>
      </c>
      <c r="K41" s="764">
        <f t="shared" si="4"/>
        <v>3.1608428702150078</v>
      </c>
      <c r="L41" s="764">
        <f t="shared" si="4"/>
        <v>0</v>
      </c>
      <c r="M41" s="764">
        <f t="shared" ca="1" si="4"/>
        <v>0</v>
      </c>
      <c r="N41" s="764">
        <f t="shared" si="4"/>
        <v>0</v>
      </c>
      <c r="O41" s="764">
        <f t="shared" ca="1" si="4"/>
        <v>0</v>
      </c>
      <c r="P41" s="764">
        <f t="shared" si="4"/>
        <v>0</v>
      </c>
      <c r="Q41" s="765">
        <f t="shared" si="4"/>
        <v>0</v>
      </c>
      <c r="R41" s="766">
        <f t="shared" ca="1" si="4"/>
        <v>29915.759063802201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168.87241786312899</v>
      </c>
      <c r="D44" s="719">
        <f ca="1">transport!C58</f>
        <v>0</v>
      </c>
      <c r="E44" s="719">
        <f>transport!D58</f>
        <v>0</v>
      </c>
      <c r="F44" s="719">
        <f>transport!E58</f>
        <v>0</v>
      </c>
      <c r="G44" s="719">
        <f>transport!F58</f>
        <v>0</v>
      </c>
      <c r="H44" s="719">
        <f>transport!G58</f>
        <v>42.049859744957971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210.92227760808697</v>
      </c>
    </row>
    <row r="45" spans="1:18" ht="15" thickBot="1">
      <c r="A45" s="889" t="s">
        <v>307</v>
      </c>
      <c r="B45" s="899"/>
      <c r="C45" s="728">
        <f ca="1">transport!B18</f>
        <v>1.8082393508330739</v>
      </c>
      <c r="D45" s="728">
        <f>transport!C18</f>
        <v>0</v>
      </c>
      <c r="E45" s="728">
        <f>transport!D18</f>
        <v>4.1725782854562903</v>
      </c>
      <c r="F45" s="728">
        <f>transport!E18</f>
        <v>34.123235486506118</v>
      </c>
      <c r="G45" s="728">
        <f>transport!F18</f>
        <v>0</v>
      </c>
      <c r="H45" s="728">
        <f>transport!G18</f>
        <v>19212.735385028234</v>
      </c>
      <c r="I45" s="728">
        <f>transport!H18</f>
        <v>2000.9623680967668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21253.801806247797</v>
      </c>
    </row>
    <row r="46" spans="1:18" ht="15.75" thickBot="1">
      <c r="A46" s="887" t="s">
        <v>230</v>
      </c>
      <c r="B46" s="900"/>
      <c r="C46" s="764">
        <f t="shared" ref="C46:R46" ca="1" si="5">SUM(C43:C45)</f>
        <v>170.68065721396206</v>
      </c>
      <c r="D46" s="764">
        <f t="shared" ca="1" si="5"/>
        <v>0</v>
      </c>
      <c r="E46" s="764">
        <f t="shared" si="5"/>
        <v>4.1725782854562903</v>
      </c>
      <c r="F46" s="764">
        <f t="shared" si="5"/>
        <v>34.123235486506118</v>
      </c>
      <c r="G46" s="764">
        <f t="shared" si="5"/>
        <v>0</v>
      </c>
      <c r="H46" s="764">
        <f t="shared" si="5"/>
        <v>19254.785244773193</v>
      </c>
      <c r="I46" s="764">
        <f t="shared" si="5"/>
        <v>2000.9623680967668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21464.724083855883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91.995480759360532</v>
      </c>
      <c r="D48" s="719">
        <f ca="1">+landbouw!C12</f>
        <v>0</v>
      </c>
      <c r="E48" s="719">
        <f>+landbouw!D12</f>
        <v>1568.8954526245871</v>
      </c>
      <c r="F48" s="719">
        <f>+landbouw!E12</f>
        <v>0.89889415819242491</v>
      </c>
      <c r="G48" s="719">
        <f>+landbouw!F12</f>
        <v>289.61604814355627</v>
      </c>
      <c r="H48" s="719">
        <f>+landbouw!G12</f>
        <v>0</v>
      </c>
      <c r="I48" s="719">
        <f>+landbouw!H12</f>
        <v>0</v>
      </c>
      <c r="J48" s="719">
        <f>+landbouw!I12</f>
        <v>0</v>
      </c>
      <c r="K48" s="719">
        <f>+landbouw!J12</f>
        <v>23.202528621856445</v>
      </c>
      <c r="L48" s="719">
        <f>+landbouw!K12</f>
        <v>0</v>
      </c>
      <c r="M48" s="719">
        <f>+landbouw!L12</f>
        <v>0</v>
      </c>
      <c r="N48" s="719">
        <f>+landbouw!M12</f>
        <v>0</v>
      </c>
      <c r="O48" s="719">
        <f>+landbouw!N12</f>
        <v>0</v>
      </c>
      <c r="P48" s="719">
        <f>+landbouw!O12</f>
        <v>0</v>
      </c>
      <c r="Q48" s="720">
        <f>+landbouw!P12</f>
        <v>0</v>
      </c>
      <c r="R48" s="762">
        <f ca="1">SUM(C48:Q48)</f>
        <v>1974.6084043075527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12426.450614472868</v>
      </c>
      <c r="D53" s="774">
        <f t="shared" ref="D53:Q53" ca="1" si="6">D41+D46+D48</f>
        <v>0</v>
      </c>
      <c r="E53" s="774">
        <f t="shared" ca="1" si="6"/>
        <v>17709.623735564601</v>
      </c>
      <c r="F53" s="774">
        <f t="shared" si="6"/>
        <v>180.92699419101666</v>
      </c>
      <c r="G53" s="774">
        <f t="shared" ca="1" si="6"/>
        <v>1755.9792233751175</v>
      </c>
      <c r="H53" s="774">
        <f t="shared" si="6"/>
        <v>19254.785244773193</v>
      </c>
      <c r="I53" s="774">
        <f t="shared" si="6"/>
        <v>2000.9623680967668</v>
      </c>
      <c r="J53" s="774">
        <f t="shared" si="6"/>
        <v>0</v>
      </c>
      <c r="K53" s="774">
        <f t="shared" si="6"/>
        <v>26.363371492071451</v>
      </c>
      <c r="L53" s="774">
        <f t="shared" si="6"/>
        <v>0</v>
      </c>
      <c r="M53" s="774">
        <f t="shared" ca="1" si="6"/>
        <v>0</v>
      </c>
      <c r="N53" s="774">
        <f t="shared" si="6"/>
        <v>0</v>
      </c>
      <c r="O53" s="774">
        <f t="shared" ca="1" si="6"/>
        <v>0</v>
      </c>
      <c r="P53" s="774">
        <f>P41+P46+P48</f>
        <v>0</v>
      </c>
      <c r="Q53" s="775">
        <f t="shared" si="6"/>
        <v>0</v>
      </c>
      <c r="R53" s="776">
        <f ca="1">R41+R46+R48</f>
        <v>53355.091551965641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0.2151831238914555</v>
      </c>
      <c r="D55" s="837">
        <f t="shared" ca="1" si="7"/>
        <v>0</v>
      </c>
      <c r="E55" s="837">
        <f t="shared" ca="1" si="7"/>
        <v>0.20199999999999999</v>
      </c>
      <c r="F55" s="837">
        <f t="shared" si="7"/>
        <v>0.22700000000000004</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1519.9749495847057</v>
      </c>
      <c r="C66" s="796">
        <f>'lokale energieproductie'!B6</f>
        <v>1519.9749495847057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1519.9749495847057</v>
      </c>
      <c r="C69" s="804">
        <f>SUM(C64:C68)</f>
        <v>1519.9749495847057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26470.172220186465</v>
      </c>
      <c r="C4" s="479">
        <f>huishoudens!C8</f>
        <v>0</v>
      </c>
      <c r="D4" s="479">
        <f>huishoudens!D8</f>
        <v>53977.404258281756</v>
      </c>
      <c r="E4" s="479">
        <f>huishoudens!E8</f>
        <v>0</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0</v>
      </c>
      <c r="O4" s="479">
        <f>huishoudens!O8</f>
        <v>132.88333333333333</v>
      </c>
      <c r="P4" s="480">
        <f>huishoudens!P8</f>
        <v>95.333333333333343</v>
      </c>
      <c r="Q4" s="481">
        <f>SUM(B4:P4)</f>
        <v>80675.793145134885</v>
      </c>
    </row>
    <row r="5" spans="1:17">
      <c r="A5" s="478" t="s">
        <v>156</v>
      </c>
      <c r="B5" s="479">
        <f ca="1">tertiair!B16</f>
        <v>26855.359799999998</v>
      </c>
      <c r="C5" s="479">
        <f ca="1">tertiair!C16</f>
        <v>0</v>
      </c>
      <c r="D5" s="479">
        <f ca="1">tertiair!D16</f>
        <v>24530.57038529011</v>
      </c>
      <c r="E5" s="479">
        <f>tertiair!E16</f>
        <v>411.88445335114545</v>
      </c>
      <c r="F5" s="479">
        <f ca="1">tertiair!F16</f>
        <v>4227.5570955589028</v>
      </c>
      <c r="G5" s="479">
        <f>tertiair!G16</f>
        <v>0</v>
      </c>
      <c r="H5" s="479">
        <f>tertiair!H16</f>
        <v>0</v>
      </c>
      <c r="I5" s="479">
        <f>tertiair!I16</f>
        <v>0</v>
      </c>
      <c r="J5" s="479">
        <f>tertiair!J16</f>
        <v>0</v>
      </c>
      <c r="K5" s="479">
        <f>tertiair!K16</f>
        <v>0</v>
      </c>
      <c r="L5" s="479">
        <f ca="1">tertiair!L16</f>
        <v>0</v>
      </c>
      <c r="M5" s="479">
        <f>tertiair!M16</f>
        <v>0</v>
      </c>
      <c r="N5" s="479">
        <f ca="1">tertiair!N16</f>
        <v>2009.9538746165231</v>
      </c>
      <c r="O5" s="479">
        <f>tertiair!O16</f>
        <v>6.2533333333333339</v>
      </c>
      <c r="P5" s="480">
        <f>tertiair!P16</f>
        <v>0</v>
      </c>
      <c r="Q5" s="478">
        <f t="shared" ref="Q5:Q13" ca="1" si="0">SUM(B5:P5)</f>
        <v>58041.578942150016</v>
      </c>
    </row>
    <row r="6" spans="1:17">
      <c r="A6" s="478" t="s">
        <v>194</v>
      </c>
      <c r="B6" s="479">
        <f>'openbare verlichting'!B8</f>
        <v>1579.4559999999999</v>
      </c>
      <c r="C6" s="479"/>
      <c r="D6" s="479"/>
      <c r="E6" s="479"/>
      <c r="F6" s="479"/>
      <c r="G6" s="479"/>
      <c r="H6" s="479"/>
      <c r="I6" s="479"/>
      <c r="J6" s="479"/>
      <c r="K6" s="479"/>
      <c r="L6" s="479"/>
      <c r="M6" s="479"/>
      <c r="N6" s="479"/>
      <c r="O6" s="479"/>
      <c r="P6" s="480"/>
      <c r="Q6" s="478">
        <f t="shared" si="0"/>
        <v>1579.4559999999999</v>
      </c>
    </row>
    <row r="7" spans="1:17">
      <c r="A7" s="478" t="s">
        <v>112</v>
      </c>
      <c r="B7" s="479">
        <f>landbouw!B8</f>
        <v>427.52181999999999</v>
      </c>
      <c r="C7" s="479">
        <f>landbouw!C8</f>
        <v>0</v>
      </c>
      <c r="D7" s="479">
        <f>landbouw!D8</f>
        <v>7766.8091714088459</v>
      </c>
      <c r="E7" s="479">
        <f>landbouw!E8</f>
        <v>3.9598861594379953</v>
      </c>
      <c r="F7" s="479">
        <f>landbouw!F8</f>
        <v>1084.7043001631321</v>
      </c>
      <c r="G7" s="479">
        <f>landbouw!G8</f>
        <v>0</v>
      </c>
      <c r="H7" s="479">
        <f>landbouw!H8</f>
        <v>0</v>
      </c>
      <c r="I7" s="479">
        <f>landbouw!I8</f>
        <v>0</v>
      </c>
      <c r="J7" s="479">
        <f>landbouw!J8</f>
        <v>65.543866163436292</v>
      </c>
      <c r="K7" s="479">
        <f>landbouw!K8</f>
        <v>0</v>
      </c>
      <c r="L7" s="479">
        <f>landbouw!L8</f>
        <v>0</v>
      </c>
      <c r="M7" s="479">
        <f>landbouw!M8</f>
        <v>0</v>
      </c>
      <c r="N7" s="479">
        <f>landbouw!N8</f>
        <v>0</v>
      </c>
      <c r="O7" s="479">
        <f>landbouw!O8</f>
        <v>0</v>
      </c>
      <c r="P7" s="480">
        <f>landbouw!P8</f>
        <v>0</v>
      </c>
      <c r="Q7" s="478">
        <f t="shared" si="0"/>
        <v>9348.5390438948525</v>
      </c>
    </row>
    <row r="8" spans="1:17">
      <c r="A8" s="478" t="s">
        <v>650</v>
      </c>
      <c r="B8" s="479">
        <f>industrie!B18</f>
        <v>1622.5605</v>
      </c>
      <c r="C8" s="479">
        <f>industrie!C18</f>
        <v>0</v>
      </c>
      <c r="D8" s="479">
        <f>industrie!D18</f>
        <v>1375.9644883813955</v>
      </c>
      <c r="E8" s="479">
        <f>industrie!E18</f>
        <v>230.86825390135721</v>
      </c>
      <c r="F8" s="479">
        <f>industrie!F18</f>
        <v>1264.4398154207263</v>
      </c>
      <c r="G8" s="479">
        <f>industrie!G18</f>
        <v>0</v>
      </c>
      <c r="H8" s="479">
        <f>industrie!H18</f>
        <v>0</v>
      </c>
      <c r="I8" s="479">
        <f>industrie!I18</f>
        <v>0</v>
      </c>
      <c r="J8" s="479">
        <f>industrie!J18</f>
        <v>8.9289346616243161</v>
      </c>
      <c r="K8" s="479">
        <f>industrie!K18</f>
        <v>0</v>
      </c>
      <c r="L8" s="479">
        <f>industrie!L18</f>
        <v>0</v>
      </c>
      <c r="M8" s="479">
        <f>industrie!M18</f>
        <v>0</v>
      </c>
      <c r="N8" s="479">
        <f>industrie!N18</f>
        <v>481.96277644130038</v>
      </c>
      <c r="O8" s="479">
        <f>industrie!O18</f>
        <v>0</v>
      </c>
      <c r="P8" s="480">
        <f>industrie!P18</f>
        <v>0</v>
      </c>
      <c r="Q8" s="478">
        <f t="shared" si="0"/>
        <v>4984.7247688064044</v>
      </c>
    </row>
    <row r="9" spans="1:17" s="484" customFormat="1">
      <c r="A9" s="482" t="s">
        <v>571</v>
      </c>
      <c r="B9" s="483">
        <f>transport!B14</f>
        <v>8.4032582022798472</v>
      </c>
      <c r="C9" s="483"/>
      <c r="D9" s="483">
        <f>transport!D14</f>
        <v>20.656328145823217</v>
      </c>
      <c r="E9" s="483">
        <f>transport!E14</f>
        <v>150.3226232885732</v>
      </c>
      <c r="F9" s="483"/>
      <c r="G9" s="483">
        <f>transport!G14</f>
        <v>71957.81043081735</v>
      </c>
      <c r="H9" s="483">
        <f>transport!H14</f>
        <v>8035.9934461717539</v>
      </c>
      <c r="I9" s="483"/>
      <c r="J9" s="483"/>
      <c r="K9" s="483"/>
      <c r="L9" s="483"/>
      <c r="M9" s="483">
        <f>transport!M14</f>
        <v>4409.8004511462786</v>
      </c>
      <c r="N9" s="483"/>
      <c r="O9" s="483"/>
      <c r="P9" s="483"/>
      <c r="Q9" s="482">
        <f>SUM(B9:P9)</f>
        <v>84582.986537772056</v>
      </c>
    </row>
    <row r="10" spans="1:17">
      <c r="A10" s="478" t="s">
        <v>561</v>
      </c>
      <c r="B10" s="479">
        <f>transport!B54</f>
        <v>784.78467460260981</v>
      </c>
      <c r="C10" s="479"/>
      <c r="D10" s="479">
        <f>transport!D54</f>
        <v>0</v>
      </c>
      <c r="E10" s="479"/>
      <c r="F10" s="479"/>
      <c r="G10" s="479">
        <f>transport!G54</f>
        <v>157.49011140433697</v>
      </c>
      <c r="H10" s="479"/>
      <c r="I10" s="479"/>
      <c r="J10" s="479"/>
      <c r="K10" s="479"/>
      <c r="L10" s="479"/>
      <c r="M10" s="479">
        <f>transport!M54</f>
        <v>8.9812019449136695</v>
      </c>
      <c r="N10" s="479"/>
      <c r="O10" s="479"/>
      <c r="P10" s="480"/>
      <c r="Q10" s="478">
        <f t="shared" si="0"/>
        <v>951.25598795186045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57748.258272991356</v>
      </c>
      <c r="C14" s="489">
        <f t="shared" ref="C14:Q14" ca="1" si="1">SUM(C4:C13)</f>
        <v>0</v>
      </c>
      <c r="D14" s="489">
        <f t="shared" ca="1" si="1"/>
        <v>87671.404631507932</v>
      </c>
      <c r="E14" s="489">
        <f t="shared" si="1"/>
        <v>797.03521670051373</v>
      </c>
      <c r="F14" s="489">
        <f t="shared" ca="1" si="1"/>
        <v>6576.7012111427612</v>
      </c>
      <c r="G14" s="489">
        <f t="shared" si="1"/>
        <v>72115.300542221681</v>
      </c>
      <c r="H14" s="489">
        <f t="shared" si="1"/>
        <v>8035.9934461717539</v>
      </c>
      <c r="I14" s="489">
        <f t="shared" si="1"/>
        <v>0</v>
      </c>
      <c r="J14" s="489">
        <f t="shared" si="1"/>
        <v>74.472800825060602</v>
      </c>
      <c r="K14" s="489">
        <f t="shared" si="1"/>
        <v>0</v>
      </c>
      <c r="L14" s="489">
        <f t="shared" ca="1" si="1"/>
        <v>0</v>
      </c>
      <c r="M14" s="489">
        <f t="shared" si="1"/>
        <v>4418.7816530911923</v>
      </c>
      <c r="N14" s="489">
        <f t="shared" ca="1" si="1"/>
        <v>2491.9166510578234</v>
      </c>
      <c r="O14" s="489">
        <f t="shared" si="1"/>
        <v>139.13666666666666</v>
      </c>
      <c r="P14" s="490">
        <f t="shared" si="1"/>
        <v>95.333333333333343</v>
      </c>
      <c r="Q14" s="490">
        <f t="shared" ca="1" si="1"/>
        <v>240164.33442571005</v>
      </c>
    </row>
    <row r="16" spans="1:17">
      <c r="A16" s="492" t="s">
        <v>566</v>
      </c>
      <c r="B16" s="842">
        <f ca="1">huishoudens!B10</f>
        <v>0.2151831238914555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5695.9343482845479</v>
      </c>
      <c r="C21" s="479">
        <f t="shared" ref="C21:C28" ca="1" si="3">C4*$C$16</f>
        <v>0</v>
      </c>
      <c r="D21" s="479">
        <f t="shared" ref="D21:D30" si="4">D4*$D$16</f>
        <v>10903.435660172916</v>
      </c>
      <c r="E21" s="479">
        <f t="shared" ref="E21:E30" si="5">E4*$E$16</f>
        <v>0</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16599.370008457463</v>
      </c>
    </row>
    <row r="22" spans="1:17">
      <c r="A22" s="478" t="s">
        <v>156</v>
      </c>
      <c r="B22" s="479">
        <f t="shared" ca="1" si="2"/>
        <v>5778.820214993013</v>
      </c>
      <c r="C22" s="479">
        <f t="shared" ca="1" si="3"/>
        <v>0</v>
      </c>
      <c r="D22" s="479">
        <f t="shared" ca="1" si="4"/>
        <v>4955.1752178286024</v>
      </c>
      <c r="E22" s="479">
        <f t="shared" si="5"/>
        <v>93.497770910710017</v>
      </c>
      <c r="F22" s="479">
        <f t="shared" ca="1" si="6"/>
        <v>1128.7577445142272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11956.250948246552</v>
      </c>
    </row>
    <row r="23" spans="1:17">
      <c r="A23" s="478" t="s">
        <v>194</v>
      </c>
      <c r="B23" s="479">
        <f t="shared" ca="1" si="2"/>
        <v>339.87227612910272</v>
      </c>
      <c r="C23" s="479"/>
      <c r="D23" s="479"/>
      <c r="E23" s="479"/>
      <c r="F23" s="479"/>
      <c r="G23" s="479"/>
      <c r="H23" s="479"/>
      <c r="I23" s="479"/>
      <c r="J23" s="479"/>
      <c r="K23" s="479"/>
      <c r="L23" s="479"/>
      <c r="M23" s="479"/>
      <c r="N23" s="479"/>
      <c r="O23" s="479"/>
      <c r="P23" s="480"/>
      <c r="Q23" s="478">
        <f t="shared" ca="1" si="17"/>
        <v>339.87227612910272</v>
      </c>
    </row>
    <row r="24" spans="1:17">
      <c r="A24" s="478" t="s">
        <v>112</v>
      </c>
      <c r="B24" s="479">
        <f t="shared" ca="1" si="2"/>
        <v>91.995480759360532</v>
      </c>
      <c r="C24" s="479">
        <f t="shared" ca="1" si="3"/>
        <v>0</v>
      </c>
      <c r="D24" s="479">
        <f t="shared" si="4"/>
        <v>1568.8954526245871</v>
      </c>
      <c r="E24" s="479">
        <f t="shared" si="5"/>
        <v>0.89889415819242491</v>
      </c>
      <c r="F24" s="479">
        <f t="shared" si="6"/>
        <v>289.61604814355627</v>
      </c>
      <c r="G24" s="479">
        <f t="shared" si="7"/>
        <v>0</v>
      </c>
      <c r="H24" s="479">
        <f t="shared" si="8"/>
        <v>0</v>
      </c>
      <c r="I24" s="479">
        <f t="shared" si="9"/>
        <v>0</v>
      </c>
      <c r="J24" s="479">
        <f t="shared" si="10"/>
        <v>23.202528621856445</v>
      </c>
      <c r="K24" s="479">
        <f t="shared" si="11"/>
        <v>0</v>
      </c>
      <c r="L24" s="479">
        <f t="shared" si="12"/>
        <v>0</v>
      </c>
      <c r="M24" s="479">
        <f t="shared" si="13"/>
        <v>0</v>
      </c>
      <c r="N24" s="479">
        <f t="shared" si="14"/>
        <v>0</v>
      </c>
      <c r="O24" s="479">
        <f t="shared" si="15"/>
        <v>0</v>
      </c>
      <c r="P24" s="480">
        <f t="shared" si="16"/>
        <v>0</v>
      </c>
      <c r="Q24" s="478">
        <f t="shared" ca="1" si="17"/>
        <v>1974.6084043075527</v>
      </c>
    </row>
    <row r="25" spans="1:17">
      <c r="A25" s="478" t="s">
        <v>650</v>
      </c>
      <c r="B25" s="479">
        <f t="shared" ca="1" si="2"/>
        <v>349.14763709288201</v>
      </c>
      <c r="C25" s="479">
        <f t="shared" ca="1" si="3"/>
        <v>0</v>
      </c>
      <c r="D25" s="479">
        <f t="shared" si="4"/>
        <v>277.9448266530419</v>
      </c>
      <c r="E25" s="479">
        <f t="shared" si="5"/>
        <v>52.407093635608085</v>
      </c>
      <c r="F25" s="479">
        <f t="shared" si="6"/>
        <v>337.60543071733395</v>
      </c>
      <c r="G25" s="479">
        <f t="shared" si="7"/>
        <v>0</v>
      </c>
      <c r="H25" s="479">
        <f t="shared" si="8"/>
        <v>0</v>
      </c>
      <c r="I25" s="479">
        <f t="shared" si="9"/>
        <v>0</v>
      </c>
      <c r="J25" s="479">
        <f t="shared" si="10"/>
        <v>3.1608428702150078</v>
      </c>
      <c r="K25" s="479">
        <f t="shared" si="11"/>
        <v>0</v>
      </c>
      <c r="L25" s="479">
        <f t="shared" si="12"/>
        <v>0</v>
      </c>
      <c r="M25" s="479">
        <f t="shared" si="13"/>
        <v>0</v>
      </c>
      <c r="N25" s="479">
        <f t="shared" si="14"/>
        <v>0</v>
      </c>
      <c r="O25" s="479">
        <f t="shared" si="15"/>
        <v>0</v>
      </c>
      <c r="P25" s="480">
        <f t="shared" si="16"/>
        <v>0</v>
      </c>
      <c r="Q25" s="478">
        <f t="shared" ca="1" si="17"/>
        <v>1020.265830969081</v>
      </c>
    </row>
    <row r="26" spans="1:17" s="484" customFormat="1">
      <c r="A26" s="482" t="s">
        <v>571</v>
      </c>
      <c r="B26" s="836">
        <f t="shared" ca="1" si="2"/>
        <v>1.8082393508330739</v>
      </c>
      <c r="C26" s="483"/>
      <c r="D26" s="483">
        <f t="shared" si="4"/>
        <v>4.1725782854562903</v>
      </c>
      <c r="E26" s="483">
        <f t="shared" si="5"/>
        <v>34.123235486506118</v>
      </c>
      <c r="F26" s="483"/>
      <c r="G26" s="483">
        <f t="shared" si="7"/>
        <v>19212.735385028234</v>
      </c>
      <c r="H26" s="483">
        <f t="shared" si="8"/>
        <v>2000.9623680967668</v>
      </c>
      <c r="I26" s="483"/>
      <c r="J26" s="483"/>
      <c r="K26" s="483"/>
      <c r="L26" s="483"/>
      <c r="M26" s="483">
        <f t="shared" si="13"/>
        <v>0</v>
      </c>
      <c r="N26" s="483"/>
      <c r="O26" s="483"/>
      <c r="P26" s="494"/>
      <c r="Q26" s="482">
        <f t="shared" ca="1" si="17"/>
        <v>21253.801806247797</v>
      </c>
    </row>
    <row r="27" spans="1:17">
      <c r="A27" s="478" t="s">
        <v>561</v>
      </c>
      <c r="B27" s="479">
        <f t="shared" ca="1" si="2"/>
        <v>168.87241786312899</v>
      </c>
      <c r="C27" s="479"/>
      <c r="D27" s="483">
        <f t="shared" si="4"/>
        <v>0</v>
      </c>
      <c r="E27" s="479"/>
      <c r="F27" s="479"/>
      <c r="G27" s="479">
        <f t="shared" si="7"/>
        <v>42.049859744957971</v>
      </c>
      <c r="H27" s="479"/>
      <c r="I27" s="479"/>
      <c r="J27" s="479"/>
      <c r="K27" s="479"/>
      <c r="L27" s="479"/>
      <c r="M27" s="479">
        <f t="shared" si="13"/>
        <v>0</v>
      </c>
      <c r="N27" s="479"/>
      <c r="O27" s="479"/>
      <c r="P27" s="480"/>
      <c r="Q27" s="478">
        <f t="shared" ca="1" si="17"/>
        <v>210.92227760808697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12426.450614472869</v>
      </c>
      <c r="C31" s="489">
        <f t="shared" ca="1" si="18"/>
        <v>0</v>
      </c>
      <c r="D31" s="489">
        <f t="shared" ca="1" si="18"/>
        <v>17709.623735564604</v>
      </c>
      <c r="E31" s="489">
        <f t="shared" si="18"/>
        <v>180.92699419101666</v>
      </c>
      <c r="F31" s="489">
        <f t="shared" ca="1" si="18"/>
        <v>1755.9792233751175</v>
      </c>
      <c r="G31" s="489">
        <f t="shared" si="18"/>
        <v>19254.785244773193</v>
      </c>
      <c r="H31" s="489">
        <f t="shared" si="18"/>
        <v>2000.9623680967668</v>
      </c>
      <c r="I31" s="489">
        <f t="shared" si="18"/>
        <v>0</v>
      </c>
      <c r="J31" s="489">
        <f t="shared" si="18"/>
        <v>26.363371492071451</v>
      </c>
      <c r="K31" s="489">
        <f t="shared" si="18"/>
        <v>0</v>
      </c>
      <c r="L31" s="489">
        <f t="shared" ca="1" si="18"/>
        <v>0</v>
      </c>
      <c r="M31" s="489">
        <f t="shared" si="18"/>
        <v>0</v>
      </c>
      <c r="N31" s="489">
        <f t="shared" ca="1" si="18"/>
        <v>0</v>
      </c>
      <c r="O31" s="489">
        <f t="shared" si="18"/>
        <v>0</v>
      </c>
      <c r="P31" s="490">
        <f t="shared" si="18"/>
        <v>0</v>
      </c>
      <c r="Q31" s="490">
        <f t="shared" ca="1" si="18"/>
        <v>53355.091551965634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0.2151831238914555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0.2151831238914555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0.2151831238914555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2019-01-01T21:32:59Z</dcterms:modified>
</cp:coreProperties>
</file>