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B22" i="6" l="1"/>
  <c r="C17" i="49"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F8" i="48"/>
  <c r="Q4"/>
  <c r="N22"/>
  <c r="R11" i="14"/>
  <c r="J21" i="48"/>
  <c r="C16" i="22" l="1"/>
  <c r="C10" i="13"/>
  <c r="C16" i="48" s="1"/>
  <c r="C28" s="1"/>
  <c r="K13" i="14"/>
  <c r="K15" s="1"/>
  <c r="K23" s="1"/>
  <c r="E31" i="48"/>
  <c r="C18" i="15"/>
  <c r="C20" s="1"/>
  <c r="D36" i="14" s="1"/>
  <c r="C20" i="16"/>
  <c r="C22" s="1"/>
  <c r="D39" i="14" s="1"/>
  <c r="C17" i="19"/>
  <c r="C19" s="1"/>
  <c r="D35" i="14" s="1"/>
  <c r="C29" i="20"/>
  <c r="J8" i="48"/>
  <c r="J25" s="1"/>
  <c r="J31" s="1"/>
  <c r="N25"/>
  <c r="N31" s="1"/>
  <c r="N14"/>
  <c r="K41" i="14"/>
  <c r="K53" s="1"/>
  <c r="E14" i="48"/>
  <c r="H55" i="14"/>
  <c r="E55"/>
  <c r="C78"/>
  <c r="C81" s="1"/>
  <c r="R19"/>
  <c r="R20" s="1"/>
  <c r="H14" i="48"/>
  <c r="G31"/>
  <c r="H26"/>
  <c r="H31" s="1"/>
  <c r="F55" i="14"/>
  <c r="O53"/>
  <c r="G53"/>
  <c r="G55" s="1"/>
  <c r="O69" s="1"/>
  <c r="B9" i="6" s="1"/>
  <c r="B12" s="1"/>
  <c r="M53" i="14"/>
  <c r="M55" s="1"/>
  <c r="C22" i="48"/>
  <c r="C25"/>
  <c r="F25"/>
  <c r="F31" s="1"/>
  <c r="F14"/>
  <c r="C21" l="1"/>
  <c r="C31" s="1"/>
  <c r="J14"/>
  <c r="R13" i="14"/>
  <c r="R15" s="1"/>
  <c r="R23" s="1"/>
  <c r="Q8" i="48"/>
  <c r="Q14" s="1"/>
  <c r="K55" i="14"/>
  <c r="C12" i="13"/>
  <c r="D37" i="14" s="1"/>
  <c r="D41" s="1"/>
  <c r="C2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<sst xmlns="http://schemas.openxmlformats.org/spreadsheetml/2006/main" count="2173" uniqueCount="889">
  <si>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</si>
  <si>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</si>
  <si>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</si>
  <si>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</si>
  <si>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</si>
  <si>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</si>
  <si>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</si>
  <si>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</si>
  <si>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</si>
  <si>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</si>
  <si>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</si>
  <si>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</si>
  <si>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</si>
  <si>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</si>
  <si>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</si>
  <si>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</si>
  <si>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</si>
  <si>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</si>
  <si>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</si>
  <si>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</si>
  <si>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</si>
  <si>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</si>
  <si>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</si>
  <si>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</si>
  <si>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</si>
  <si>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</si>
  <si>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</si>
  <si>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</si>
  <si>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</si>
  <si>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</si>
  <si>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</si>
  <si>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</si>
  <si>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</si>
  <si>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</si>
  <si>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</si>
  <si>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</si>
  <si>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</si>
  <si>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</si>
  <si>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</si>
  <si>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</si>
  <si>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</si>
  <si>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</si>
  <si>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</si>
  <si>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</si>
  <si>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</si>
  <si>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</si>
  <si>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</si>
  <si>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</si>
  <si>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</si>
  <si>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</si>
  <si>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</si>
  <si>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</si>
  <si>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</si>
  <si>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</si>
  <si>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</si>
  <si>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</si>
  <si>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</si>
  <si>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</si>
  <si>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</si>
  <si>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</si>
  <si>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</si>
  <si>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</si>
  <si>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</si>
  <si>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</si>
  <si>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</si>
  <si>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</si>
  <si>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</si>
  <si>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</si>
  <si>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</si>
  <si>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</si>
  <si>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</si>
  <si>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</si>
  <si>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</si>
  <si>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</si>
  <si>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</si>
  <si>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</si>
  <si>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</si>
  <si>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</si>
  <si>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</si>
  <si>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</si>
  <si>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</si>
  <si>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</si>
  <si>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</si>
  <si>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</si>
  <si>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</si>
  <si>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</si>
  <si>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</si>
  <si>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</si>
  <si>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</si>
  <si>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</si>
  <si>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</si>
  <si>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</si>
  <si>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</si>
  <si>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</si>
  <si>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</si>
  <si>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</si>
  <si>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</si>
  <si>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</si>
  <si>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</si>
  <si>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</si>
  <si>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</si>
  <si>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</si>
  <si>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</si>
  <si>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</si>
  <si>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</si>
  <si>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</si>
  <si>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</si>
  <si>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</si>
  <si>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</si>
  <si>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</si>
  <si>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</si>
  <si>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</si>
  <si>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</si>
  <si>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</si>
  <si>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</si>
  <si>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</si>
  <si>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</si>
  <si>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</si>
  <si>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</si>
  <si>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</si>
  <si>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</si>
  <si>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</si>
  <si>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</si>
  <si>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</si>
  <si>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</si>
  <si>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</si>
  <si>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</si>
  <si>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</si>
  <si>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</si>
  <si>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</si>
  <si>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</si>
  <si>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</si>
  <si>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</si>
  <si>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</si>
  <si>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</si>
  <si>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</si>
  <si>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</si>
  <si>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</si>
  <si>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</si>
  <si>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</si>
  <si>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</si>
  <si>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</si>
  <si>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</si>
  <si>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</si>
  <si>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</si>
  <si>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</si>
  <si>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</si>
  <si>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</si>
  <si>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</si>
  <si>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</si>
  <si>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</si>
  <si>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</si>
  <si>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</si>
  <si>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</si>
  <si>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</si>
  <si>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</si>
  <si>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</si>
  <si>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</si>
  <si>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</si>
  <si>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</si>
  <si>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</si>
  <si>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</si>
  <si>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</si>
  <si>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</si>
  <si>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</si>
  <si>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</si>
  <si>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</si>
  <si>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</si>
  <si>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</si>
  <si>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</si>
  <si>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</si>
  <si>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</si>
  <si>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</si>
  <si>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</si>
  <si>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</si>
  <si>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</si>
  <si>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</si>
  <si>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</si>
  <si>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</si>
  <si>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</si>
  <si>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</si>
  <si>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</si>
  <si>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</si>
  <si>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</si>
  <si>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</si>
  <si>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</si>
  <si>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</si>
  <si>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</si>
  <si>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</si>
  <si>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</si>
  <si>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</si>
  <si>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</si>
  <si>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</si>
  <si>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</si>
  <si>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</si>
  <si>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</si>
  <si>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</si>
  <si>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</si>
  <si>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</si>
  <si>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</si>
  <si>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</si>
  <si>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</si>
  <si>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</si>
  <si>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</si>
  <si>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</si>
  <si>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</si>
  <si>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</si>
  <si>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</si>
  <si>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</si>
  <si>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</si>
  <si>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</si>
  <si>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</si>
  <si>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</si>
  <si>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</si>
  <si>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</si>
  <si>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</si>
  <si>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</si>
  <si>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</si>
  <si>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</si>
  <si>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</si>
  <si>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</si>
  <si>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</si>
  <si>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</si>
  <si>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</si>
  <si>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</si>
  <si>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</si>
  <si>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</si>
  <si>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</si>
  <si>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</si>
  <si>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</si>
  <si>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</si>
  <si>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</si>
  <si>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</si>
  <si>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</si>
  <si>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</si>
  <si>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</si>
  <si>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</si>
  <si>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</si>
  <si>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</si>
  <si>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</si>
  <si>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</si>
  <si>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</si>
  <si>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</si>
  <si>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</si>
  <si>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</si>
  <si>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</si>
  <si>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</si>
  <si>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</si>
  <si>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</si>
  <si>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</si>
  <si>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</si>
  <si>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</si>
  <si>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</si>
  <si>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</si>
  <si>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</si>
  <si>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</si>
  <si>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</si>
  <si>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</si>
  <si>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</si>
  <si>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</si>
  <si>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</si>
  <si>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</si>
  <si>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</si>
  <si>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</si>
  <si>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</si>
  <si>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</si>
  <si>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</si>
  <si>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</si>
  <si>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</si>
  <si>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</si>
  <si>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</si>
  <si>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</si>
  <si>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</si>
  <si>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</si>
  <si>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</si>
  <si>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</si>
  <si>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</si>
  <si>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</si>
  <si>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</si>
  <si>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</si>
  <si>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</si>
  <si>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</si>
  <si>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</si>
  <si>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</si>
  <si>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</si>
  <si>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</si>
  <si>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</si>
  <si>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</si>
  <si>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</si>
  <si>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</si>
  <si>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</si>
  <si>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</si>
  <si>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</si>
  <si>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</si>
  <si>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</si>
  <si>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</si>
  <si>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</si>
  <si>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</si>
  <si>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</si>
  <si>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</si>
  <si>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</si>
  <si>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</si>
  <si>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</si>
  <si>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</si>
  <si>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</si>
  <si>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</si>
  <si>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</si>
  <si>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</si>
  <si>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</si>
  <si>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</si>
  <si>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</si>
  <si>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</si>
  <si>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</si>
  <si>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</si>
  <si>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</si>
  <si>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</si>
  <si>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</si>
  <si>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</si>
  <si>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</si>
  <si>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</si>
  <si>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</si>
  <si>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</si>
  <si>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</si>
  <si>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</si>
  <si>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</si>
  <si>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</si>
  <si>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</si>
  <si>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</si>
  <si>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</si>
  <si>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</si>
  <si>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</si>
  <si>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</si>
  <si>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</si>
  <si>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</si>
  <si>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</si>
  <si>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</si>
  <si>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</si>
  <si>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</si>
  <si>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</si>
  <si>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</si>
  <si>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</si>
  <si>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</si>
  <si>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</si>
  <si>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</si>
  <si>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</si>
  <si>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</si>
  <si>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</si>
  <si>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</si>
  <si>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</si>
  <si>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</si>
  <si>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</si>
  <si>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</si>
  <si>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</si>
  <si>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</si>
  <si>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</si>
  <si>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</si>
  <si>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</si>
  <si>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</si>
  <si>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</si>
  <si>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</si>
  <si>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</si>
  <si>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</si>
  <si>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</si>
  <si>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</si>
  <si>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</si>
  <si>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</si>
  <si>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</si>
  <si>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</si>
  <si>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</si>
  <si>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</si>
  <si>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</si>
  <si>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</si>
  <si>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</si>
  <si>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</si>
  <si>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</si>
  <si>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</si>
  <si>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</si>
  <si>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</si>
  <si>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</si>
  <si>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</si>
  <si>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</si>
  <si>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</si>
  <si>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</si>
  <si>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</si>
  <si>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</si>
  <si>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</si>
  <si>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</si>
  <si>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</si>
  <si>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</si>
  <si>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</si>
  <si>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</si>
  <si>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</si>
  <si>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</si>
  <si>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</si>
  <si>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</si>
  <si>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</si>
  <si>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</si>
  <si>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</si>
  <si>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</si>
  <si>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</si>
  <si>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</si>
  <si>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</si>
  <si>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</si>
  <si>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</si>
  <si>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</si>
  <si>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</si>
  <si>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</si>
  <si>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</si>
  <si>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</si>
  <si>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</si>
  <si>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</si>
  <si>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</si>
  <si>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</si>
  <si>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</si>
  <si>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</si>
  <si>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</si>
  <si>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</si>
  <si>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</si>
  <si>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</si>
  <si>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</si>
  <si>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</si>
  <si>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</si>
  <si>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</si>
  <si>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</si>
  <si>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</si>
  <si>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</si>
  <si>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</si>
  <si>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</si>
  <si>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</si>
  <si>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</si>
  <si>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</si>
  <si>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</si>
  <si>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</si>
  <si>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</si>
  <si>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</si>
  <si>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</si>
  <si>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</si>
  <si>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</si>
  <si>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</si>
  <si>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</si>
  <si>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</si>
  <si>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</si>
  <si>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</si>
  <si>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</si>
  <si>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</si>
  <si>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</si>
  <si>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</si>
  <si>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</si>
  <si>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</si>
  <si>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</si>
  <si>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</si>
  <si>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</si>
  <si>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</si>
  <si>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</si>
  <si>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</si>
  <si>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</si>
  <si>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</si>
  <si>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</si>
  <si>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</si>
  <si>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</si>
  <si>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</si>
  <si>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</si>
  <si>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</si>
  <si>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</si>
  <si>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</si>
  <si>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</si>
  <si>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</si>
  <si>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</si>
  <si>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</si>
  <si>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</si>
  <si>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</si>
  <si>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</si>
  <si>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</si>
  <si>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</si>
  <si>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</si>
  <si>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</si>
  <si>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</si>
  <si>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</si>
  <si>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</si>
  <si>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</si>
  <si>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</si>
  <si>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</si>
  <si>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</si>
  <si>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</si>
  <si>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</si>
  <si>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</si>
  <si>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</si>
  <si>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</si>
  <si>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</si>
  <si>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</si>
  <si>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</si>
  <si>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</si>
  <si>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</si>
  <si>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</si>
  <si>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</si>
  <si>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</si>
  <si>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</si>
  <si>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</si>
  <si>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</si>
  <si>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</si>
  <si>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</si>
  <si>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</si>
  <si>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</si>
  <si>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</si>
  <si>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</si>
  <si>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</si>
  <si>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</si>
  <si>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</si>
  <si>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</si>
  <si>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</si>
  <si>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</si>
  <si>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</si>
  <si>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</si>
  <si>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</si>
  <si>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</si>
  <si>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</si>
  <si>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</si>
  <si>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</si>
  <si>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</si>
  <si>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</si>
  <si>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</si>
  <si>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</si>
  <si>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</si>
  <si>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</si>
  <si>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</si>
  <si>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</si>
  <si>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</si>
  <si>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</si>
  <si>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</si>
  <si>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</si>
  <si>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</si>
  <si>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</si>
  <si>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</si>
  <si>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</si>
  <si>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</si>
  <si>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</si>
  <si>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</si>
  <si>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</si>
  <si>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</si>
  <si>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</si>
  <si>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</si>
  <si>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</si>
  <si>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</si>
  <si>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</si>
  <si>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</si>
  <si>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</si>
  <si>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</si>
  <si>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</si>
  <si>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</si>
  <si>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</si>
  <si>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</si>
  <si>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</si>
  <si>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</si>
  <si>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</si>
  <si>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</si>
  <si>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</si>
  <si>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</si>
  <si>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</si>
  <si>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</si>
  <si>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</si>
  <si>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</si>
  <si>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</si>
  <si>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</si>
  <si>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</si>
  <si>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</si>
  <si>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</si>
  <si>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</si>
  <si>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</si>
  <si>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</si>
  <si>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</si>
  <si>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</si>
  <si>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</si>
  <si>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</si>
  <si>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</si>
  <si>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</si>
  <si>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</si>
  <si>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</si>
  <si>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</si>
  <si>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</si>
  <si>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</si>
  <si>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</si>
  <si>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</si>
  <si>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</si>
  <si>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</si>
  <si>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</si>
  <si>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</si>
  <si>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</si>
  <si>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</si>
  <si>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</si>
  <si>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</si>
  <si>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</si>
  <si>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</si>
  <si>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</si>
  <si>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</si>
  <si>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</si>
  <si>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</si>
  <si>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</si>
  <si>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</si>
  <si>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</si>
  <si>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</si>
  <si>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</si>
  <si>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</si>
  <si>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</si>
  <si>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</si>
  <si>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</si>
  <si>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</si>
  <si>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</si>
  <si>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</si>
  <si>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</si>
  <si>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</si>
  <si>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</si>
  <si>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</si>
  <si>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</si>
  <si>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</si>
  <si>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</si>
  <si>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</si>
  <si>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</si>
  <si>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</si>
  <si>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</si>
  <si>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</si>
  <si>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</si>
  <si>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</si>
  <si>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</si>
  <si>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</si>
  <si>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</si>
  <si>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</si>
  <si>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</si>
  <si>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</si>
  <si>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</si>
  <si>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</si>
  <si>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</si>
  <si>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</si>
  <si>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</si>
  <si>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</si>
  <si>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</si>
  <si>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</si>
  <si>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</si>
  <si>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</si>
  <si>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</si>
  <si>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</si>
  <si>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</si>
  <si>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</si>
  <si>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</si>
  <si>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</si>
  <si>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</si>
  <si>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</si>
  <si>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</si>
  <si>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</si>
  <si>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</si>
  <si>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</si>
  <si>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</si>
  <si>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</si>
  <si>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</si>
  <si>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</si>
  <si>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</si>
  <si>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</si>
  <si>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</si>
  <si>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</si>
  <si>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</si>
  <si>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</si>
  <si>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</si>
  <si>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</si>
  <si>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</si>
  <si>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</si>
  <si>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</si>
  <si>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</si>
  <si>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</si>
  <si>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</si>
  <si>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</si>
  <si>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</si>
  <si>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</si>
  <si>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</si>
  <si>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</si>
  <si>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</si>
  <si>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</si>
  <si>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</si>
  <si>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</si>
  <si>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</si>
  <si>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</si>
  <si>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</si>
  <si>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</si>
  <si>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</si>
  <si>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</si>
  <si>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</si>
  <si>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</si>
  <si>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</si>
  <si>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</si>
  <si>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</si>
  <si>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</si>
  <si>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</si>
  <si>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</si>
  <si>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</si>
  <si>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</si>
  <si>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</si>
  <si>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</si>
  <si>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</si>
  <si>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</si>
  <si>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</si>
  <si>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</si>
  <si>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</si>
  <si>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</si>
  <si>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</si>
  <si>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</si>
  <si>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</si>
  <si>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</si>
  <si>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</si>
  <si>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</si>
  <si>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</si>
  <si>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</si>
  <si>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</si>
  <si>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</si>
  <si>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</si>
  <si>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</si>
  <si>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</si>
  <si>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</si>
  <si>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</si>
  <si>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</si>
  <si>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</si>
  <si>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</si>
  <si>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</si>
  <si>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</si>
  <si>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</si>
  <si>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</si>
  <si>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</si>
  <si>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</si>
  <si>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</si>
  <si>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</si>
  <si>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</si>
  <si>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</si>
  <si>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</si>
  <si>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</si>
  <si>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</si>
  <si>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</si>
  <si>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</si>
  <si>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</si>
  <si>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</si>
  <si>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</si>
  <si>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</si>
  <si>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</si>
  <si>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</si>
  <si>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</si>
  <si>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</si>
  <si>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</si>
  <si>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</si>
  <si>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</si>
  <si>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</si>
  <si>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</si>
  <si>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</si>
  <si>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</si>
  <si>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</si>
  <si>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</si>
  <si>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</si>
  <si>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</si>
  <si>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</si>
  <si>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</si>
  <si>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</si>
  <si>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</si>
  <si>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</si>
  <si>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</si>
  <si>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</si>
  <si>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</si>
  <si>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</si>
  <si>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</si>
  <si>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</si>
  <si>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</si>
  <si>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</si>
  <si>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</si>
  <si>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</si>
  <si>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</si>
  <si>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</si>
  <si>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</si>
  <si>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</si>
  <si>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</si>
  <si>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</si>
  <si>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</si>
  <si>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</si>
  <si>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</si>
  <si>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</si>
  <si>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</si>
  <si>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</si>
  <si>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</si>
  <si>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</si>
  <si>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</si>
  <si>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</si>
  <si>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</si>
  <si>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</si>
  <si>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</si>
  <si>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</si>
  <si>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</si>
  <si>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</si>
  <si>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</si>
  <si>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</si>
  <si>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</si>
  <si>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</si>
  <si>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</si>
  <si>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</si>
  <si>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</si>
  <si>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</si>
  <si>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</si>
  <si>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</si>
  <si>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</si>
  <si>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</si>
  <si>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</si>
  <si>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</si>
  <si>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</si>
  <si>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</si>
  <si>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</si>
  <si>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</si>
  <si>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</si>
  <si>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</si>
  <si>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</si>
  <si>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</si>
  <si>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</si>
  <si>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</si>
  <si>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</si>
  <si>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</si>
  <si>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</si>
  <si>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</si>
  <si>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</si>
  <si>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</si>
  <si>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</si>
  <si>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</si>
  <si>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</si>
  <si>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</si>
  <si>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</si>
  <si>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</si>
  <si>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</si>
  <si>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</si>
  <si>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</si>
  <si>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</si>
  <si>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</si>
  <si>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</si>
  <si>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</si>
  <si>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</si>
  <si>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</si>
  <si>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</si>
  <si>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</si>
  <si>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</si>
  <si>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</si>
  <si>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</si>
  <si>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</si>
  <si>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</si>
  <si>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</si>
  <si>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</si>
  <si>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</si>
  <si>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</si>
  <si>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</si>
  <si>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</si>
  <si>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</si>
  <si>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</si>
  <si>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</si>
  <si>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</si>
  <si>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</si>
  <si>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</si>
  <si>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</si>
  <si>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</si>
  <si>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</si>
  <si>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</si>
  <si>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</si>
  <si>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</si>
  <si>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</si>
  <si>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</si>
  <si>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</si>
  <si>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37020</t>
  </si>
  <si>
    <t>ARDOOIE</t>
  </si>
  <si>
    <t>Paarden&amp;pony's 200 - 600 kg</t>
  </si>
  <si>
    <t>Paarden&amp;pony's &lt; 200 kg</t>
  </si>
  <si>
    <t>referentietaak LNE (2017); Jaarverslag De Lijn (2014)</t>
  </si>
  <si>
    <t>op basis van VEA (maart 2018) en Inventaris Hernieuwbare Energiebronnen (juni 2018)</t>
  </si>
  <si>
    <t>VEA (maart 2016)</t>
  </si>
  <si>
    <t>VEA (juni 2018)</t>
  </si>
  <si>
    <t>Helmke Drive Center</t>
  </si>
  <si>
    <t>Bleyveldstraat 9, 3320 Hoegaarden</t>
  </si>
  <si>
    <t>WKK-0004 Unifrost Ardooie</t>
  </si>
  <si>
    <t>interne verbrandingsmotor</t>
  </si>
  <si>
    <t>WKK interne verbrandinsgmotor (gas)</t>
  </si>
  <si>
    <t>Zwevezeelsestraat 142, 8851 Koolskamp</t>
  </si>
  <si>
    <t>GASELWEST</t>
  </si>
  <si>
    <t>Coghe Luc</t>
  </si>
  <si>
    <t>Meulebeeksestraat 38a , 8850 Ardooie</t>
  </si>
  <si>
    <t>WKK-0214 Coghe Luc</t>
  </si>
  <si>
    <t>Cummins Cogeneration Belgium bvba</t>
  </si>
  <si>
    <t>Interleuvenlaan 62 , 3001 Heverlee</t>
  </si>
  <si>
    <t>WKK-0406 Desmet</t>
  </si>
  <si>
    <t>Vlasbloemstraat 17 , 8850 Ardooie</t>
  </si>
  <si>
    <t>Digrom Energy NV</t>
  </si>
  <si>
    <t>Dulle-Grietlaan 17/14 , 9050 Gentbrugge</t>
  </si>
  <si>
    <t>WKK-0435 Digrom Energy</t>
  </si>
  <si>
    <t>Wezestraat 61 , 8850 Ardooie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</si>
</sst>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78795.29694449727</c:v>
                </c:pt>
                <c:pt idx="1">
                  <c:v>52172.654280933304</c:v>
                </c:pt>
                <c:pt idx="2">
                  <c:v>672.32299999999998</c:v>
                </c:pt>
                <c:pt idx="3">
                  <c:v>62204.758135633856</c:v>
                </c:pt>
                <c:pt idx="4">
                  <c:v>704891.1175275417</c:v>
                </c:pt>
                <c:pt idx="5">
                  <c:v>153084.05317740617</c:v>
                </c:pt>
                <c:pt idx="6">
                  <c:v>991.38036872643909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680960"/>
        <c:axId val="182682752"/>
      </c:barChart>
      <c:catAx>
        <c:axId val="182680960"/>
        <c:scaling>
          <c:orientation val="minMax"/>
        </c:scaling>
        <c:axPos val="b"/>
        <c:numFmt formatCode="General" sourceLinked="0"/>
        <c:tickLblPos val="nextTo"/>
        <c:crossAx val="182682752"/>
        <c:crosses val="autoZero"/>
        <c:auto val="1"/>
        <c:lblAlgn val="ctr"/>
        <c:lblOffset val="100"/>
      </c:catAx>
      <c:valAx>
        <c:axId val="182682752"/>
        <c:scaling>
          <c:orientation val="minMax"/>
        </c:scaling>
        <c:axPos val="l"/>
        <c:majorGridlines/>
        <c:numFmt formatCode="#,##0" sourceLinked="1"/>
        <c:tickLblPos val="nextTo"/>
        <c:crossAx val="182680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78795.29694449727</c:v>
                </c:pt>
                <c:pt idx="1">
                  <c:v>52172.654280933304</c:v>
                </c:pt>
                <c:pt idx="2">
                  <c:v>672.32299999999998</c:v>
                </c:pt>
                <c:pt idx="3">
                  <c:v>62204.758135633856</c:v>
                </c:pt>
                <c:pt idx="4">
                  <c:v>704891.1175275417</c:v>
                </c:pt>
                <c:pt idx="5">
                  <c:v>153084.05317740617</c:v>
                </c:pt>
                <c:pt idx="6">
                  <c:v>991.38036872643909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15713.65497581552</c:v>
                </c:pt>
                <c:pt idx="1">
                  <c:v>10622.575105767912</c:v>
                </c:pt>
                <c:pt idx="2">
                  <c:v>144.2609212984309</c:v>
                </c:pt>
                <c:pt idx="3">
                  <c:v>14978.759123307154</c:v>
                </c:pt>
                <c:pt idx="4">
                  <c:v>146951.3597038438</c:v>
                </c:pt>
                <c:pt idx="5">
                  <c:v>38400.438183272374</c:v>
                </c:pt>
                <c:pt idx="6">
                  <c:v>250.41795261981778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097600"/>
        <c:axId val="183500800"/>
      </c:barChart>
      <c:catAx>
        <c:axId val="183097600"/>
        <c:scaling>
          <c:orientation val="minMax"/>
        </c:scaling>
        <c:axPos val="b"/>
        <c:numFmt formatCode="General" sourceLinked="0"/>
        <c:tickLblPos val="nextTo"/>
        <c:crossAx val="183500800"/>
        <c:crosses val="autoZero"/>
        <c:auto val="1"/>
        <c:lblAlgn val="ctr"/>
        <c:lblOffset val="100"/>
      </c:catAx>
      <c:valAx>
        <c:axId val="183500800"/>
        <c:scaling>
          <c:orientation val="minMax"/>
        </c:scaling>
        <c:axPos val="l"/>
        <c:majorGridlines/>
        <c:numFmt formatCode="#,##0" sourceLinked="1"/>
        <c:tickLblPos val="nextTo"/>
        <c:crossAx val="1830976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15713.65497581552</c:v>
                </c:pt>
                <c:pt idx="1">
                  <c:v>10622.575105767912</c:v>
                </c:pt>
                <c:pt idx="2">
                  <c:v>144.2609212984309</c:v>
                </c:pt>
                <c:pt idx="3">
                  <c:v>14978.759123307154</c:v>
                </c:pt>
                <c:pt idx="4">
                  <c:v>146951.3597038438</c:v>
                </c:pt>
                <c:pt idx="5">
                  <c:v>38400.438183272374</c:v>
                </c:pt>
                <c:pt idx="6">
                  <c:v>250.41795261981778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37020</v>
      </c>
      <c r="B6" s="416"/>
      <c r="C6" s="417"/>
    </row>
    <row r="7" spans="1:7" s="414" customFormat="1" ht="15.75" customHeight="1">
      <c r="A7" s="418" t="str">
        <f>txtMunicipality</f>
        <v>ARDOOIE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37020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3755</v>
      </c>
      <c r="C9" s="342">
        <v>3743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2260</v>
      </c>
    </row>
    <row r="15" spans="1:6">
      <c r="A15" s="348" t="s">
        <v>184</v>
      </c>
      <c r="B15" s="334">
        <v>26</v>
      </c>
    </row>
    <row r="16" spans="1:6">
      <c r="A16" s="348" t="s">
        <v>6</v>
      </c>
      <c r="B16" s="334">
        <v>608</v>
      </c>
    </row>
    <row r="17" spans="1:6">
      <c r="A17" s="348" t="s">
        <v>7</v>
      </c>
      <c r="B17" s="334">
        <v>568</v>
      </c>
    </row>
    <row r="18" spans="1:6">
      <c r="A18" s="348" t="s">
        <v>8</v>
      </c>
      <c r="B18" s="334">
        <v>745</v>
      </c>
    </row>
    <row r="19" spans="1:6">
      <c r="A19" s="348" t="s">
        <v>9</v>
      </c>
      <c r="B19" s="334">
        <v>773</v>
      </c>
    </row>
    <row r="20" spans="1:6">
      <c r="A20" s="348" t="s">
        <v>10</v>
      </c>
      <c r="B20" s="334">
        <v>689</v>
      </c>
    </row>
    <row r="21" spans="1:6">
      <c r="A21" s="348" t="s">
        <v>11</v>
      </c>
      <c r="B21" s="334">
        <v>20991</v>
      </c>
    </row>
    <row r="22" spans="1:6">
      <c r="A22" s="348" t="s">
        <v>12</v>
      </c>
      <c r="B22" s="334">
        <v>72949</v>
      </c>
    </row>
    <row r="23" spans="1:6">
      <c r="A23" s="348" t="s">
        <v>13</v>
      </c>
      <c r="B23" s="334">
        <v>1176</v>
      </c>
    </row>
    <row r="24" spans="1:6">
      <c r="A24" s="348" t="s">
        <v>14</v>
      </c>
      <c r="B24" s="334">
        <v>36</v>
      </c>
    </row>
    <row r="25" spans="1:6">
      <c r="A25" s="348" t="s">
        <v>15</v>
      </c>
      <c r="B25" s="334">
        <v>5159</v>
      </c>
    </row>
    <row r="26" spans="1:6">
      <c r="A26" s="348" t="s">
        <v>16</v>
      </c>
      <c r="B26" s="334">
        <v>37</v>
      </c>
    </row>
    <row r="27" spans="1:6">
      <c r="A27" s="348" t="s">
        <v>17</v>
      </c>
      <c r="B27" s="334">
        <v>0</v>
      </c>
    </row>
    <row r="28" spans="1:6" s="356" customFormat="1">
      <c r="A28" s="355" t="s">
        <v>18</v>
      </c>
      <c r="B28" s="355">
        <v>405673</v>
      </c>
    </row>
    <row r="29" spans="1:6">
      <c r="A29" s="355" t="s">
        <v>865</v>
      </c>
      <c r="B29" s="355">
        <v>112</v>
      </c>
      <c r="C29" s="356"/>
      <c r="D29" s="356"/>
      <c r="E29" s="356"/>
      <c r="F29" s="356"/>
    </row>
    <row r="30" spans="1:6">
      <c r="A30" s="341" t="s">
        <v>866</v>
      </c>
      <c r="B30" s="341">
        <v>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1155</v>
      </c>
    </row>
    <row r="39" spans="1:6">
      <c r="A39" s="348" t="s">
        <v>30</v>
      </c>
      <c r="B39" s="348" t="s">
        <v>31</v>
      </c>
      <c r="C39" s="334">
        <v>2072</v>
      </c>
      <c r="D39" s="334">
        <v>30629538.968153499</v>
      </c>
      <c r="E39" s="334">
        <v>3429</v>
      </c>
      <c r="F39" s="334">
        <v>13910289</v>
      </c>
    </row>
    <row r="40" spans="1:6">
      <c r="A40" s="348" t="s">
        <v>30</v>
      </c>
      <c r="B40" s="348" t="s">
        <v>29</v>
      </c>
      <c r="C40" s="334">
        <v>0</v>
      </c>
      <c r="D40" s="334">
        <v>0</v>
      </c>
      <c r="E40" s="334">
        <v>2</v>
      </c>
      <c r="F40" s="334">
        <v>6346</v>
      </c>
    </row>
    <row r="41" spans="1:6">
      <c r="A41" s="348" t="s">
        <v>32</v>
      </c>
      <c r="B41" s="348" t="s">
        <v>33</v>
      </c>
      <c r="C41" s="334">
        <v>31</v>
      </c>
      <c r="D41" s="334">
        <v>707380.547905026</v>
      </c>
      <c r="E41" s="334">
        <v>109</v>
      </c>
      <c r="F41" s="334">
        <v>1959459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261903.10387247099</v>
      </c>
      <c r="E44" s="334">
        <v>13</v>
      </c>
      <c r="F44" s="334">
        <v>491860.2</v>
      </c>
    </row>
    <row r="45" spans="1:6">
      <c r="A45" s="348" t="s">
        <v>32</v>
      </c>
      <c r="B45" s="348" t="s">
        <v>37</v>
      </c>
      <c r="C45" s="334">
        <v>0</v>
      </c>
      <c r="D45" s="334">
        <v>0</v>
      </c>
      <c r="E45" s="334">
        <v>3</v>
      </c>
      <c r="F45" s="334">
        <v>207568.7</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44</v>
      </c>
      <c r="D48" s="334">
        <v>54379538.837193601</v>
      </c>
      <c r="E48" s="334">
        <v>50</v>
      </c>
      <c r="F48" s="334">
        <v>75675087</v>
      </c>
    </row>
    <row r="49" spans="1:6">
      <c r="A49" s="348" t="s">
        <v>32</v>
      </c>
      <c r="B49" s="348" t="s">
        <v>40</v>
      </c>
      <c r="C49" s="334">
        <v>3</v>
      </c>
      <c r="D49" s="334">
        <v>84607.085172785693</v>
      </c>
      <c r="E49" s="334">
        <v>6</v>
      </c>
      <c r="F49" s="334">
        <v>208389.8</v>
      </c>
    </row>
    <row r="50" spans="1:6">
      <c r="A50" s="348" t="s">
        <v>32</v>
      </c>
      <c r="B50" s="348" t="s">
        <v>41</v>
      </c>
      <c r="C50" s="334">
        <v>5</v>
      </c>
      <c r="D50" s="334">
        <v>65161777.3720036</v>
      </c>
      <c r="E50" s="334">
        <v>8</v>
      </c>
      <c r="F50" s="334">
        <v>139000000</v>
      </c>
    </row>
    <row r="51" spans="1:6">
      <c r="A51" s="348" t="s">
        <v>42</v>
      </c>
      <c r="B51" s="348" t="s">
        <v>43</v>
      </c>
      <c r="C51" s="334">
        <v>8</v>
      </c>
      <c r="D51" s="334">
        <v>842520.496137365</v>
      </c>
      <c r="E51" s="334">
        <v>173</v>
      </c>
      <c r="F51" s="334">
        <v>5759204</v>
      </c>
    </row>
    <row r="52" spans="1:6">
      <c r="A52" s="348" t="s">
        <v>42</v>
      </c>
      <c r="B52" s="348" t="s">
        <v>29</v>
      </c>
      <c r="C52" s="334">
        <v>6</v>
      </c>
      <c r="D52" s="334">
        <v>19487474.395008799</v>
      </c>
      <c r="E52" s="334">
        <v>19</v>
      </c>
      <c r="F52" s="334">
        <v>1652014</v>
      </c>
    </row>
    <row r="53" spans="1:6">
      <c r="A53" s="348" t="s">
        <v>44</v>
      </c>
      <c r="B53" s="348" t="s">
        <v>45</v>
      </c>
      <c r="C53" s="334">
        <v>46</v>
      </c>
      <c r="D53" s="334">
        <v>875862.92931045801</v>
      </c>
      <c r="E53" s="334">
        <v>111</v>
      </c>
      <c r="F53" s="334">
        <v>499093.2</v>
      </c>
    </row>
    <row r="54" spans="1:6">
      <c r="A54" s="348" t="s">
        <v>46</v>
      </c>
      <c r="B54" s="348" t="s">
        <v>47</v>
      </c>
      <c r="C54" s="334">
        <v>0</v>
      </c>
      <c r="D54" s="334">
        <v>0</v>
      </c>
      <c r="E54" s="334">
        <v>1</v>
      </c>
      <c r="F54" s="334">
        <v>672323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228710.78579712199</v>
      </c>
      <c r="E57" s="334">
        <v>34</v>
      </c>
      <c r="F57" s="334">
        <v>371981.1</v>
      </c>
    </row>
    <row r="58" spans="1:6">
      <c r="A58" s="348" t="s">
        <v>49</v>
      </c>
      <c r="B58" s="348" t="s">
        <v>51</v>
      </c>
      <c r="C58" s="334">
        <v>6</v>
      </c>
      <c r="D58" s="334">
        <v>229982.98577463601</v>
      </c>
      <c r="E58" s="334">
        <v>15</v>
      </c>
      <c r="F58" s="334">
        <v>140314.6</v>
      </c>
    </row>
    <row r="59" spans="1:6">
      <c r="A59" s="348" t="s">
        <v>49</v>
      </c>
      <c r="B59" s="348" t="s">
        <v>52</v>
      </c>
      <c r="C59" s="334">
        <v>16</v>
      </c>
      <c r="D59" s="334">
        <v>293940.17545183701</v>
      </c>
      <c r="E59" s="334">
        <v>84</v>
      </c>
      <c r="F59" s="334">
        <v>3976418</v>
      </c>
    </row>
    <row r="60" spans="1:6">
      <c r="A60" s="348" t="s">
        <v>49</v>
      </c>
      <c r="B60" s="348" t="s">
        <v>53</v>
      </c>
      <c r="C60" s="334">
        <v>34</v>
      </c>
      <c r="D60" s="334">
        <v>1061693.78611258</v>
      </c>
      <c r="E60" s="334">
        <v>37</v>
      </c>
      <c r="F60" s="334">
        <v>629011.80000000005</v>
      </c>
    </row>
    <row r="61" spans="1:6">
      <c r="A61" s="348" t="s">
        <v>49</v>
      </c>
      <c r="B61" s="348" t="s">
        <v>54</v>
      </c>
      <c r="C61" s="334">
        <v>59</v>
      </c>
      <c r="D61" s="334">
        <v>2794319.0702179801</v>
      </c>
      <c r="E61" s="334">
        <v>122</v>
      </c>
      <c r="F61" s="334">
        <v>1112094</v>
      </c>
    </row>
    <row r="62" spans="1:6">
      <c r="A62" s="348" t="s">
        <v>49</v>
      </c>
      <c r="B62" s="348" t="s">
        <v>55</v>
      </c>
      <c r="C62" s="334">
        <v>3</v>
      </c>
      <c r="D62" s="334">
        <v>208071.70326858299</v>
      </c>
      <c r="E62" s="334">
        <v>4</v>
      </c>
      <c r="F62" s="334">
        <v>37204.959999999999</v>
      </c>
    </row>
    <row r="63" spans="1:6">
      <c r="A63" s="348" t="s">
        <v>49</v>
      </c>
      <c r="B63" s="348" t="s">
        <v>29</v>
      </c>
      <c r="C63" s="334">
        <v>99</v>
      </c>
      <c r="D63" s="334">
        <v>40403535.137168802</v>
      </c>
      <c r="E63" s="334">
        <v>149</v>
      </c>
      <c r="F63" s="334">
        <v>3067902</v>
      </c>
    </row>
    <row r="64" spans="1:6">
      <c r="A64" s="348" t="s">
        <v>56</v>
      </c>
      <c r="B64" s="348" t="s">
        <v>57</v>
      </c>
      <c r="C64" s="334">
        <v>0</v>
      </c>
      <c r="D64" s="334">
        <v>0</v>
      </c>
      <c r="E64" s="334">
        <v>0</v>
      </c>
      <c r="F64" s="334">
        <v>0</v>
      </c>
    </row>
    <row r="65" spans="1:6">
      <c r="A65" s="348" t="s">
        <v>56</v>
      </c>
      <c r="B65" s="348" t="s">
        <v>29</v>
      </c>
      <c r="C65" s="334">
        <v>2</v>
      </c>
      <c r="D65" s="334">
        <v>43883.482212013703</v>
      </c>
      <c r="E65" s="334">
        <v>0</v>
      </c>
      <c r="F65" s="334">
        <v>0</v>
      </c>
    </row>
    <row r="66" spans="1:6">
      <c r="A66" s="348" t="s">
        <v>56</v>
      </c>
      <c r="B66" s="348" t="s">
        <v>58</v>
      </c>
      <c r="C66" s="334">
        <v>0</v>
      </c>
      <c r="D66" s="334">
        <v>0</v>
      </c>
      <c r="E66" s="334">
        <v>9</v>
      </c>
      <c r="F66" s="334">
        <v>228946.4</v>
      </c>
    </row>
    <row r="67" spans="1:6">
      <c r="A67" s="355" t="s">
        <v>56</v>
      </c>
      <c r="B67" s="355" t="s">
        <v>59</v>
      </c>
      <c r="C67" s="334">
        <v>0</v>
      </c>
      <c r="D67" s="334">
        <v>0</v>
      </c>
      <c r="E67" s="334">
        <v>0</v>
      </c>
      <c r="F67" s="334">
        <v>0</v>
      </c>
    </row>
    <row r="68" spans="1:6">
      <c r="A68" s="341" t="s">
        <v>56</v>
      </c>
      <c r="B68" s="341" t="s">
        <v>60</v>
      </c>
      <c r="C68" s="334">
        <v>0</v>
      </c>
      <c r="D68" s="334">
        <v>0</v>
      </c>
      <c r="E68" s="334">
        <v>12</v>
      </c>
      <c r="F68" s="334">
        <v>142817.4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50523131</v>
      </c>
      <c r="E73" s="477">
        <v>46914260.38166105</v>
      </c>
    </row>
    <row r="74" spans="1:6">
      <c r="A74" s="348" t="s">
        <v>64</v>
      </c>
      <c r="B74" s="348" t="s">
        <v>714</v>
      </c>
      <c r="C74" s="1288" t="s">
        <v>716</v>
      </c>
      <c r="D74" s="477">
        <v>5791313.7483592834</v>
      </c>
      <c r="E74" s="477">
        <v>5396476.3861156935</v>
      </c>
    </row>
    <row r="75" spans="1:6">
      <c r="A75" s="348" t="s">
        <v>65</v>
      </c>
      <c r="B75" s="348" t="s">
        <v>713</v>
      </c>
      <c r="C75" s="1288" t="s">
        <v>717</v>
      </c>
      <c r="D75" s="477">
        <v>18117522</v>
      </c>
      <c r="E75" s="477">
        <v>16754746.69412311</v>
      </c>
    </row>
    <row r="76" spans="1:6">
      <c r="A76" s="348" t="s">
        <v>65</v>
      </c>
      <c r="B76" s="348" t="s">
        <v>714</v>
      </c>
      <c r="C76" s="1288" t="s">
        <v>718</v>
      </c>
      <c r="D76" s="477">
        <v>1801930.748359283</v>
      </c>
      <c r="E76" s="477">
        <v>1613711.8860316765</v>
      </c>
    </row>
    <row r="77" spans="1:6">
      <c r="A77" s="348" t="s">
        <v>66</v>
      </c>
      <c r="B77" s="348" t="s">
        <v>713</v>
      </c>
      <c r="C77" s="1288" t="s">
        <v>719</v>
      </c>
      <c r="D77" s="477">
        <v>77819437</v>
      </c>
      <c r="E77" s="477">
        <v>91713919.120760575</v>
      </c>
    </row>
    <row r="78" spans="1:6">
      <c r="A78" s="341" t="s">
        <v>66</v>
      </c>
      <c r="B78" s="341" t="s">
        <v>714</v>
      </c>
      <c r="C78" s="341" t="s">
        <v>720</v>
      </c>
      <c r="D78" s="1284">
        <v>12486337</v>
      </c>
      <c r="E78" s="1284">
        <v>12925734.770810576</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264920.50328143395</v>
      </c>
      <c r="C83" s="477">
        <v>267181.99065829854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2180.5097053261325</v>
      </c>
    </row>
    <row r="92" spans="1:6">
      <c r="A92" s="341" t="s">
        <v>69</v>
      </c>
      <c r="B92" s="342">
        <v>6038.4214526664191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1406</v>
      </c>
    </row>
    <row r="98" spans="1:6">
      <c r="A98" s="348" t="s">
        <v>72</v>
      </c>
      <c r="B98" s="334">
        <v>0</v>
      </c>
    </row>
    <row r="99" spans="1:6">
      <c r="A99" s="348" t="s">
        <v>73</v>
      </c>
      <c r="B99" s="334">
        <v>175</v>
      </c>
    </row>
    <row r="100" spans="1:6">
      <c r="A100" s="348" t="s">
        <v>74</v>
      </c>
      <c r="B100" s="334">
        <v>246</v>
      </c>
    </row>
    <row r="101" spans="1:6">
      <c r="A101" s="348" t="s">
        <v>75</v>
      </c>
      <c r="B101" s="334">
        <v>105</v>
      </c>
    </row>
    <row r="102" spans="1:6">
      <c r="A102" s="348" t="s">
        <v>76</v>
      </c>
      <c r="B102" s="334">
        <v>75</v>
      </c>
    </row>
    <row r="103" spans="1:6">
      <c r="A103" s="348" t="s">
        <v>77</v>
      </c>
      <c r="B103" s="334">
        <v>138</v>
      </c>
    </row>
    <row r="104" spans="1:6">
      <c r="A104" s="348" t="s">
        <v>78</v>
      </c>
      <c r="B104" s="334">
        <v>1332</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13</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2</v>
      </c>
    </row>
    <row r="131" spans="1:6">
      <c r="A131" s="348" t="s">
        <v>296</v>
      </c>
      <c r="B131" s="334">
        <v>2</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252387.54973636058</v>
      </c>
      <c r="C3" s="43" t="s">
        <v>170</v>
      </c>
      <c r="D3" s="43"/>
      <c r="E3" s="154"/>
      <c r="F3" s="43"/>
      <c r="G3" s="43"/>
      <c r="H3" s="43"/>
      <c r="I3" s="43"/>
      <c r="J3" s="43"/>
      <c r="K3" s="96"/>
    </row>
    <row r="4" spans="1:11">
      <c r="A4" s="384" t="s">
        <v>171</v>
      </c>
      <c r="B4" s="49">
        <f>IF(ISERROR('SEAP template'!B69),0,'SEAP template'!B69)</f>
        <v>33877.931157992556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5864.3867647058823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0.21457085552395336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8377.6953781512602</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36655.714285714283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0.22855086966389504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672.32299999999998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672.32299999999998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0.21457085552395336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144.2609212984309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13916.635</v>
      </c>
      <c r="C5" s="17">
        <f>IF(ISERROR('Eigen informatie GS &amp; warmtenet'!B57),0,'Eigen informatie GS &amp; warmtenet'!B57)</f>
        <v>0</v>
      </c>
      <c r="D5" s="30">
        <f>(SUM(HH_hh_gas_kWh,HH_rest_gas_kWh)/1000)*0.902</f>
        <v>27627.844149274457</v>
      </c>
      <c r="E5" s="17">
        <f>B46*B57</f>
        <v>4293.8973382037302</v>
      </c>
      <c r="F5" s="17">
        <f>B51*B62</f>
        <v>18034.037607119433</v>
      </c>
      <c r="G5" s="18"/>
      <c r="H5" s="17"/>
      <c r="I5" s="17"/>
      <c r="J5" s="17">
        <f>B50*B61+C50*C61</f>
        <v>2511.4395759159311</v>
      </c>
      <c r="K5" s="17"/>
      <c r="L5" s="17"/>
      <c r="M5" s="17"/>
      <c r="N5" s="17">
        <f>B48*B59+C48*C59</f>
        <v>9770.1469019909109</v>
      </c>
      <c r="O5" s="17">
        <f>B69*B70*B71</f>
        <v>193.85333333333335</v>
      </c>
      <c r="P5" s="17">
        <f>B77*B78*B79/1000-B77*B78*B79/1000/B80</f>
        <v>266.93333333333334</v>
      </c>
    </row>
    <row r="6" spans="1:16">
      <c r="A6" s="16" t="s">
        <v>631</v>
      </c>
      <c r="B6" s="844">
        <f>kWh_PV_kleiner_dan_10kW</f>
        <v>2180.5097053261325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16097.144705326133</v>
      </c>
      <c r="C8" s="21">
        <f>C5</f>
        <v>0</v>
      </c>
      <c r="D8" s="21">
        <f>D5</f>
        <v>27627.844149274457</v>
      </c>
      <c r="E8" s="21">
        <f>E5</f>
        <v>4293.8973382037302</v>
      </c>
      <c r="F8" s="21">
        <f>F5</f>
        <v>18034.037607119433</v>
      </c>
      <c r="G8" s="21"/>
      <c r="H8" s="21"/>
      <c r="I8" s="21"/>
      <c r="J8" s="21">
        <f>J5</f>
        <v>2511.4395759159311</v>
      </c>
      <c r="K8" s="21"/>
      <c r="L8" s="21">
        <f>L5</f>
        <v>0</v>
      </c>
      <c r="M8" s="21">
        <f>M5</f>
        <v>0</v>
      </c>
      <c r="N8" s="21">
        <f>N5</f>
        <v>9770.1469019909109</v>
      </c>
      <c r="O8" s="21">
        <f>O5</f>
        <v>193.85333333333335</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0.21457085552395336</v>
      </c>
      <c r="C10" s="25">
        <f ca="1">'EF ele_warmte'!B22</f>
        <v>0.22855086966389504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3453.9781109147043</v>
      </c>
      <c r="C12" s="23">
        <f ca="1">C10*C8</f>
        <v>0</v>
      </c>
      <c r="D12" s="23">
        <f>D8*D10</f>
        <v>5580.8245181534403</v>
      </c>
      <c r="E12" s="23">
        <f>E10*E8</f>
        <v>974.71469577224684</v>
      </c>
      <c r="F12" s="23">
        <f>F10*F8</f>
        <v>4815.0880411008893</v>
      </c>
      <c r="G12" s="23"/>
      <c r="H12" s="23"/>
      <c r="I12" s="23"/>
      <c r="J12" s="23">
        <f>J10*J8</f>
        <v>889.04960987423954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1406</v>
      </c>
      <c r="C18" s="166" t="s">
        <v>111</v>
      </c>
      <c r="D18" s="228"/>
      <c r="E18" s="15"/>
    </row>
    <row r="19" spans="1:7">
      <c r="A19" s="171" t="s">
        <v>72</v>
      </c>
      <c r="B19" s="37">
        <f>aantalw2001_ander</f>
        <v>0</v>
      </c>
      <c r="C19" s="166" t="s">
        <v>111</v>
      </c>
      <c r="D19" s="229"/>
      <c r="E19" s="15"/>
    </row>
    <row r="20" spans="1:7">
      <c r="A20" s="171" t="s">
        <v>73</v>
      </c>
      <c r="B20" s="37">
        <f>aantalw2001_propaan</f>
        <v>175</v>
      </c>
      <c r="C20" s="167">
        <f>IF(ISERROR(B20/SUM($B$20,$B$21,$B$22)*100),0,B20/SUM($B$20,$B$21,$B$22)*100)</f>
        <v>33.269961977186313</v>
      </c>
      <c r="D20" s="229"/>
      <c r="E20" s="15"/>
    </row>
    <row r="21" spans="1:7">
      <c r="A21" s="171" t="s">
        <v>74</v>
      </c>
      <c r="B21" s="37">
        <f>aantalw2001_elektriciteit</f>
        <v>246</v>
      </c>
      <c r="C21" s="167">
        <f>IF(ISERROR(B21/SUM($B$20,$B$21,$B$22)*100),0,B21/SUM($B$20,$B$21,$B$22)*100)</f>
        <v>46.768060836501903</v>
      </c>
      <c r="D21" s="229"/>
      <c r="E21" s="15"/>
    </row>
    <row r="22" spans="1:7">
      <c r="A22" s="171" t="s">
        <v>75</v>
      </c>
      <c r="B22" s="37">
        <f>aantalw2001_hout</f>
        <v>105</v>
      </c>
      <c r="C22" s="167">
        <f>IF(ISERROR(B22/SUM($B$20,$B$21,$B$22)*100),0,B22/SUM($B$20,$B$21,$B$22)*100)</f>
        <v>19.961977186311788</v>
      </c>
      <c r="D22" s="229"/>
      <c r="E22" s="15"/>
    </row>
    <row r="23" spans="1:7">
      <c r="A23" s="171" t="s">
        <v>76</v>
      </c>
      <c r="B23" s="37">
        <f>aantalw2001_niet_gespec</f>
        <v>75</v>
      </c>
      <c r="C23" s="166" t="s">
        <v>111</v>
      </c>
      <c r="D23" s="228"/>
      <c r="E23" s="15"/>
    </row>
    <row r="24" spans="1:7">
      <c r="A24" s="171" t="s">
        <v>77</v>
      </c>
      <c r="B24" s="37">
        <f>aantalw2001_steenkool</f>
        <v>138</v>
      </c>
      <c r="C24" s="166" t="s">
        <v>111</v>
      </c>
      <c r="D24" s="229"/>
      <c r="E24" s="15"/>
    </row>
    <row r="25" spans="1:7">
      <c r="A25" s="171" t="s">
        <v>78</v>
      </c>
      <c r="B25" s="37">
        <f>aantalw2001_stookolie</f>
        <v>1332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3755</v>
      </c>
      <c r="C28" s="36"/>
      <c r="D28" s="228"/>
    </row>
    <row r="29" spans="1:7" s="15" customFormat="1">
      <c r="A29" s="230" t="s">
        <v>741</v>
      </c>
      <c r="B29" s="37">
        <f>SUM(HH_hh_gas_aantal,HH_rest_gas_aantal)</f>
        <v>2072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2072</v>
      </c>
      <c r="C32" s="167">
        <f>IF(ISERROR(B32/SUM($B$32,$B$34,$B$35,$B$36,$B$38,$B$39)*100),0,B32/SUM($B$32,$B$34,$B$35,$B$36,$B$38,$B$39)*100)</f>
        <v>55.386260358192999</v>
      </c>
      <c r="D32" s="233"/>
      <c r="G32" s="15"/>
    </row>
    <row r="33" spans="1:7">
      <c r="A33" s="171" t="s">
        <v>72</v>
      </c>
      <c r="B33" s="34" t="s">
        <v>111</v>
      </c>
      <c r="C33" s="167"/>
      <c r="D33" s="233"/>
      <c r="G33" s="15"/>
    </row>
    <row r="34" spans="1:7">
      <c r="A34" s="171" t="s">
        <v>73</v>
      </c>
      <c r="B34" s="33">
        <f>IF((($B$28-$B$32-$B$39-$B$77-$B$38)*C20/100)&lt;0,0,($B$28-$B$32-$B$39-$B$77-$B$38)*C20/100)</f>
        <v>287.78517110266159</v>
      </c>
      <c r="C34" s="167">
        <f>IF(ISERROR(B34/SUM($B$32,$B$34,$B$35,$B$36,$B$38,$B$39)*100),0,B34/SUM($B$32,$B$34,$B$35,$B$36,$B$38,$B$39)*100)</f>
        <v>7.6927337905015127</v>
      </c>
      <c r="D34" s="233"/>
      <c r="G34" s="15"/>
    </row>
    <row r="35" spans="1:7">
      <c r="A35" s="171" t="s">
        <v>74</v>
      </c>
      <c r="B35" s="33">
        <f>IF((($B$28-$B$32-$B$39-$B$77-$B$38)*C21/100)&lt;0,0,($B$28-$B$32-$B$39-$B$77-$B$38)*C21/100)</f>
        <v>404.54372623574147</v>
      </c>
      <c r="C35" s="167">
        <f>IF(ISERROR(B35/SUM($B$32,$B$34,$B$35,$B$36,$B$38,$B$39)*100),0,B35/SUM($B$32,$B$34,$B$35,$B$36,$B$38,$B$39)*100)</f>
        <v>10.813785785504985</v>
      </c>
      <c r="D35" s="233"/>
      <c r="G35" s="15"/>
    </row>
    <row r="36" spans="1:7">
      <c r="A36" s="171" t="s">
        <v>75</v>
      </c>
      <c r="B36" s="33">
        <f>IF((($B$28-$B$32-$B$39-$B$77-$B$38)*C22/100)&lt;0,0,($B$28-$B$32-$B$39-$B$77-$B$38)*C22/100)</f>
        <v>172.67110266159696</v>
      </c>
      <c r="C36" s="167">
        <f>IF(ISERROR(B36/SUM($B$32,$B$34,$B$35,$B$36,$B$38,$B$39)*100),0,B36/SUM($B$32,$B$34,$B$35,$B$36,$B$38,$B$39)*100)</f>
        <v>4.6156402743009073</v>
      </c>
      <c r="D36" s="233"/>
      <c r="G36" s="15"/>
    </row>
    <row r="37" spans="1:7">
      <c r="A37" s="171" t="s">
        <v>76</v>
      </c>
      <c r="B37" s="34" t="s">
        <v>111</v>
      </c>
      <c r="C37" s="167"/>
      <c r="D37" s="173"/>
      <c r="G37" s="15"/>
    </row>
    <row r="38" spans="1:7">
      <c r="A38" s="171" t="s">
        <v>77</v>
      </c>
      <c r="B38" s="33">
        <f>IF((B24-(B29-B18)*0.1)&lt;0,0,B24-(B29-B18)*0.1)</f>
        <v>71.399999999999991</v>
      </c>
      <c r="C38" s="167">
        <f>IF(ISERROR(B38/SUM($B$32,$B$34,$B$35,$B$36,$B$38,$B$39)*100),0,B38/SUM($B$32,$B$34,$B$35,$B$36,$B$38,$B$39)*100)</f>
        <v>1.9085805934242177</v>
      </c>
      <c r="D38" s="234"/>
      <c r="G38" s="15"/>
    </row>
    <row r="39" spans="1:7">
      <c r="A39" s="171" t="s">
        <v>78</v>
      </c>
      <c r="B39" s="33">
        <f>IF((B25-(B29-B18))&lt;0,0,B25-(B29-B18)*0.9)</f>
        <v>732.6</v>
      </c>
      <c r="C39" s="167">
        <f>IF(ISERROR(B39/SUM($B$32,$B$34,$B$35,$B$36,$B$38,$B$39)*100),0,B39/SUM($B$32,$B$34,$B$35,$B$36,$B$38,$B$39)*100)</f>
        <v>19.582999198075381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2072</v>
      </c>
      <c r="C44" s="34" t="s">
        <v>111</v>
      </c>
      <c r="D44" s="174"/>
    </row>
    <row r="45" spans="1:7">
      <c r="A45" s="171" t="s">
        <v>72</v>
      </c>
      <c r="B45" s="33" t="str">
        <f t="shared" si="0"/>
        <v>-</v>
      </c>
      <c r="C45" s="34" t="s">
        <v>111</v>
      </c>
      <c r="D45" s="174"/>
    </row>
    <row r="46" spans="1:7">
      <c r="A46" s="171" t="s">
        <v>73</v>
      </c>
      <c r="B46" s="33">
        <f t="shared" si="0"/>
        <v>287.78517110266159</v>
      </c>
      <c r="C46" s="34" t="s">
        <v>111</v>
      </c>
      <c r="D46" s="174"/>
    </row>
    <row r="47" spans="1:7">
      <c r="A47" s="171" t="s">
        <v>74</v>
      </c>
      <c r="B47" s="33">
        <f t="shared" si="0"/>
        <v>404.54372623574147</v>
      </c>
      <c r="C47" s="34" t="s">
        <v>111</v>
      </c>
      <c r="D47" s="174"/>
    </row>
    <row r="48" spans="1:7">
      <c r="A48" s="171" t="s">
        <v>75</v>
      </c>
      <c r="B48" s="33">
        <f t="shared" si="0"/>
        <v>172.67110266159696</v>
      </c>
      <c r="C48" s="33">
        <f>B48*10</f>
        <v>1726.7110266159696</v>
      </c>
      <c r="D48" s="234"/>
    </row>
    <row r="49" spans="1:6">
      <c r="A49" s="171" t="s">
        <v>76</v>
      </c>
      <c r="B49" s="33" t="str">
        <f t="shared" si="0"/>
        <v>-</v>
      </c>
      <c r="C49" s="34" t="s">
        <v>111</v>
      </c>
      <c r="D49" s="234"/>
    </row>
    <row r="50" spans="1:6">
      <c r="A50" s="171" t="s">
        <v>77</v>
      </c>
      <c r="B50" s="33">
        <f t="shared" si="0"/>
        <v>71.399999999999991</v>
      </c>
      <c r="C50" s="33">
        <f>B50*2</f>
        <v>142.79999999999998</v>
      </c>
      <c r="D50" s="234"/>
    </row>
    <row r="51" spans="1:6">
      <c r="A51" s="171" t="s">
        <v>78</v>
      </c>
      <c r="B51" s="33">
        <f t="shared" si="0"/>
        <v>732.6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9334.9264599999988</v>
      </c>
      <c r="C5" s="17">
        <f>IF(ISERROR('Eigen informatie GS &amp; warmtenet'!B58),0,'Eigen informatie GS &amp; warmtenet'!B58)</f>
        <v>0</v>
      </c>
      <c r="D5" s="30">
        <f>SUM(D6:D12)</f>
        <v>40788.668786699964</v>
      </c>
      <c r="E5" s="17">
        <f>SUM(E6:E12)</f>
        <v>101.48567634327361</v>
      </c>
      <c r="F5" s="17">
        <f>SUM(F6:F12)</f>
        <v>1337.9161256524612</v>
      </c>
      <c r="G5" s="18"/>
      <c r="H5" s="17"/>
      <c r="I5" s="17"/>
      <c r="J5" s="17">
        <f>SUM(J6:J12)</f>
        <v>0</v>
      </c>
      <c r="K5" s="17"/>
      <c r="L5" s="17"/>
      <c r="M5" s="17"/>
      <c r="N5" s="17">
        <f>SUM(N6:N12)</f>
        <v>568.39723223761587</v>
      </c>
      <c r="O5" s="17">
        <f>B38*B39*B40</f>
        <v>3.1266666666666669</v>
      </c>
      <c r="P5" s="17">
        <f>B46*B47*B48/1000-B46*B47*B48/1000/B49</f>
        <v>38.133333333333333</v>
      </c>
      <c r="R5" s="32"/>
    </row>
    <row r="6" spans="1:18">
      <c r="A6" s="32" t="s">
        <v>54</v>
      </c>
      <c r="B6" s="37">
        <f>B26</f>
        <v>1112.0940000000001</v>
      </c>
      <c r="C6" s="33"/>
      <c r="D6" s="37">
        <f>IF(ISERROR(TER_kantoor_gas_kWh/1000),0,TER_kantoor_gas_kWh/1000)*0.902</f>
        <v>2520.4758013366181</v>
      </c>
      <c r="E6" s="33">
        <f>$C$26*'E Balans VL '!I12/100/3.6*1000000</f>
        <v>3.2218994853257183</v>
      </c>
      <c r="F6" s="33">
        <f>$C$26*('E Balans VL '!L12+'E Balans VL '!N12)/100/3.6*1000000</f>
        <v>125.86453946953439</v>
      </c>
      <c r="G6" s="34"/>
      <c r="H6" s="33"/>
      <c r="I6" s="33"/>
      <c r="J6" s="33">
        <f>$C$26*('E Balans VL '!D12+'E Balans VL '!E12)/100/3.6*1000000</f>
        <v>0</v>
      </c>
      <c r="K6" s="33"/>
      <c r="L6" s="33"/>
      <c r="M6" s="33"/>
      <c r="N6" s="33">
        <f>$C$26*'E Balans VL '!Y12/100/3.6*1000000</f>
        <v>11.131241512554373</v>
      </c>
      <c r="O6" s="33"/>
      <c r="P6" s="33"/>
      <c r="R6" s="32"/>
    </row>
    <row r="7" spans="1:18">
      <c r="A7" s="32" t="s">
        <v>53</v>
      </c>
      <c r="B7" s="37">
        <f t="shared" ref="B7:B12" si="0">B27</f>
        <v>629.01179999999999</v>
      </c>
      <c r="C7" s="33"/>
      <c r="D7" s="37">
        <f>IF(ISERROR(TER_horeca_gas_kWh/1000),0,TER_horeca_gas_kWh/1000)*0.902</f>
        <v>957.64779507354717</v>
      </c>
      <c r="E7" s="33">
        <f>$C$27*'E Balans VL '!I9/100/3.6*1000000</f>
        <v>26.404157939764243</v>
      </c>
      <c r="F7" s="33">
        <f>$C$27*('E Balans VL '!L9+'E Balans VL '!N9)/100/3.6*1000000</f>
        <v>135.15608433183445</v>
      </c>
      <c r="G7" s="34"/>
      <c r="H7" s="33"/>
      <c r="I7" s="33"/>
      <c r="J7" s="33">
        <f>$C$27*('E Balans VL '!D9+'E Balans VL '!E9)/100/3.6*1000000</f>
        <v>0</v>
      </c>
      <c r="K7" s="33"/>
      <c r="L7" s="33"/>
      <c r="M7" s="33"/>
      <c r="N7" s="33">
        <f>$C$27*'E Balans VL '!Y9/100/3.6*1000000</f>
        <v>0.16209083995225088</v>
      </c>
      <c r="O7" s="33"/>
      <c r="P7" s="33"/>
      <c r="R7" s="32"/>
    </row>
    <row r="8" spans="1:18">
      <c r="A8" s="6" t="s">
        <v>52</v>
      </c>
      <c r="B8" s="37">
        <f t="shared" si="0"/>
        <v>3976.4180000000001</v>
      </c>
      <c r="C8" s="33"/>
      <c r="D8" s="37">
        <f>IF(ISERROR(TER_handel_gas_kWh/1000),0,TER_handel_gas_kWh/1000)*0.902</f>
        <v>265.13403825755699</v>
      </c>
      <c r="E8" s="33">
        <f>$C$28*'E Balans VL '!I13/100/3.6*1000000</f>
        <v>42.710038798624211</v>
      </c>
      <c r="F8" s="33">
        <f>$C$28*('E Balans VL '!L13+'E Balans VL '!N13)/100/3.6*1000000</f>
        <v>514.78014668292462</v>
      </c>
      <c r="G8" s="34"/>
      <c r="H8" s="33"/>
      <c r="I8" s="33"/>
      <c r="J8" s="33">
        <f>$C$28*('E Balans VL '!D13+'E Balans VL '!E13)/100/3.6*1000000</f>
        <v>0</v>
      </c>
      <c r="K8" s="33"/>
      <c r="L8" s="33"/>
      <c r="M8" s="33"/>
      <c r="N8" s="33">
        <f>$C$28*'E Balans VL '!Y13/100/3.6*1000000</f>
        <v>32.256919937863152</v>
      </c>
      <c r="O8" s="33"/>
      <c r="P8" s="33"/>
      <c r="R8" s="32"/>
    </row>
    <row r="9" spans="1:18">
      <c r="A9" s="32" t="s">
        <v>51</v>
      </c>
      <c r="B9" s="37">
        <f t="shared" si="0"/>
        <v>140.31460000000001</v>
      </c>
      <c r="C9" s="33"/>
      <c r="D9" s="37">
        <f>IF(ISERROR(TER_gezond_gas_kWh/1000),0,TER_gezond_gas_kWh/1000)*0.902</f>
        <v>207.44465316872169</v>
      </c>
      <c r="E9" s="33">
        <f>$C$29*'E Balans VL '!I10/100/3.6*1000000</f>
        <v>0.11169949690519339</v>
      </c>
      <c r="F9" s="33">
        <f>$C$29*('E Balans VL '!L10+'E Balans VL '!N10)/100/3.6*1000000</f>
        <v>17.057267358608335</v>
      </c>
      <c r="G9" s="34"/>
      <c r="H9" s="33"/>
      <c r="I9" s="33"/>
      <c r="J9" s="33">
        <f>$C$29*('E Balans VL '!D10+'E Balans VL '!E10)/100/3.6*1000000</f>
        <v>0</v>
      </c>
      <c r="K9" s="33"/>
      <c r="L9" s="33"/>
      <c r="M9" s="33"/>
      <c r="N9" s="33">
        <f>$C$29*'E Balans VL '!Y10/100/3.6*1000000</f>
        <v>1.1334241648891938</v>
      </c>
      <c r="O9" s="33"/>
      <c r="P9" s="33"/>
      <c r="R9" s="32"/>
    </row>
    <row r="10" spans="1:18">
      <c r="A10" s="32" t="s">
        <v>50</v>
      </c>
      <c r="B10" s="37">
        <f t="shared" si="0"/>
        <v>371.98109999999997</v>
      </c>
      <c r="C10" s="33"/>
      <c r="D10" s="37">
        <f>IF(ISERROR(TER_ander_gas_kWh/1000),0,TER_ander_gas_kWh/1000)*0.902</f>
        <v>206.29712878900403</v>
      </c>
      <c r="E10" s="33">
        <f>$C$30*'E Balans VL '!I14/100/3.6*1000000</f>
        <v>1.2747987710820634</v>
      </c>
      <c r="F10" s="33">
        <f>$C$30*('E Balans VL '!L14+'E Balans VL '!N14)/100/3.6*1000000</f>
        <v>83.085462208652714</v>
      </c>
      <c r="G10" s="34"/>
      <c r="H10" s="33"/>
      <c r="I10" s="33"/>
      <c r="J10" s="33">
        <f>$C$30*('E Balans VL '!D14+'E Balans VL '!E14)/100/3.6*1000000</f>
        <v>0</v>
      </c>
      <c r="K10" s="33"/>
      <c r="L10" s="33"/>
      <c r="M10" s="33"/>
      <c r="N10" s="33">
        <f>$C$30*'E Balans VL '!Y14/100/3.6*1000000</f>
        <v>262.0255189330274</v>
      </c>
      <c r="O10" s="33"/>
      <c r="P10" s="33"/>
      <c r="R10" s="32"/>
    </row>
    <row r="11" spans="1:18">
      <c r="A11" s="32" t="s">
        <v>55</v>
      </c>
      <c r="B11" s="37">
        <f t="shared" si="0"/>
        <v>37.20496</v>
      </c>
      <c r="C11" s="33"/>
      <c r="D11" s="37">
        <f>IF(ISERROR(TER_onderwijs_gas_kWh/1000),0,TER_onderwijs_gas_kWh/1000)*0.902</f>
        <v>187.68067634826184</v>
      </c>
      <c r="E11" s="33">
        <f>$C$31*'E Balans VL '!I11/100/3.6*1000000</f>
        <v>2.571864302540966E-2</v>
      </c>
      <c r="F11" s="33">
        <f>$C$31*('E Balans VL '!L11+'E Balans VL '!N11)/100/3.6*1000000</f>
        <v>9.7391777972413447</v>
      </c>
      <c r="G11" s="34"/>
      <c r="H11" s="33"/>
      <c r="I11" s="33"/>
      <c r="J11" s="33">
        <f>$C$31*('E Balans VL '!D11+'E Balans VL '!E11)/100/3.6*1000000</f>
        <v>0</v>
      </c>
      <c r="K11" s="33"/>
      <c r="L11" s="33"/>
      <c r="M11" s="33"/>
      <c r="N11" s="33">
        <f>$C$31*'E Balans VL '!Y11/100/3.6*1000000</f>
        <v>3.7034368808705337E-2</v>
      </c>
      <c r="O11" s="33"/>
      <c r="P11" s="33"/>
      <c r="R11" s="32"/>
    </row>
    <row r="12" spans="1:18">
      <c r="A12" s="32" t="s">
        <v>260</v>
      </c>
      <c r="B12" s="37">
        <f t="shared" si="0"/>
        <v>3067.902</v>
      </c>
      <c r="C12" s="33"/>
      <c r="D12" s="37">
        <f>IF(ISERROR(TER_rest_gas_kWh/1000),0,TER_rest_gas_kWh/1000)*0.902</f>
        <v>36443.988693726256</v>
      </c>
      <c r="E12" s="33">
        <f>$C$32*'E Balans VL '!I8/100/3.6*1000000</f>
        <v>27.737363208546768</v>
      </c>
      <c r="F12" s="33">
        <f>$C$32*('E Balans VL '!L8+'E Balans VL '!N8)/100/3.6*1000000</f>
        <v>452.23344780366534</v>
      </c>
      <c r="G12" s="34"/>
      <c r="H12" s="33"/>
      <c r="I12" s="33"/>
      <c r="J12" s="33">
        <f>$C$32*('E Balans VL '!D8+'E Balans VL '!E8)/100/3.6*1000000</f>
        <v>0</v>
      </c>
      <c r="K12" s="33"/>
      <c r="L12" s="33"/>
      <c r="M12" s="33"/>
      <c r="N12" s="33">
        <f>$C$32*'E Balans VL '!Y8/100/3.6*1000000</f>
        <v>261.65100248052079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9334.9264599999988</v>
      </c>
      <c r="C16" s="21">
        <f t="shared" ca="1" si="1"/>
        <v>0</v>
      </c>
      <c r="D16" s="21">
        <f t="shared" ca="1" si="1"/>
        <v>40788.668786699964</v>
      </c>
      <c r="E16" s="21">
        <f t="shared" si="1"/>
        <v>101.48567634327361</v>
      </c>
      <c r="F16" s="21">
        <f t="shared" ca="1" si="1"/>
        <v>1337.9161256524612</v>
      </c>
      <c r="G16" s="21">
        <f t="shared" si="1"/>
        <v>0</v>
      </c>
      <c r="H16" s="21">
        <f t="shared" si="1"/>
        <v>0</v>
      </c>
      <c r="I16" s="21">
        <f t="shared" si="1"/>
        <v>0</v>
      </c>
      <c r="J16" s="21">
        <f t="shared" si="1"/>
        <v>0</v>
      </c>
      <c r="K16" s="21">
        <f t="shared" si="1"/>
        <v>0</v>
      </c>
      <c r="L16" s="21">
        <f t="shared" ca="1" si="1"/>
        <v>0</v>
      </c>
      <c r="M16" s="21">
        <f t="shared" si="1"/>
        <v>0</v>
      </c>
      <c r="N16" s="21">
        <f t="shared" ca="1" si="1"/>
        <v>568.39723223761587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0.21457085552395336</v>
      </c>
      <c r="C18" s="25">
        <f ca="1">'EF ele_warmte'!B22</f>
        <v>0.22855086966389504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2003.003156775389</v>
      </c>
      <c r="C20" s="23">
        <f t="shared" ref="C20:P20" ca="1" si="2">C16*C18</f>
        <v>0</v>
      </c>
      <c r="D20" s="23">
        <f t="shared" ca="1" si="2"/>
        <v>8239.3110949133934</v>
      </c>
      <c r="E20" s="23">
        <f t="shared" si="2"/>
        <v>23.037248529923112</v>
      </c>
      <c r="F20" s="23">
        <f t="shared" ca="1" si="2"/>
        <v>357.22360554920715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1112.0940000000001</v>
      </c>
      <c r="C26" s="39">
        <f>IF(ISERROR(B26*3.6/1000000/'E Balans VL '!Z12*100),0,B26*3.6/1000000/'E Balans VL '!Z12*100)</f>
        <v>2.4428430419411395E-2</v>
      </c>
      <c r="D26" s="237" t="s">
        <v>692</v>
      </c>
      <c r="F26" s="6"/>
    </row>
    <row r="27" spans="1:18">
      <c r="A27" s="231" t="s">
        <v>53</v>
      </c>
      <c r="B27" s="33">
        <f>IF(ISERROR(TER_horeca_ele_kWh/1000),0,TER_horeca_ele_kWh/1000)</f>
        <v>629.01179999999999</v>
      </c>
      <c r="C27" s="39">
        <f>IF(ISERROR(B27*3.6/1000000/'E Balans VL '!Z9*100),0,B27*3.6/1000000/'E Balans VL '!Z9*100)</f>
        <v>5.0547368193678624E-2</v>
      </c>
      <c r="D27" s="237" t="s">
        <v>692</v>
      </c>
      <c r="F27" s="6"/>
    </row>
    <row r="28" spans="1:18">
      <c r="A28" s="171" t="s">
        <v>52</v>
      </c>
      <c r="B28" s="33">
        <f>IF(ISERROR(TER_handel_ele_kWh/1000),0,TER_handel_ele_kWh/1000)</f>
        <v>3976.4180000000001</v>
      </c>
      <c r="C28" s="39">
        <f>IF(ISERROR(B28*3.6/1000000/'E Balans VL '!Z13*100),0,B28*3.6/1000000/'E Balans VL '!Z13*100)</f>
        <v>0.11757990227605707</v>
      </c>
      <c r="D28" s="237" t="s">
        <v>692</v>
      </c>
      <c r="F28" s="6"/>
    </row>
    <row r="29" spans="1:18">
      <c r="A29" s="231" t="s">
        <v>51</v>
      </c>
      <c r="B29" s="33">
        <f>IF(ISERROR(TER_gezond_ele_kWh/1000),0,TER_gezond_ele_kWh/1000)</f>
        <v>140.31460000000001</v>
      </c>
      <c r="C29" s="39">
        <f>IF(ISERROR(B29*3.6/1000000/'E Balans VL '!Z10*100),0,B29*3.6/1000000/'E Balans VL '!Z10*100)</f>
        <v>1.5809832816361318E-2</v>
      </c>
      <c r="D29" s="237" t="s">
        <v>692</v>
      </c>
      <c r="F29" s="6"/>
    </row>
    <row r="30" spans="1:18">
      <c r="A30" s="231" t="s">
        <v>50</v>
      </c>
      <c r="B30" s="33">
        <f>IF(ISERROR(TER_ander_ele_kWh/1000),0,TER_ander_ele_kWh/1000)</f>
        <v>371.98109999999997</v>
      </c>
      <c r="C30" s="39">
        <f>IF(ISERROR(B30*3.6/1000000/'E Balans VL '!Z14*100),0,B30*3.6/1000000/'E Balans VL '!Z14*100)</f>
        <v>2.8132294720031974E-2</v>
      </c>
      <c r="D30" s="237" t="s">
        <v>692</v>
      </c>
      <c r="F30" s="6"/>
    </row>
    <row r="31" spans="1:18">
      <c r="A31" s="231" t="s">
        <v>55</v>
      </c>
      <c r="B31" s="33">
        <f>IF(ISERROR(TER_onderwijs_ele_kWh/1000),0,TER_onderwijs_ele_kWh/1000)</f>
        <v>37.20496</v>
      </c>
      <c r="C31" s="39">
        <f>IF(ISERROR(B31*3.6/1000000/'E Balans VL '!Z11*100),0,B31*3.6/1000000/'E Balans VL '!Z11*100)</f>
        <v>7.7228860199315807E-3</v>
      </c>
      <c r="D31" s="237" t="s">
        <v>692</v>
      </c>
    </row>
    <row r="32" spans="1:18">
      <c r="A32" s="231" t="s">
        <v>260</v>
      </c>
      <c r="B32" s="33">
        <f>IF(ISERROR(TER_rest_ele_kWh/1000),0,TER_rest_ele_kWh/1000)</f>
        <v>3067.902</v>
      </c>
      <c r="C32" s="39">
        <f>IF(ISERROR(B32*3.6/1000000/'E Balans VL '!Z8*100),0,B32*3.6/1000000/'E Balans VL '!Z8*100)</f>
        <v>2.5845269564371821E-2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217542.36470000001</v>
      </c>
      <c r="C5" s="17">
        <f>IF(ISERROR('Eigen informatie GS &amp; warmtenet'!B59),0,'Eigen informatie GS &amp; warmtenet'!B59)</f>
        <v>0</v>
      </c>
      <c r="D5" s="30">
        <f>SUM(D6:D15)</f>
        <v>108776.87666542504</v>
      </c>
      <c r="E5" s="17">
        <f>SUM(E6:E15)</f>
        <v>5819.1168396803223</v>
      </c>
      <c r="F5" s="17">
        <f>SUM(F6:F15)</f>
        <v>281533.66988140275</v>
      </c>
      <c r="G5" s="18"/>
      <c r="H5" s="17"/>
      <c r="I5" s="17"/>
      <c r="J5" s="17">
        <f>SUM(J6:J15)</f>
        <v>3644.5145784151077</v>
      </c>
      <c r="K5" s="17"/>
      <c r="L5" s="17"/>
      <c r="M5" s="17"/>
      <c r="N5" s="17">
        <f>SUM(N6:N15)</f>
        <v>88135.789148332871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491.86020000000002</v>
      </c>
      <c r="C8" s="33"/>
      <c r="D8" s="37">
        <f>IF( ISERROR(IND_metaal_Gas_kWH/1000),0,IND_metaal_Gas_kWH/1000)*0.902</f>
        <v>236.23659969296884</v>
      </c>
      <c r="E8" s="33">
        <f>C30*'E Balans VL '!I18/100/3.6*1000000</f>
        <v>12.30953933218017</v>
      </c>
      <c r="F8" s="33">
        <f>C30*'E Balans VL '!L18/100/3.6*1000000+C30*'E Balans VL '!N18/100/3.6*1000000</f>
        <v>154.15143331846045</v>
      </c>
      <c r="G8" s="34"/>
      <c r="H8" s="33"/>
      <c r="I8" s="33"/>
      <c r="J8" s="40">
        <f>C30*'E Balans VL '!D18/100/3.6*1000000+C30*'E Balans VL '!E18/100/3.6*1000000</f>
        <v>0</v>
      </c>
      <c r="K8" s="33"/>
      <c r="L8" s="33"/>
      <c r="M8" s="33"/>
      <c r="N8" s="33">
        <f>C30*'E Balans VL '!Y18/100/3.6*1000000</f>
        <v>12.356804712529659</v>
      </c>
      <c r="O8" s="33"/>
      <c r="P8" s="33"/>
      <c r="R8" s="32"/>
    </row>
    <row r="9" spans="1:18">
      <c r="A9" s="6" t="s">
        <v>33</v>
      </c>
      <c r="B9" s="37">
        <f t="shared" si="0"/>
        <v>1959.4590000000001</v>
      </c>
      <c r="C9" s="33"/>
      <c r="D9" s="37">
        <f>IF( ISERROR(IND_andere_gas_kWh/1000),0,IND_andere_gas_kWh/1000)*0.902</f>
        <v>638.05725421033344</v>
      </c>
      <c r="E9" s="33">
        <f>C31*'E Balans VL '!I19/100/3.6*1000000</f>
        <v>538.77085768018048</v>
      </c>
      <c r="F9" s="33">
        <f>C31*'E Balans VL '!L19/100/3.6*1000000+C31*'E Balans VL '!N19/100/3.6*1000000</f>
        <v>1544.3946623469756</v>
      </c>
      <c r="G9" s="34"/>
      <c r="H9" s="33"/>
      <c r="I9" s="33"/>
      <c r="J9" s="40">
        <f>C31*'E Balans VL '!D19/100/3.6*1000000+C31*'E Balans VL '!E19/100/3.6*1000000</f>
        <v>0</v>
      </c>
      <c r="K9" s="33"/>
      <c r="L9" s="33"/>
      <c r="M9" s="33"/>
      <c r="N9" s="33">
        <f>C31*'E Balans VL '!Y19/100/3.6*1000000</f>
        <v>634.32859936264151</v>
      </c>
      <c r="O9" s="33"/>
      <c r="P9" s="33"/>
      <c r="R9" s="32"/>
    </row>
    <row r="10" spans="1:18">
      <c r="A10" s="6" t="s">
        <v>41</v>
      </c>
      <c r="B10" s="37">
        <f t="shared" si="0"/>
        <v>139000</v>
      </c>
      <c r="C10" s="33"/>
      <c r="D10" s="37">
        <f>IF( ISERROR(IND_voed_gas_kWh/1000),0,IND_voed_gas_kWh/1000)*0.902</f>
        <v>58775.923189547248</v>
      </c>
      <c r="E10" s="33">
        <f>C32*'E Balans VL '!I20/100/3.6*1000000</f>
        <v>1417.0284244630579</v>
      </c>
      <c r="F10" s="33">
        <f>C32*'E Balans VL '!L20/100/3.6*1000000+C32*'E Balans VL '!N20/100/3.6*1000000</f>
        <v>262570.13063892024</v>
      </c>
      <c r="G10" s="34"/>
      <c r="H10" s="33"/>
      <c r="I10" s="33"/>
      <c r="J10" s="40">
        <f>C32*'E Balans VL '!D20/100/3.6*1000000+C32*'E Balans VL '!E20/100/3.6*1000000</f>
        <v>3326.7248100591055</v>
      </c>
      <c r="K10" s="33"/>
      <c r="L10" s="33"/>
      <c r="M10" s="33"/>
      <c r="N10" s="33">
        <f>C32*'E Balans VL '!Y20/100/3.6*1000000</f>
        <v>73269.010836694113</v>
      </c>
      <c r="O10" s="33"/>
      <c r="P10" s="33"/>
      <c r="R10" s="32"/>
    </row>
    <row r="11" spans="1:18">
      <c r="A11" s="6" t="s">
        <v>40</v>
      </c>
      <c r="B11" s="37">
        <f t="shared" si="0"/>
        <v>208.38979999999998</v>
      </c>
      <c r="C11" s="33"/>
      <c r="D11" s="37">
        <f>IF( ISERROR(IND_textiel_gas_kWh/1000),0,IND_textiel_gas_kWh/1000)*0.902</f>
        <v>76.315590825852695</v>
      </c>
      <c r="E11" s="33">
        <f>C33*'E Balans VL '!I21/100/3.6*1000000</f>
        <v>0.55233491793748968</v>
      </c>
      <c r="F11" s="33">
        <f>C33*'E Balans VL '!L21/100/3.6*1000000+C33*'E Balans VL '!N21/100/3.6*1000000</f>
        <v>9.3069034380857953</v>
      </c>
      <c r="G11" s="34"/>
      <c r="H11" s="33"/>
      <c r="I11" s="33"/>
      <c r="J11" s="40">
        <f>C33*'E Balans VL '!D21/100/3.6*1000000+C33*'E Balans VL '!E21/100/3.6*1000000</f>
        <v>0</v>
      </c>
      <c r="K11" s="33"/>
      <c r="L11" s="33"/>
      <c r="M11" s="33"/>
      <c r="N11" s="33">
        <f>C33*'E Balans VL '!Y21/100/3.6*1000000</f>
        <v>1.9639248991955267</v>
      </c>
      <c r="O11" s="33"/>
      <c r="P11" s="33"/>
      <c r="R11" s="32"/>
    </row>
    <row r="12" spans="1:18">
      <c r="A12" s="6" t="s">
        <v>37</v>
      </c>
      <c r="B12" s="37">
        <f t="shared" si="0"/>
        <v>207.56870000000001</v>
      </c>
      <c r="C12" s="33"/>
      <c r="D12" s="37">
        <f>IF( ISERROR(IND_min_gas_kWh/1000),0,IND_min_gas_kWh/1000)*0.902</f>
        <v>0</v>
      </c>
      <c r="E12" s="33">
        <f>C34*'E Balans VL '!I22/100/3.6*1000000</f>
        <v>0.62863169798978302</v>
      </c>
      <c r="F12" s="33">
        <f>C34*'E Balans VL '!L22/100/3.6*1000000+C34*'E Balans VL '!N22/100/3.6*1000000</f>
        <v>6.4867003293056591</v>
      </c>
      <c r="G12" s="34"/>
      <c r="H12" s="33"/>
      <c r="I12" s="33"/>
      <c r="J12" s="40">
        <f>C34*'E Balans VL '!D22/100/3.6*1000000+C34*'E Balans VL '!E22/100/3.6*1000000</f>
        <v>0.3077783042229485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75675.087</v>
      </c>
      <c r="C15" s="33"/>
      <c r="D15" s="37">
        <f>IF( ISERROR(IND_rest_gas_kWh/1000),0,IND_rest_gas_kWh/1000)*0.902</f>
        <v>49050.344031148627</v>
      </c>
      <c r="E15" s="33">
        <f>C37*'E Balans VL '!I15/100/3.6*1000000</f>
        <v>3849.8270515889767</v>
      </c>
      <c r="F15" s="33">
        <f>C37*'E Balans VL '!L15/100/3.6*1000000+C37*'E Balans VL '!N15/100/3.6*1000000</f>
        <v>17249.199543049752</v>
      </c>
      <c r="G15" s="34"/>
      <c r="H15" s="33"/>
      <c r="I15" s="33"/>
      <c r="J15" s="40">
        <f>C37*'E Balans VL '!D15/100/3.6*1000000+C37*'E Balans VL '!E15/100/3.6*1000000</f>
        <v>317.48199005177895</v>
      </c>
      <c r="K15" s="33"/>
      <c r="L15" s="33"/>
      <c r="M15" s="33"/>
      <c r="N15" s="33">
        <f>C37*'E Balans VL '!Y15/100/3.6*1000000</f>
        <v>14218.128982664397</v>
      </c>
      <c r="O15" s="33"/>
      <c r="P15" s="33"/>
      <c r="R15" s="32"/>
    </row>
    <row r="16" spans="1:18">
      <c r="A16" s="16" t="s">
        <v>494</v>
      </c>
      <c r="B16" s="247">
        <f>'lokale energieproductie'!N89+'lokale energieproductie'!N58</f>
        <v>1309.5</v>
      </c>
      <c r="C16" s="247">
        <f>'lokale energieproductie'!O89+'lokale energieproductie'!O58</f>
        <v>1870.7142857142858</v>
      </c>
      <c r="D16" s="310">
        <f>('lokale energieproductie'!P58+'lokale energieproductie'!P89)*(-1)</f>
        <v>-935.35714285714289</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-2806.0714285714284</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218851.86470000001</v>
      </c>
      <c r="C18" s="21">
        <f>C5+C16</f>
        <v>1870.7142857142858</v>
      </c>
      <c r="D18" s="21">
        <f>MAX((D5+D16),0)</f>
        <v>107841.51952256789</v>
      </c>
      <c r="E18" s="21">
        <f>MAX((E5+E16),0)</f>
        <v>5819.1168396803223</v>
      </c>
      <c r="F18" s="21">
        <f>MAX((F5+F16),0)</f>
        <v>281533.66988140275</v>
      </c>
      <c r="G18" s="21"/>
      <c r="H18" s="21"/>
      <c r="I18" s="21"/>
      <c r="J18" s="21">
        <f>MAX((J5+J16),0)</f>
        <v>3644.5145784151077</v>
      </c>
      <c r="K18" s="21"/>
      <c r="L18" s="21">
        <f>MAX((L5+L16),0)</f>
        <v>0</v>
      </c>
      <c r="M18" s="21"/>
      <c r="N18" s="21">
        <f>MAX((N5+N16),0)</f>
        <v>85329.717719761436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0.21457085552395336</v>
      </c>
      <c r="C20" s="25">
        <f ca="1">'EF ele_warmte'!B22</f>
        <v>0.22855086966389504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46959.231841691486</v>
      </c>
      <c r="C22" s="23">
        <f ca="1">C18*C20</f>
        <v>427.55337689267225</v>
      </c>
      <c r="D22" s="23">
        <f>D18*D20</f>
        <v>21783.986943558717</v>
      </c>
      <c r="E22" s="23">
        <f>E18*E20</f>
        <v>1320.9395226074332</v>
      </c>
      <c r="F22" s="23">
        <f>F18*F20</f>
        <v>75169.489858334535</v>
      </c>
      <c r="G22" s="23"/>
      <c r="H22" s="23"/>
      <c r="I22" s="23"/>
      <c r="J22" s="23">
        <f>J18*J20</f>
        <v>1290.158160758948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491.86020000000002</v>
      </c>
      <c r="C30" s="39">
        <f>IF(ISERROR(B30*3.6/1000000/'E Balans VL '!Z18*100),0,B30*3.6/1000000/'E Balans VL '!Z18*100)</f>
        <v>6.8844036577753953E-2</v>
      </c>
      <c r="D30" s="237" t="s">
        <v>692</v>
      </c>
    </row>
    <row r="31" spans="1:18">
      <c r="A31" s="6" t="s">
        <v>33</v>
      </c>
      <c r="B31" s="37">
        <f>IF( ISERROR(IND_ander_ele_kWh/1000),0,IND_ander_ele_kWh/1000)</f>
        <v>1959.4590000000001</v>
      </c>
      <c r="C31" s="39">
        <f>IF(ISERROR(B31*3.6/1000000/'E Balans VL '!Z19*100),0,B31*3.6/1000000/'E Balans VL '!Z19*100)</f>
        <v>8.5765202560589116E-2</v>
      </c>
      <c r="D31" s="237" t="s">
        <v>692</v>
      </c>
    </row>
    <row r="32" spans="1:18">
      <c r="A32" s="171" t="s">
        <v>41</v>
      </c>
      <c r="B32" s="37">
        <f>IF( ISERROR(IND_voed_ele_kWh/1000),0,IND_voed_ele_kWh/1000)</f>
        <v>139000</v>
      </c>
      <c r="C32" s="39">
        <f>IF(ISERROR(B32*3.6/1000000/'E Balans VL '!Z20*100),0,B32*3.6/1000000/'E Balans VL '!Z20*100)</f>
        <v>34.411784037684555</v>
      </c>
      <c r="D32" s="237" t="s">
        <v>692</v>
      </c>
    </row>
    <row r="33" spans="1:5">
      <c r="A33" s="171" t="s">
        <v>40</v>
      </c>
      <c r="B33" s="37">
        <f>IF( ISERROR(IND_textiel_ele_kWh/1000),0,IND_textiel_ele_kWh/1000)</f>
        <v>208.38979999999998</v>
      </c>
      <c r="C33" s="39">
        <f>IF(ISERROR(B33*3.6/1000000/'E Balans VL '!Z21*100),0,B33*3.6/1000000/'E Balans VL '!Z21*100)</f>
        <v>2.348185963985365E-2</v>
      </c>
      <c r="D33" s="237" t="s">
        <v>692</v>
      </c>
    </row>
    <row r="34" spans="1:5">
      <c r="A34" s="171" t="s">
        <v>37</v>
      </c>
      <c r="B34" s="37">
        <f>IF( ISERROR(IND_min_ele_kWh/1000),0,IND_min_ele_kWh/1000)</f>
        <v>207.56870000000001</v>
      </c>
      <c r="C34" s="39">
        <f>IF(ISERROR(B34*3.6/1000000/'E Balans VL '!Z22*100),0,B34*3.6/1000000/'E Balans VL '!Z22*100)</f>
        <v>5.8899528712166747E-3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75675.087</v>
      </c>
      <c r="C37" s="39">
        <f>IF(ISERROR(B37*3.6/1000000/'E Balans VL '!Z15*100),0,B37*3.6/1000000/'E Balans VL '!Z15*100)</f>
        <v>0.56111781398184868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7411.2179999999998</v>
      </c>
      <c r="C5" s="17">
        <f>'Eigen informatie GS &amp; warmtenet'!B60</f>
        <v>0</v>
      </c>
      <c r="D5" s="30">
        <f>IF(ISERROR(SUM(LB_lb_gas_kWh,LB_rest_gas_kWh,onbekend_gas_kWh)/1000),0,SUM(LB_lb_gas_kWh,LB_rest_gas_kWh,onbekend_gas_kWh)/1000)*0.902</f>
        <v>19127.683754051875</v>
      </c>
      <c r="E5" s="17">
        <f>B17*'E Balans VL '!I25/3.6*1000000/100</f>
        <v>68.645805219433555</v>
      </c>
      <c r="F5" s="17">
        <f>B17*('E Balans VL '!L25/3.6*1000000+'E Balans VL '!N25/3.6*1000000)/100</f>
        <v>18803.671901580146</v>
      </c>
      <c r="G5" s="18"/>
      <c r="H5" s="17"/>
      <c r="I5" s="17"/>
      <c r="J5" s="17">
        <f>('E Balans VL '!D25+'E Balans VL '!E25)/3.6*1000000*landbouw!B17/100</f>
        <v>1136.2224288342754</v>
      </c>
      <c r="K5" s="17"/>
      <c r="L5" s="17">
        <f>L6*(-1)</f>
        <v>0</v>
      </c>
      <c r="M5" s="17"/>
      <c r="N5" s="17">
        <f>N6*(-1)</f>
        <v>0</v>
      </c>
      <c r="O5" s="17"/>
      <c r="P5" s="17"/>
      <c r="R5" s="32"/>
    </row>
    <row r="6" spans="1:18">
      <c r="A6" s="16" t="s">
        <v>494</v>
      </c>
      <c r="B6" s="17" t="s">
        <v>211</v>
      </c>
      <c r="C6" s="17">
        <f>'lokale energieproductie'!O91+'lokale energieproductie'!O60</f>
        <v>34785</v>
      </c>
      <c r="D6" s="310">
        <f>('lokale energieproductie'!P60+'lokale energieproductie'!P91)*(-1)</f>
        <v>-69570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7411.2179999999998</v>
      </c>
      <c r="C8" s="21">
        <f>C5+C6</f>
        <v>34785</v>
      </c>
      <c r="D8" s="21">
        <f>MAX((D5+D6),0)</f>
        <v>0</v>
      </c>
      <c r="E8" s="21">
        <f>MAX((E5+E6),0)</f>
        <v>68.645805219433555</v>
      </c>
      <c r="F8" s="21">
        <f>MAX((F5+F6),0)</f>
        <v>18803.671901580146</v>
      </c>
      <c r="G8" s="21"/>
      <c r="H8" s="21"/>
      <c r="I8" s="21"/>
      <c r="J8" s="21">
        <f>MAX((J5+J6),0)</f>
        <v>1136.2224288342754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0.21457085552395336</v>
      </c>
      <c r="C10" s="31">
        <f ca="1">'EF ele_warmte'!B22</f>
        <v>0.22855086966389504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1590.2313867345226</v>
      </c>
      <c r="C12" s="23">
        <f ca="1">C8*C10</f>
        <v>7950.1420012585886</v>
      </c>
      <c r="D12" s="23">
        <f>D8*D10</f>
        <v>0</v>
      </c>
      <c r="E12" s="23">
        <f>E8*E10</f>
        <v>15.582597784811417</v>
      </c>
      <c r="F12" s="23">
        <f>F8*F10</f>
        <v>5020.5803977218993</v>
      </c>
      <c r="G12" s="23"/>
      <c r="H12" s="23"/>
      <c r="I12" s="23"/>
      <c r="J12" s="23">
        <f>J8*J10</f>
        <v>402.22273980733348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1.0537180546160356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385.99759368240501</v>
      </c>
      <c r="C26" s="247">
        <f>B26*'GWP N2O_CH4'!B5</f>
        <v>8105.9494673305053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501.43547501050915</v>
      </c>
      <c r="C27" s="247">
        <f>B27*'GWP N2O_CH4'!B5</f>
        <v>10530.144975220692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6.6234031873532739</v>
      </c>
      <c r="C28" s="247">
        <f>B28*'GWP N2O_CH4'!B4</f>
        <v>2053.254988079515</v>
      </c>
      <c r="D28" s="50"/>
    </row>
    <row r="29" spans="1:4">
      <c r="A29" s="41" t="s">
        <v>277</v>
      </c>
      <c r="B29" s="247">
        <f>B34*'ha_N2O bodem landbouw'!B4</f>
        <v>14.960718953551995</v>
      </c>
      <c r="C29" s="247">
        <f>B29*'GWP N2O_CH4'!B4</f>
        <v>4637.8228756011185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3.3554256936526037E-3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7.2262335724015896E-5</v>
      </c>
      <c r="C5" s="464" t="s">
        <v>211</v>
      </c>
      <c r="D5" s="449">
        <f>SUM(D6:D11)</f>
        <v>1.8735306147025724E-4</v>
      </c>
      <c r="E5" s="449">
        <f>SUM(E6:E11)</f>
        <v>1.3511818873231511E-3</v>
      </c>
      <c r="F5" s="462" t="s">
        <v>211</v>
      </c>
      <c r="G5" s="449">
        <f>SUM(G6:G11)</f>
        <v>0.44877035857047776</v>
      </c>
      <c r="H5" s="449">
        <f>SUM(H6:H11)</f>
        <v>7.2529408527811784E-2</v>
      </c>
      <c r="I5" s="464" t="s">
        <v>211</v>
      </c>
      <c r="J5" s="464" t="s">
        <v>211</v>
      </c>
      <c r="K5" s="464" t="s">
        <v>211</v>
      </c>
      <c r="L5" s="464" t="s">
        <v>211</v>
      </c>
      <c r="M5" s="449">
        <f>SUM(M6:M11)</f>
        <v>2.8192027055855221E-2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2.4927742801130565E-5</v>
      </c>
      <c r="C6" s="450"/>
      <c r="D6" s="963">
        <f>vkm_2011_GW_PW*SUMIFS(TableVerdeelsleutelVkm[CNG],TableVerdeelsleutelVkm[Voertuigtype],"Lichte voertuigen")*SUMIFS(TableECFTransport[EnergieConsumptieFactor (PJ per km)],TableECFTransport[Index],CONCATENATE($A6,"_CNG_CNG"))</f>
        <v>5.7660613529810202E-5</v>
      </c>
      <c r="E6" s="963">
        <f>vkm_2011_GW_PW*SUMIFS(TableVerdeelsleutelVkm[LPG],TableVerdeelsleutelVkm[Voertuigtype],"Lichte voertuigen")*SUMIFS(TableECFTransport[EnergieConsumptieFactor (PJ per km)],TableECFTransport[Index],CONCATENATE($A6,"_LPG_LPG"))</f>
        <v>3.7545109503695309E-4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7.7997187305387294E-2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2.198579524135497E-2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5.1885984892129028E-3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5.4026265234144458E-2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1.847600154739595E-5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3.1257256785639483E-3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8.9390526610439998E-6</v>
      </c>
      <c r="C8" s="450"/>
      <c r="D8" s="452">
        <f>vkm_2011_NGW_PW*SUMIFS(TableVerdeelsleutelVkm[CNG],TableVerdeelsleutelVkm[Voertuigtype],"Lichte voertuigen")*SUMIFS(TableECFTransport[EnergieConsumptieFactor (PJ per km)],TableECFTransport[Index],CONCATENATE($A8,"_CNG_CNG"))</f>
        <v>3.6571593183648251E-5</v>
      </c>
      <c r="E8" s="452">
        <f>vkm_2011_NGW_PW*SUMIFS(TableVerdeelsleutelVkm[LPG],TableVerdeelsleutelVkm[Voertuigtype],"Lichte voertuigen")*SUMIFS(TableECFTransport[EnergieConsumptieFactor (PJ per km)],TableECFTransport[Index],CONCATENATE($A8,"_LPG_LPG"))</f>
        <v>2.1977118107165028E-4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4.2679240506068965E-2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1.3483467008873548E-2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2.8838798113566657E-3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2.1445053715659503E-2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6.9393695757177802E-6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1.2407057702735951E-3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3.8395540261841328E-5</v>
      </c>
      <c r="C10" s="450"/>
      <c r="D10" s="452">
        <f>vkm_2011_SW_PW*SUMIFS(TableVerdeelsleutelVkm[CNG],TableVerdeelsleutelVkm[Voertuigtype],"Lichte voertuigen")*SUMIFS(TableECFTransport[EnergieConsumptieFactor (PJ per km)],TableECFTransport[Index],CONCATENATE($A10,"_CNG_CNG"))</f>
        <v>9.3120854756798791E-5</v>
      </c>
      <c r="E10" s="452">
        <f>vkm_2011_SW_PW*SUMIFS(TableVerdeelsleutelVkm[LPG],TableVerdeelsleutelVkm[Voertuigtype],"Lichte voertuigen")*SUMIFS(TableECFTransport[EnergieConsumptieFactor (PJ per km)],TableECFTransport[Index],CONCATENATE($A10,"_LPG_LPG"))</f>
        <v>7.5595961121454767E-4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0.14138615277604871</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3.6993733345427326E-2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9.3173666111162276E-3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0.11123645903316878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4.099756103281395E-5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6.4357506953318828E-3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20.072871034448859</v>
      </c>
      <c r="C14" s="21"/>
      <c r="D14" s="21">
        <f t="shared" ref="D14:M14" si="0">((D5)*10^9/3600)+D12</f>
        <v>52.042517075071451</v>
      </c>
      <c r="E14" s="21">
        <f t="shared" si="0"/>
        <v>375.32830203420866</v>
      </c>
      <c r="F14" s="21"/>
      <c r="G14" s="21">
        <f t="shared" si="0"/>
        <v>124658.43293624383</v>
      </c>
      <c r="H14" s="21">
        <f t="shared" si="0"/>
        <v>20147.05792439216</v>
      </c>
      <c r="I14" s="21"/>
      <c r="J14" s="21"/>
      <c r="K14" s="21"/>
      <c r="L14" s="21"/>
      <c r="M14" s="21">
        <f t="shared" si="0"/>
        <v>7831.1186266264504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0.21457085552395336</v>
      </c>
      <c r="C16" s="56">
        <f ca="1">'EF ele_warmte'!B22</f>
        <v>0.22855086966389504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4.3070531106836745</v>
      </c>
      <c r="C18" s="23"/>
      <c r="D18" s="23">
        <f t="shared" ref="D18:M18" si="1">D14*D16</f>
        <v>10.512588449164435</v>
      </c>
      <c r="E18" s="23">
        <f t="shared" si="1"/>
        <v>85.199524561765372</v>
      </c>
      <c r="F18" s="23"/>
      <c r="G18" s="23">
        <f t="shared" si="1"/>
        <v>33283.801593977107</v>
      </c>
      <c r="H18" s="23">
        <f t="shared" si="1"/>
        <v>5016.6174231736477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3.3764218330761945E-3</v>
      </c>
      <c r="H50" s="321">
        <f t="shared" si="2"/>
        <v>0</v>
      </c>
      <c r="I50" s="321">
        <f t="shared" si="2"/>
        <v>0</v>
      </c>
      <c r="J50" s="321">
        <f t="shared" si="2"/>
        <v>0</v>
      </c>
      <c r="K50" s="321">
        <f t="shared" si="2"/>
        <v>0</v>
      </c>
      <c r="L50" s="321">
        <f t="shared" si="2"/>
        <v>0</v>
      </c>
      <c r="M50" s="321">
        <f t="shared" si="2"/>
        <v>1.925474943389863E-4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3.3764218330761945E-3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1.925474943389863E-4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937.89495363227627</v>
      </c>
      <c r="H54" s="21">
        <f t="shared" si="3"/>
        <v>0</v>
      </c>
      <c r="I54" s="21">
        <f t="shared" si="3"/>
        <v>0</v>
      </c>
      <c r="J54" s="21">
        <f t="shared" si="3"/>
        <v>0</v>
      </c>
      <c r="K54" s="21">
        <f t="shared" si="3"/>
        <v>0</v>
      </c>
      <c r="L54" s="21">
        <f t="shared" si="3"/>
        <v>0</v>
      </c>
      <c r="M54" s="21">
        <f t="shared" si="3"/>
        <v>53.48541509416286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0.21457085552395336</v>
      </c>
      <c r="C56" s="56">
        <f ca="1">'EF ele_warmte'!B22</f>
        <v>0.22855086966389504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250.41795261981778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8218.9311579925525</v>
      </c>
      <c r="C6" s="1223"/>
      <c r="D6" s="1226"/>
      <c r="E6" s="1226"/>
      <c r="F6" s="1229"/>
      <c r="G6" s="1232"/>
      <c r="H6" s="1220"/>
      <c r="I6" s="1226"/>
      <c r="J6" s="1226"/>
      <c r="K6" s="1226"/>
      <c r="L6" s="1256"/>
      <c r="M6" s="576"/>
      <c r="N6" s="1268"/>
      <c r="O6" s="1269"/>
      <c r="Q6" s="574"/>
      <c r="R6" s="1253"/>
      <c r="S6" s="1253"/>
    </row>
    <row r="7" spans="1:19" s="564" customFormat="1">
      <c r="A7" s="577" t="s">
        <v>252</v>
      </c>
      <c r="B7" s="578">
        <f>N57</f>
        <v>25659</v>
      </c>
      <c r="C7" s="579">
        <f>B100</f>
        <v>29031.617647058822</v>
      </c>
      <c r="D7" s="580"/>
      <c r="E7" s="580">
        <f>E100</f>
        <v>0</v>
      </c>
      <c r="F7" s="581"/>
      <c r="G7" s="582"/>
      <c r="H7" s="580">
        <f>I100</f>
        <v>0</v>
      </c>
      <c r="I7" s="580">
        <f>G100+F100</f>
        <v>0</v>
      </c>
      <c r="J7" s="580">
        <f>H100+D100+C100</f>
        <v>1155.4411764705881</v>
      </c>
      <c r="K7" s="580"/>
      <c r="L7" s="583"/>
      <c r="M7" s="584">
        <f>C7*$C$11+D7*$D$11+E7*$E$11+F7*$F$11+G7*$G$11+H7*$H$11+I7*$I$11+J7*$J$11</f>
        <v>5864.3867647058823</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33877.931157992556</v>
      </c>
      <c r="C9" s="595">
        <f t="shared" ref="C9:L9" si="0">SUM(C7:C8)</f>
        <v>29031.617647058822</v>
      </c>
      <c r="D9" s="595">
        <f t="shared" si="0"/>
        <v>0</v>
      </c>
      <c r="E9" s="595">
        <f t="shared" si="0"/>
        <v>0</v>
      </c>
      <c r="F9" s="595">
        <f t="shared" si="0"/>
        <v>0</v>
      </c>
      <c r="G9" s="595">
        <f t="shared" si="0"/>
        <v>0</v>
      </c>
      <c r="H9" s="595">
        <f t="shared" si="0"/>
        <v>0</v>
      </c>
      <c r="I9" s="595">
        <f t="shared" si="0"/>
        <v>0</v>
      </c>
      <c r="J9" s="595">
        <f t="shared" si="0"/>
        <v>1155.4411764705881</v>
      </c>
      <c r="K9" s="595">
        <f t="shared" si="0"/>
        <v>0</v>
      </c>
      <c r="L9" s="595">
        <f t="shared" si="0"/>
        <v>0</v>
      </c>
      <c r="M9" s="596">
        <f>SUM(M4:M8)</f>
        <v>5864.3867647058823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36655.71428571429</v>
      </c>
      <c r="C16" s="611">
        <f>B101</f>
        <v>41473.73949579832</v>
      </c>
      <c r="D16" s="612"/>
      <c r="E16" s="612">
        <f>E101</f>
        <v>0</v>
      </c>
      <c r="F16" s="613"/>
      <c r="G16" s="614"/>
      <c r="H16" s="611">
        <f>I101</f>
        <v>0</v>
      </c>
      <c r="I16" s="612">
        <f>G101+F101</f>
        <v>0</v>
      </c>
      <c r="J16" s="612">
        <f>H101+D101+C101</f>
        <v>1650.6302521008404</v>
      </c>
      <c r="K16" s="612"/>
      <c r="L16" s="615"/>
      <c r="M16" s="616">
        <f>C16*$C$21+E16*$E$21+H16*$H$21+I16*$I$21+J16*$J$21+D16*$D$21+F16*$F$21+G16*$G$21+K16*$K$21+L16*$L$21</f>
        <v>8377.6953781512602</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36655.71428571429</v>
      </c>
      <c r="C19" s="594">
        <f>SUM(C16:C18)</f>
        <v>41473.73949579832</v>
      </c>
      <c r="D19" s="594">
        <f t="shared" ref="D19:M19" si="1">SUM(D16:D18)</f>
        <v>0</v>
      </c>
      <c r="E19" s="594">
        <f t="shared" si="1"/>
        <v>0</v>
      </c>
      <c r="F19" s="594">
        <f t="shared" si="1"/>
        <v>0</v>
      </c>
      <c r="G19" s="594">
        <f t="shared" si="1"/>
        <v>0</v>
      </c>
      <c r="H19" s="594">
        <f t="shared" si="1"/>
        <v>0</v>
      </c>
      <c r="I19" s="594">
        <f t="shared" si="1"/>
        <v>0</v>
      </c>
      <c r="J19" s="594">
        <f t="shared" si="1"/>
        <v>1650.6302521008404</v>
      </c>
      <c r="K19" s="594">
        <f t="shared" si="1"/>
        <v>0</v>
      </c>
      <c r="L19" s="594">
        <f t="shared" si="1"/>
        <v>0</v>
      </c>
      <c r="M19" s="621">
        <f t="shared" si="1"/>
        <v>8377.6953781512602</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37020</v>
      </c>
      <c r="C27" s="852">
        <v>8851</v>
      </c>
      <c r="D27" s="673" t="s">
        <v>871</v>
      </c>
      <c r="E27" s="672" t="s">
        <v>872</v>
      </c>
      <c r="F27" s="672" t="s">
        <v>873</v>
      </c>
      <c r="G27" s="672" t="s">
        <v>874</v>
      </c>
      <c r="H27" s="672" t="s">
        <v>875</v>
      </c>
      <c r="I27" s="672" t="s">
        <v>876</v>
      </c>
      <c r="J27" s="851">
        <v>38231</v>
      </c>
      <c r="K27" s="851">
        <v>38384</v>
      </c>
      <c r="L27" s="672" t="s">
        <v>877</v>
      </c>
      <c r="M27" s="672">
        <v>291</v>
      </c>
      <c r="N27" s="672">
        <v>1309.5</v>
      </c>
      <c r="O27" s="672">
        <v>1870.7142857142858</v>
      </c>
      <c r="P27" s="672">
        <v>935.35714285714289</v>
      </c>
      <c r="Q27" s="672">
        <v>2806.0714285714284</v>
      </c>
      <c r="R27" s="672">
        <v>0</v>
      </c>
      <c r="S27" s="672">
        <v>0</v>
      </c>
      <c r="T27" s="672">
        <v>0</v>
      </c>
      <c r="U27" s="672">
        <v>0</v>
      </c>
      <c r="V27" s="672">
        <v>0</v>
      </c>
      <c r="W27" s="672">
        <v>0</v>
      </c>
      <c r="X27" s="672">
        <v>500</v>
      </c>
      <c r="Y27" s="672" t="s">
        <v>41</v>
      </c>
      <c r="Z27" s="674" t="s">
        <v>389</v>
      </c>
    </row>
    <row r="28" spans="1:26" s="626" customFormat="1" ht="25.5">
      <c r="A28" s="625"/>
      <c r="B28" s="852">
        <v>37020</v>
      </c>
      <c r="C28" s="852">
        <v>8850</v>
      </c>
      <c r="D28" s="673" t="s">
        <v>878</v>
      </c>
      <c r="E28" s="672" t="s">
        <v>879</v>
      </c>
      <c r="F28" s="672" t="s">
        <v>880</v>
      </c>
      <c r="G28" s="672" t="s">
        <v>874</v>
      </c>
      <c r="H28" s="672" t="s">
        <v>875</v>
      </c>
      <c r="I28" s="672" t="s">
        <v>879</v>
      </c>
      <c r="J28" s="851">
        <v>39994</v>
      </c>
      <c r="K28" s="851">
        <v>39994</v>
      </c>
      <c r="L28" s="672" t="s">
        <v>877</v>
      </c>
      <c r="M28" s="672">
        <v>1925</v>
      </c>
      <c r="N28" s="672">
        <v>8662.5</v>
      </c>
      <c r="O28" s="672">
        <v>12375</v>
      </c>
      <c r="P28" s="672">
        <v>24750</v>
      </c>
      <c r="Q28" s="672">
        <v>0</v>
      </c>
      <c r="R28" s="672">
        <v>0</v>
      </c>
      <c r="S28" s="672">
        <v>0</v>
      </c>
      <c r="T28" s="672">
        <v>0</v>
      </c>
      <c r="U28" s="672">
        <v>0</v>
      </c>
      <c r="V28" s="672">
        <v>0</v>
      </c>
      <c r="W28" s="672">
        <v>0</v>
      </c>
      <c r="X28" s="672">
        <v>10</v>
      </c>
      <c r="Y28" s="672" t="s">
        <v>112</v>
      </c>
      <c r="Z28" s="674" t="s">
        <v>112</v>
      </c>
    </row>
    <row r="29" spans="1:26" s="626" customFormat="1" ht="25.5">
      <c r="A29" s="625"/>
      <c r="B29" s="852">
        <v>37020</v>
      </c>
      <c r="C29" s="852">
        <v>8850</v>
      </c>
      <c r="D29" s="673" t="s">
        <v>881</v>
      </c>
      <c r="E29" s="672" t="s">
        <v>882</v>
      </c>
      <c r="F29" s="672" t="s">
        <v>883</v>
      </c>
      <c r="G29" s="672" t="s">
        <v>874</v>
      </c>
      <c r="H29" s="672" t="s">
        <v>875</v>
      </c>
      <c r="I29" s="672" t="s">
        <v>884</v>
      </c>
      <c r="J29" s="851">
        <v>40909</v>
      </c>
      <c r="K29" s="851">
        <v>40953</v>
      </c>
      <c r="L29" s="672" t="s">
        <v>877</v>
      </c>
      <c r="M29" s="672">
        <v>2000</v>
      </c>
      <c r="N29" s="672">
        <v>9000</v>
      </c>
      <c r="O29" s="672">
        <v>12857.142857142857</v>
      </c>
      <c r="P29" s="672">
        <v>25714.285714285717</v>
      </c>
      <c r="Q29" s="672">
        <v>0</v>
      </c>
      <c r="R29" s="672">
        <v>0</v>
      </c>
      <c r="S29" s="672">
        <v>0</v>
      </c>
      <c r="T29" s="672">
        <v>0</v>
      </c>
      <c r="U29" s="672">
        <v>0</v>
      </c>
      <c r="V29" s="672">
        <v>0</v>
      </c>
      <c r="W29" s="672">
        <v>0</v>
      </c>
      <c r="X29" s="672">
        <v>10</v>
      </c>
      <c r="Y29" s="672" t="s">
        <v>112</v>
      </c>
      <c r="Z29" s="674" t="s">
        <v>112</v>
      </c>
    </row>
    <row r="30" spans="1:26" s="626" customFormat="1" ht="25.5">
      <c r="A30" s="625"/>
      <c r="B30" s="852">
        <v>37020</v>
      </c>
      <c r="C30" s="852">
        <v>8850</v>
      </c>
      <c r="D30" s="673" t="s">
        <v>885</v>
      </c>
      <c r="E30" s="672" t="s">
        <v>886</v>
      </c>
      <c r="F30" s="672" t="s">
        <v>887</v>
      </c>
      <c r="G30" s="672" t="s">
        <v>874</v>
      </c>
      <c r="H30" s="672" t="s">
        <v>875</v>
      </c>
      <c r="I30" s="672" t="s">
        <v>888</v>
      </c>
      <c r="J30" s="851">
        <v>41183</v>
      </c>
      <c r="K30" s="851">
        <v>41183</v>
      </c>
      <c r="L30" s="672" t="s">
        <v>877</v>
      </c>
      <c r="M30" s="672">
        <v>1486</v>
      </c>
      <c r="N30" s="672">
        <v>6687</v>
      </c>
      <c r="O30" s="672">
        <v>9552.8571428571431</v>
      </c>
      <c r="P30" s="672">
        <v>19105.714285714286</v>
      </c>
      <c r="Q30" s="672">
        <v>0</v>
      </c>
      <c r="R30" s="672">
        <v>0</v>
      </c>
      <c r="S30" s="672">
        <v>0</v>
      </c>
      <c r="T30" s="672">
        <v>0</v>
      </c>
      <c r="U30" s="672">
        <v>0</v>
      </c>
      <c r="V30" s="672">
        <v>0</v>
      </c>
      <c r="W30" s="672">
        <v>0</v>
      </c>
      <c r="X30" s="672">
        <v>10</v>
      </c>
      <c r="Y30" s="672" t="s">
        <v>112</v>
      </c>
      <c r="Z30" s="674" t="s">
        <v>112</v>
      </c>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5702</v>
      </c>
      <c r="N57" s="630">
        <f>SUM(N27:N56)</f>
        <v>25659</v>
      </c>
      <c r="O57" s="630">
        <f t="shared" ref="O57:W57" si="2">SUM(O27:O56)</f>
        <v>36655.71428571429</v>
      </c>
      <c r="P57" s="630">
        <f t="shared" si="2"/>
        <v>70505.357142857145</v>
      </c>
      <c r="Q57" s="630">
        <f t="shared" si="2"/>
        <v>2806.0714285714284</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291</v>
      </c>
      <c r="N58" s="630">
        <f t="shared" ref="N58:W58" si="3">SUMIF($Z$27:$Z$56,"industrie",N27:N56)</f>
        <v>1309.5</v>
      </c>
      <c r="O58" s="630">
        <f t="shared" si="3"/>
        <v>1870.7142857142858</v>
      </c>
      <c r="P58" s="630">
        <f t="shared" si="3"/>
        <v>935.35714285714289</v>
      </c>
      <c r="Q58" s="630">
        <f t="shared" si="3"/>
        <v>2806.0714285714284</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5411</v>
      </c>
      <c r="N60" s="635">
        <f t="shared" ref="N60:W60" si="4">SUMIF($Z$27:$Z$56,"landbouw",N27:N56)</f>
        <v>24349.5</v>
      </c>
      <c r="O60" s="635">
        <f t="shared" si="4"/>
        <v>34785</v>
      </c>
      <c r="P60" s="635">
        <f t="shared" si="4"/>
        <v>69570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29031.617647058822</v>
      </c>
      <c r="C100" s="664">
        <f t="shared" si="9"/>
        <v>1155.4411764705881</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41473.73949579832</v>
      </c>
      <c r="C101" s="667">
        <f t="shared" ref="C101:H101" si="10">$B$97*Q57</f>
        <v>1650.6302521008404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10007.249459999999</v>
      </c>
      <c r="D10" s="719">
        <f ca="1">tertiair!C16</f>
        <v>0</v>
      </c>
      <c r="E10" s="719">
        <f ca="1">tertiair!D16</f>
        <v>40788.668786699964</v>
      </c>
      <c r="F10" s="719">
        <f>tertiair!E16</f>
        <v>101.48567634327361</v>
      </c>
      <c r="G10" s="719">
        <f ca="1">tertiair!F16</f>
        <v>1337.9161256524612</v>
      </c>
      <c r="H10" s="719">
        <f>tertiair!G16</f>
        <v>0</v>
      </c>
      <c r="I10" s="719">
        <f>tertiair!H16</f>
        <v>0</v>
      </c>
      <c r="J10" s="719">
        <f>tertiair!I16</f>
        <v>0</v>
      </c>
      <c r="K10" s="719">
        <f>tertiair!J16</f>
        <v>0</v>
      </c>
      <c r="L10" s="719">
        <f>tertiair!K16</f>
        <v>0</v>
      </c>
      <c r="M10" s="719">
        <f ca="1">tertiair!L16</f>
        <v>0</v>
      </c>
      <c r="N10" s="719">
        <f>tertiair!M16</f>
        <v>0</v>
      </c>
      <c r="O10" s="719">
        <f ca="1">tertiair!N16</f>
        <v>568.39723223761587</v>
      </c>
      <c r="P10" s="719">
        <f>tertiair!O16</f>
        <v>3.1266666666666669</v>
      </c>
      <c r="Q10" s="720">
        <f>tertiair!P16</f>
        <v>38.133333333333333</v>
      </c>
      <c r="R10" s="722">
        <f ca="1">SUM(C10:Q10)</f>
        <v>52844.977280933308</v>
      </c>
      <c r="S10" s="67"/>
    </row>
    <row r="11" spans="1:19" s="475" customFormat="1">
      <c r="A11" s="871" t="s">
        <v>225</v>
      </c>
      <c r="B11" s="876"/>
      <c r="C11" s="719">
        <f>huishoudens!B8</f>
        <v>16097.144705326133</v>
      </c>
      <c r="D11" s="719">
        <f>huishoudens!C8</f>
        <v>0</v>
      </c>
      <c r="E11" s="719">
        <f>huishoudens!D8</f>
        <v>27627.844149274457</v>
      </c>
      <c r="F11" s="719">
        <f>huishoudens!E8</f>
        <v>4293.8973382037302</v>
      </c>
      <c r="G11" s="719">
        <f>huishoudens!F8</f>
        <v>18034.037607119433</v>
      </c>
      <c r="H11" s="719">
        <f>huishoudens!G8</f>
        <v>0</v>
      </c>
      <c r="I11" s="719">
        <f>huishoudens!H8</f>
        <v>0</v>
      </c>
      <c r="J11" s="719">
        <f>huishoudens!I8</f>
        <v>0</v>
      </c>
      <c r="K11" s="719">
        <f>huishoudens!J8</f>
        <v>2511.4395759159311</v>
      </c>
      <c r="L11" s="719">
        <f>huishoudens!K8</f>
        <v>0</v>
      </c>
      <c r="M11" s="719">
        <f>huishoudens!L8</f>
        <v>0</v>
      </c>
      <c r="N11" s="719">
        <f>huishoudens!M8</f>
        <v>0</v>
      </c>
      <c r="O11" s="719">
        <f>huishoudens!N8</f>
        <v>9770.1469019909109</v>
      </c>
      <c r="P11" s="719">
        <f>huishoudens!O8</f>
        <v>193.85333333333335</v>
      </c>
      <c r="Q11" s="720">
        <f>huishoudens!P8</f>
        <v>266.93333333333334</v>
      </c>
      <c r="R11" s="722">
        <f>SUM(C11:Q11)</f>
        <v>78795.29694449727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218851.86470000001</v>
      </c>
      <c r="D13" s="719">
        <f>industrie!C18</f>
        <v>1870.7142857142858</v>
      </c>
      <c r="E13" s="719">
        <f>industrie!D18</f>
        <v>107841.51952256789</v>
      </c>
      <c r="F13" s="719">
        <f>industrie!E18</f>
        <v>5819.1168396803223</v>
      </c>
      <c r="G13" s="719">
        <f>industrie!F18</f>
        <v>281533.66988140275</v>
      </c>
      <c r="H13" s="719">
        <f>industrie!G18</f>
        <v>0</v>
      </c>
      <c r="I13" s="719">
        <f>industrie!H18</f>
        <v>0</v>
      </c>
      <c r="J13" s="719">
        <f>industrie!I18</f>
        <v>0</v>
      </c>
      <c r="K13" s="719">
        <f>industrie!J18</f>
        <v>3644.5145784151077</v>
      </c>
      <c r="L13" s="719">
        <f>industrie!K18</f>
        <v>0</v>
      </c>
      <c r="M13" s="719">
        <f>industrie!L18</f>
        <v>0</v>
      </c>
      <c r="N13" s="719">
        <f>industrie!M18</f>
        <v>0</v>
      </c>
      <c r="O13" s="719">
        <f>industrie!N18</f>
        <v>85329.717719761436</v>
      </c>
      <c r="P13" s="719">
        <f>industrie!O18</f>
        <v>0</v>
      </c>
      <c r="Q13" s="720">
        <f>industrie!P18</f>
        <v>0</v>
      </c>
      <c r="R13" s="722">
        <f>SUM(C13:Q13)</f>
        <v>704891.1175275417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244956.25886532615</v>
      </c>
      <c r="D15" s="724">
        <f t="shared" ref="D15:Q15" ca="1" si="0">SUM(D9:D14)</f>
        <v>1870.7142857142858</v>
      </c>
      <c r="E15" s="724">
        <f t="shared" ca="1" si="0"/>
        <v>176258.03245854232</v>
      </c>
      <c r="F15" s="724">
        <f t="shared" si="0"/>
        <v>10214.499854227326</v>
      </c>
      <c r="G15" s="724">
        <f t="shared" ca="1" si="0"/>
        <v>300905.62361417466</v>
      </c>
      <c r="H15" s="724">
        <f t="shared" si="0"/>
        <v>0</v>
      </c>
      <c r="I15" s="724">
        <f t="shared" si="0"/>
        <v>0</v>
      </c>
      <c r="J15" s="724">
        <f t="shared" si="0"/>
        <v>0</v>
      </c>
      <c r="K15" s="724">
        <f t="shared" si="0"/>
        <v>6155.9541543310388</v>
      </c>
      <c r="L15" s="724">
        <f t="shared" si="0"/>
        <v>0</v>
      </c>
      <c r="M15" s="724">
        <f t="shared" ca="1" si="0"/>
        <v>0</v>
      </c>
      <c r="N15" s="724">
        <f t="shared" si="0"/>
        <v>0</v>
      </c>
      <c r="O15" s="724">
        <f t="shared" ca="1" si="0"/>
        <v>95668.26185398997</v>
      </c>
      <c r="P15" s="724">
        <f t="shared" si="0"/>
        <v>196.98000000000002</v>
      </c>
      <c r="Q15" s="725">
        <f t="shared" si="0"/>
        <v>305.06666666666666</v>
      </c>
      <c r="R15" s="726">
        <f ca="1">SUM(R9:R14)</f>
        <v>836531.39175297227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937.89495363227627</v>
      </c>
      <c r="I18" s="719">
        <f>transport!H54</f>
        <v>0</v>
      </c>
      <c r="J18" s="719">
        <f>transport!I54</f>
        <v>0</v>
      </c>
      <c r="K18" s="719">
        <f>transport!J54</f>
        <v>0</v>
      </c>
      <c r="L18" s="719">
        <f>transport!K54</f>
        <v>0</v>
      </c>
      <c r="M18" s="719">
        <f>transport!L54</f>
        <v>0</v>
      </c>
      <c r="N18" s="719">
        <f>transport!M54</f>
        <v>53.48541509416286</v>
      </c>
      <c r="O18" s="719">
        <f>transport!N54</f>
        <v>0</v>
      </c>
      <c r="P18" s="719">
        <f>transport!O54</f>
        <v>0</v>
      </c>
      <c r="Q18" s="720">
        <f>transport!P54</f>
        <v>0</v>
      </c>
      <c r="R18" s="722">
        <f>SUM(C18:Q18)</f>
        <v>991.38036872643909</v>
      </c>
      <c r="S18" s="67"/>
    </row>
    <row r="19" spans="1:19" s="475" customFormat="1" ht="15" thickBot="1">
      <c r="A19" s="871" t="s">
        <v>307</v>
      </c>
      <c r="B19" s="876"/>
      <c r="C19" s="728">
        <f>transport!B14</f>
        <v>20.072871034448859</v>
      </c>
      <c r="D19" s="728">
        <f>transport!C14</f>
        <v>0</v>
      </c>
      <c r="E19" s="728">
        <f>transport!D14</f>
        <v>52.042517075071451</v>
      </c>
      <c r="F19" s="728">
        <f>transport!E14</f>
        <v>375.32830203420866</v>
      </c>
      <c r="G19" s="728">
        <f>transport!F14</f>
        <v>0</v>
      </c>
      <c r="H19" s="728">
        <f>transport!G14</f>
        <v>124658.43293624383</v>
      </c>
      <c r="I19" s="728">
        <f>transport!H14</f>
        <v>20147.05792439216</v>
      </c>
      <c r="J19" s="728">
        <f>transport!I14</f>
        <v>0</v>
      </c>
      <c r="K19" s="728">
        <f>transport!J14</f>
        <v>0</v>
      </c>
      <c r="L19" s="728">
        <f>transport!K14</f>
        <v>0</v>
      </c>
      <c r="M19" s="728">
        <f>transport!L14</f>
        <v>0</v>
      </c>
      <c r="N19" s="728">
        <f>transport!M14</f>
        <v>7831.1186266264504</v>
      </c>
      <c r="O19" s="728">
        <f>transport!N14</f>
        <v>0</v>
      </c>
      <c r="P19" s="728">
        <f>transport!O14</f>
        <v>0</v>
      </c>
      <c r="Q19" s="729">
        <f>transport!P14</f>
        <v>0</v>
      </c>
      <c r="R19" s="730">
        <f>SUM(C19:Q19)</f>
        <v>153084.05317740617</v>
      </c>
      <c r="S19" s="67"/>
    </row>
    <row r="20" spans="1:19" s="475" customFormat="1" ht="15.75" thickBot="1">
      <c r="A20" s="731" t="s">
        <v>230</v>
      </c>
      <c r="B20" s="879"/>
      <c r="C20" s="874">
        <f>SUM(C17:C19)</f>
        <v>20.072871034448859</v>
      </c>
      <c r="D20" s="732">
        <f t="shared" ref="D20:R20" si="1">SUM(D17:D19)</f>
        <v>0</v>
      </c>
      <c r="E20" s="732">
        <f t="shared" si="1"/>
        <v>52.042517075071451</v>
      </c>
      <c r="F20" s="732">
        <f t="shared" si="1"/>
        <v>375.32830203420866</v>
      </c>
      <c r="G20" s="732">
        <f t="shared" si="1"/>
        <v>0</v>
      </c>
      <c r="H20" s="732">
        <f t="shared" si="1"/>
        <v>125596.32788987611</v>
      </c>
      <c r="I20" s="732">
        <f t="shared" si="1"/>
        <v>20147.05792439216</v>
      </c>
      <c r="J20" s="732">
        <f t="shared" si="1"/>
        <v>0</v>
      </c>
      <c r="K20" s="732">
        <f t="shared" si="1"/>
        <v>0</v>
      </c>
      <c r="L20" s="732">
        <f t="shared" si="1"/>
        <v>0</v>
      </c>
      <c r="M20" s="732">
        <f t="shared" si="1"/>
        <v>0</v>
      </c>
      <c r="N20" s="732">
        <f t="shared" si="1"/>
        <v>7884.6040417206132</v>
      </c>
      <c r="O20" s="732">
        <f t="shared" si="1"/>
        <v>0</v>
      </c>
      <c r="P20" s="732">
        <f t="shared" si="1"/>
        <v>0</v>
      </c>
      <c r="Q20" s="733">
        <f t="shared" si="1"/>
        <v>0</v>
      </c>
      <c r="R20" s="734">
        <f t="shared" si="1"/>
        <v>154075.43354613261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7411.2179999999998</v>
      </c>
      <c r="D22" s="728">
        <f>+landbouw!C8</f>
        <v>34785</v>
      </c>
      <c r="E22" s="728">
        <f>+landbouw!D8</f>
        <v>0</v>
      </c>
      <c r="F22" s="728">
        <f>+landbouw!E8</f>
        <v>68.645805219433555</v>
      </c>
      <c r="G22" s="728">
        <f>+landbouw!F8</f>
        <v>18803.671901580146</v>
      </c>
      <c r="H22" s="728">
        <f>+landbouw!G8</f>
        <v>0</v>
      </c>
      <c r="I22" s="728">
        <f>+landbouw!H8</f>
        <v>0</v>
      </c>
      <c r="J22" s="728">
        <f>+landbouw!I8</f>
        <v>0</v>
      </c>
      <c r="K22" s="728">
        <f>+landbouw!J8</f>
        <v>1136.2224288342754</v>
      </c>
      <c r="L22" s="728">
        <f>+landbouw!K8</f>
        <v>0</v>
      </c>
      <c r="M22" s="728">
        <f>+landbouw!L8</f>
        <v>0</v>
      </c>
      <c r="N22" s="728">
        <f>+landbouw!M8</f>
        <v>0</v>
      </c>
      <c r="O22" s="728">
        <f>+landbouw!N8</f>
        <v>0</v>
      </c>
      <c r="P22" s="728">
        <f>+landbouw!O8</f>
        <v>0</v>
      </c>
      <c r="Q22" s="729">
        <f>+landbouw!P8</f>
        <v>0</v>
      </c>
      <c r="R22" s="730">
        <f>SUM(C22:Q22)</f>
        <v>62204.758135633856</v>
      </c>
      <c r="S22" s="67"/>
    </row>
    <row r="23" spans="1:19" s="475" customFormat="1" ht="17.25" thickTop="1" thickBot="1">
      <c r="A23" s="735" t="s">
        <v>116</v>
      </c>
      <c r="B23" s="865"/>
      <c r="C23" s="736">
        <f ca="1">C20+C15+C22</f>
        <v>252387.54973636058</v>
      </c>
      <c r="D23" s="736">
        <f t="shared" ref="D23:Q23" ca="1" si="2">D20+D15+D22</f>
        <v>36655.714285714283</v>
      </c>
      <c r="E23" s="736">
        <f t="shared" ca="1" si="2"/>
        <v>176310.0749756174</v>
      </c>
      <c r="F23" s="736">
        <f t="shared" si="2"/>
        <v>10658.473961480968</v>
      </c>
      <c r="G23" s="736">
        <f t="shared" ca="1" si="2"/>
        <v>319709.29551575478</v>
      </c>
      <c r="H23" s="736">
        <f t="shared" si="2"/>
        <v>125596.32788987611</v>
      </c>
      <c r="I23" s="736">
        <f t="shared" si="2"/>
        <v>20147.05792439216</v>
      </c>
      <c r="J23" s="736">
        <f t="shared" si="2"/>
        <v>0</v>
      </c>
      <c r="K23" s="736">
        <f t="shared" si="2"/>
        <v>7292.1765831653138</v>
      </c>
      <c r="L23" s="736">
        <f t="shared" si="2"/>
        <v>0</v>
      </c>
      <c r="M23" s="736">
        <f t="shared" ca="1" si="2"/>
        <v>0</v>
      </c>
      <c r="N23" s="736">
        <f t="shared" si="2"/>
        <v>7884.6040417206132</v>
      </c>
      <c r="O23" s="736">
        <f t="shared" ca="1" si="2"/>
        <v>95668.26185398997</v>
      </c>
      <c r="P23" s="736">
        <f t="shared" si="2"/>
        <v>196.98000000000002</v>
      </c>
      <c r="Q23" s="737">
        <f t="shared" si="2"/>
        <v>305.06666666666666</v>
      </c>
      <c r="R23" s="738">
        <f ca="1">R20+R15+R22</f>
        <v>1052811.5834347387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2147.2640780738197</v>
      </c>
      <c r="D36" s="719">
        <f ca="1">tertiair!C20</f>
        <v>0</v>
      </c>
      <c r="E36" s="719">
        <f ca="1">tertiair!D20</f>
        <v>8239.3110949133934</v>
      </c>
      <c r="F36" s="719">
        <f>tertiair!E20</f>
        <v>23.037248529923112</v>
      </c>
      <c r="G36" s="719">
        <f ca="1">tertiair!F20</f>
        <v>357.22360554920715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10766.836027066343</v>
      </c>
    </row>
    <row r="37" spans="1:18">
      <c r="A37" s="886" t="s">
        <v>225</v>
      </c>
      <c r="B37" s="893"/>
      <c r="C37" s="719">
        <f ca="1">huishoudens!B12</f>
        <v>3453.9781109147043</v>
      </c>
      <c r="D37" s="719">
        <f ca="1">huishoudens!C12</f>
        <v>0</v>
      </c>
      <c r="E37" s="719">
        <f>huishoudens!D12</f>
        <v>5580.8245181534403</v>
      </c>
      <c r="F37" s="719">
        <f>huishoudens!E12</f>
        <v>974.71469577224684</v>
      </c>
      <c r="G37" s="719">
        <f>huishoudens!F12</f>
        <v>4815.0880411008893</v>
      </c>
      <c r="H37" s="719">
        <f>huishoudens!G12</f>
        <v>0</v>
      </c>
      <c r="I37" s="719">
        <f>huishoudens!H12</f>
        <v>0</v>
      </c>
      <c r="J37" s="719">
        <f>huishoudens!I12</f>
        <v>0</v>
      </c>
      <c r="K37" s="719">
        <f>huishoudens!J12</f>
        <v>889.04960987423954</v>
      </c>
      <c r="L37" s="719">
        <f>huishoudens!K12</f>
        <v>0</v>
      </c>
      <c r="M37" s="719">
        <f>huishoudens!L12</f>
        <v>0</v>
      </c>
      <c r="N37" s="719">
        <f>huishoudens!M12</f>
        <v>0</v>
      </c>
      <c r="O37" s="719">
        <f>huishoudens!N12</f>
        <v>0</v>
      </c>
      <c r="P37" s="719">
        <f>huishoudens!O12</f>
        <v>0</v>
      </c>
      <c r="Q37" s="829">
        <f>huishoudens!P12</f>
        <v>0</v>
      </c>
      <c r="R37" s="918">
        <f ca="1">SUM(C37:Q37)</f>
        <v>15713.65497581552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46959.231841691486</v>
      </c>
      <c r="D39" s="719">
        <f ca="1">industrie!C22</f>
        <v>427.55337689267225</v>
      </c>
      <c r="E39" s="719">
        <f>industrie!D22</f>
        <v>21783.986943558717</v>
      </c>
      <c r="F39" s="719">
        <f>industrie!E22</f>
        <v>1320.9395226074332</v>
      </c>
      <c r="G39" s="719">
        <f>industrie!F22</f>
        <v>75169.489858334535</v>
      </c>
      <c r="H39" s="719">
        <f>industrie!G22</f>
        <v>0</v>
      </c>
      <c r="I39" s="719">
        <f>industrie!H22</f>
        <v>0</v>
      </c>
      <c r="J39" s="719">
        <f>industrie!I22</f>
        <v>0</v>
      </c>
      <c r="K39" s="719">
        <f>industrie!J22</f>
        <v>1290.158160758948</v>
      </c>
      <c r="L39" s="719">
        <f>industrie!K22</f>
        <v>0</v>
      </c>
      <c r="M39" s="719">
        <f>industrie!L22</f>
        <v>0</v>
      </c>
      <c r="N39" s="719">
        <f>industrie!M22</f>
        <v>0</v>
      </c>
      <c r="O39" s="719">
        <f>industrie!N22</f>
        <v>0</v>
      </c>
      <c r="P39" s="719">
        <f>industrie!O22</f>
        <v>0</v>
      </c>
      <c r="Q39" s="829">
        <f>industrie!P22</f>
        <v>0</v>
      </c>
      <c r="R39" s="919">
        <f ca="1">SUM(C39:Q39)</f>
        <v>146951.3597038438</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52560.474030680009</v>
      </c>
      <c r="D41" s="764">
        <f t="shared" ref="D41:R41" ca="1" si="4">SUM(D35:D40)</f>
        <v>427.55337689267225</v>
      </c>
      <c r="E41" s="764">
        <f t="shared" ca="1" si="4"/>
        <v>35604.122556625553</v>
      </c>
      <c r="F41" s="764">
        <f t="shared" si="4"/>
        <v>2318.6914669096032</v>
      </c>
      <c r="G41" s="764">
        <f t="shared" ca="1" si="4"/>
        <v>80341.801504984629</v>
      </c>
      <c r="H41" s="764">
        <f t="shared" si="4"/>
        <v>0</v>
      </c>
      <c r="I41" s="764">
        <f t="shared" si="4"/>
        <v>0</v>
      </c>
      <c r="J41" s="764">
        <f t="shared" si="4"/>
        <v>0</v>
      </c>
      <c r="K41" s="764">
        <f t="shared" si="4"/>
        <v>2179.2077706331875</v>
      </c>
      <c r="L41" s="764">
        <f t="shared" si="4"/>
        <v>0</v>
      </c>
      <c r="M41" s="764">
        <f t="shared" ca="1" si="4"/>
        <v>0</v>
      </c>
      <c r="N41" s="764">
        <f t="shared" si="4"/>
        <v>0</v>
      </c>
      <c r="O41" s="764">
        <f t="shared" ca="1" si="4"/>
        <v>0</v>
      </c>
      <c r="P41" s="764">
        <f t="shared" si="4"/>
        <v>0</v>
      </c>
      <c r="Q41" s="765">
        <f t="shared" si="4"/>
        <v>0</v>
      </c>
      <c r="R41" s="766">
        <f t="shared" ca="1" si="4"/>
        <v>173431.85070672567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250.41795261981778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250.41795261981778</v>
      </c>
    </row>
    <row r="45" spans="1:18" ht="15" thickBot="1">
      <c r="A45" s="889" t="s">
        <v>307</v>
      </c>
      <c r="B45" s="899"/>
      <c r="C45" s="728">
        <f ca="1">transport!B18</f>
        <v>4.3070531106836745</v>
      </c>
      <c r="D45" s="728">
        <f>transport!C18</f>
        <v>0</v>
      </c>
      <c r="E45" s="728">
        <f>transport!D18</f>
        <v>10.512588449164435</v>
      </c>
      <c r="F45" s="728">
        <f>transport!E18</f>
        <v>85.199524561765372</v>
      </c>
      <c r="G45" s="728">
        <f>transport!F18</f>
        <v>0</v>
      </c>
      <c r="H45" s="728">
        <f>transport!G18</f>
        <v>33283.801593977107</v>
      </c>
      <c r="I45" s="728">
        <f>transport!H18</f>
        <v>5016.6174231736477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38400.438183272374</v>
      </c>
    </row>
    <row r="46" spans="1:18" ht="15.75" thickBot="1">
      <c r="A46" s="887" t="s">
        <v>230</v>
      </c>
      <c r="B46" s="900"/>
      <c r="C46" s="764">
        <f t="shared" ref="C46:R46" ca="1" si="5">SUM(C43:C45)</f>
        <v>4.3070531106836745</v>
      </c>
      <c r="D46" s="764">
        <f t="shared" ca="1" si="5"/>
        <v>0</v>
      </c>
      <c r="E46" s="764">
        <f t="shared" si="5"/>
        <v>10.512588449164435</v>
      </c>
      <c r="F46" s="764">
        <f t="shared" si="5"/>
        <v>85.199524561765372</v>
      </c>
      <c r="G46" s="764">
        <f t="shared" si="5"/>
        <v>0</v>
      </c>
      <c r="H46" s="764">
        <f t="shared" si="5"/>
        <v>33534.219546596927</v>
      </c>
      <c r="I46" s="764">
        <f t="shared" si="5"/>
        <v>5016.6174231736477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38650.856135892194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1590.2313867345226</v>
      </c>
      <c r="D48" s="719">
        <f ca="1">+landbouw!C12</f>
        <v>7950.1420012585886</v>
      </c>
      <c r="E48" s="719">
        <f>+landbouw!D12</f>
        <v>0</v>
      </c>
      <c r="F48" s="719">
        <f>+landbouw!E12</f>
        <v>15.582597784811417</v>
      </c>
      <c r="G48" s="719">
        <f>+landbouw!F12</f>
        <v>5020.5803977218993</v>
      </c>
      <c r="H48" s="719">
        <f>+landbouw!G12</f>
        <v>0</v>
      </c>
      <c r="I48" s="719">
        <f>+landbouw!H12</f>
        <v>0</v>
      </c>
      <c r="J48" s="719">
        <f>+landbouw!I12</f>
        <v>0</v>
      </c>
      <c r="K48" s="719">
        <f>+landbouw!J12</f>
        <v>402.22273980733348</v>
      </c>
      <c r="L48" s="719">
        <f>+landbouw!K12</f>
        <v>0</v>
      </c>
      <c r="M48" s="719">
        <f>+landbouw!L12</f>
        <v>0</v>
      </c>
      <c r="N48" s="719">
        <f>+landbouw!M12</f>
        <v>0</v>
      </c>
      <c r="O48" s="719">
        <f>+landbouw!N12</f>
        <v>0</v>
      </c>
      <c r="P48" s="719">
        <f>+landbouw!O12</f>
        <v>0</v>
      </c>
      <c r="Q48" s="720">
        <f>+landbouw!P12</f>
        <v>0</v>
      </c>
      <c r="R48" s="762">
        <f ca="1">SUM(C48:Q48)</f>
        <v>14978.759123307154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54155.012470525216</v>
      </c>
      <c r="D53" s="774">
        <f t="shared" ref="D53:Q53" ca="1" si="6">D41+D46+D48</f>
        <v>8377.6953781512602</v>
      </c>
      <c r="E53" s="774">
        <f t="shared" ca="1" si="6"/>
        <v>35614.635145074717</v>
      </c>
      <c r="F53" s="774">
        <f t="shared" si="6"/>
        <v>2419.4735892561798</v>
      </c>
      <c r="G53" s="774">
        <f t="shared" ca="1" si="6"/>
        <v>85362.381902706533</v>
      </c>
      <c r="H53" s="774">
        <f t="shared" si="6"/>
        <v>33534.219546596927</v>
      </c>
      <c r="I53" s="774">
        <f t="shared" si="6"/>
        <v>5016.6174231736477</v>
      </c>
      <c r="J53" s="774">
        <f t="shared" si="6"/>
        <v>0</v>
      </c>
      <c r="K53" s="774">
        <f t="shared" si="6"/>
        <v>2581.4305104405212</v>
      </c>
      <c r="L53" s="774">
        <f t="shared" si="6"/>
        <v>0</v>
      </c>
      <c r="M53" s="774">
        <f t="shared" ca="1" si="6"/>
        <v>0</v>
      </c>
      <c r="N53" s="774">
        <f t="shared" si="6"/>
        <v>0</v>
      </c>
      <c r="O53" s="774">
        <f t="shared" ca="1" si="6"/>
        <v>0</v>
      </c>
      <c r="P53" s="774">
        <f>P41+P46+P48</f>
        <v>0</v>
      </c>
      <c r="Q53" s="775">
        <f t="shared" si="6"/>
        <v>0</v>
      </c>
      <c r="R53" s="776">
        <f ca="1">R41+R46+R48</f>
        <v>227061.46596592502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0.21457085552395336</v>
      </c>
      <c r="D55" s="837">
        <f t="shared" ca="1" si="7"/>
        <v>0.22855086966389504</v>
      </c>
      <c r="E55" s="837">
        <f t="shared" ca="1" si="7"/>
        <v>0.20200000000000001</v>
      </c>
      <c r="F55" s="837">
        <f t="shared" si="7"/>
        <v>0.22700000000000001</v>
      </c>
      <c r="G55" s="837">
        <f t="shared" ca="1" si="7"/>
        <v>0.26700000000000002</v>
      </c>
      <c r="H55" s="837">
        <f t="shared" si="7"/>
        <v>0.26700000000000007</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8218.9311579925525</v>
      </c>
      <c r="C66" s="796">
        <f>'lokale energieproductie'!B6</f>
        <v>8218.9311579925525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25659</v>
      </c>
      <c r="C67" s="795">
        <f>B67*IFERROR(SUM(J67:L67)/SUM(D67:M67),0)</f>
        <v>982.125</v>
      </c>
      <c r="D67" s="827">
        <f>'lokale energieproductie'!C7</f>
        <v>29031.617647058822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1155.4411764705881</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5864.3867647058823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33877.931157992556</v>
      </c>
      <c r="C69" s="804">
        <f>SUM(C64:C68)</f>
        <v>9201.0561579925525</v>
      </c>
      <c r="D69" s="805">
        <f t="shared" ref="D69:M69" si="8">SUM(D67:D68)</f>
        <v>29031.617647058822</v>
      </c>
      <c r="E69" s="805">
        <f t="shared" si="8"/>
        <v>0</v>
      </c>
      <c r="F69" s="805">
        <f t="shared" si="8"/>
        <v>0</v>
      </c>
      <c r="G69" s="805">
        <f t="shared" si="8"/>
        <v>0</v>
      </c>
      <c r="H69" s="805">
        <f t="shared" si="8"/>
        <v>0</v>
      </c>
      <c r="I69" s="805">
        <f t="shared" si="8"/>
        <v>0</v>
      </c>
      <c r="J69" s="805">
        <f t="shared" si="8"/>
        <v>0</v>
      </c>
      <c r="K69" s="805">
        <f t="shared" si="8"/>
        <v>1155.4411764705881</v>
      </c>
      <c r="L69" s="805">
        <f t="shared" si="8"/>
        <v>0</v>
      </c>
      <c r="M69" s="931">
        <f t="shared" si="8"/>
        <v>0</v>
      </c>
      <c r="N69" s="806">
        <v>0</v>
      </c>
      <c r="O69" s="806">
        <f>SUM(O67:O68)</f>
        <v>5864.3867647058823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36655.71428571429</v>
      </c>
      <c r="C78" s="818">
        <f>B78*IFERROR(SUM(I78:L78)/SUM(D78:M78),0)</f>
        <v>1403.0357142857144</v>
      </c>
      <c r="D78" s="833">
        <f>'lokale energieproductie'!C16</f>
        <v>41473.73949579832</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1650.6302521008404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8377.6953781512602</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36655.71428571429</v>
      </c>
      <c r="C81" s="804">
        <f>SUM(C78:C80)</f>
        <v>1403.0357142857144</v>
      </c>
      <c r="D81" s="804">
        <f t="shared" ref="D81:P81" si="9">SUM(D78:D80)</f>
        <v>41473.73949579832</v>
      </c>
      <c r="E81" s="804">
        <f t="shared" si="9"/>
        <v>0</v>
      </c>
      <c r="F81" s="804">
        <f t="shared" si="9"/>
        <v>0</v>
      </c>
      <c r="G81" s="804">
        <f t="shared" si="9"/>
        <v>0</v>
      </c>
      <c r="H81" s="804">
        <f t="shared" si="9"/>
        <v>0</v>
      </c>
      <c r="I81" s="804">
        <f t="shared" si="9"/>
        <v>0</v>
      </c>
      <c r="J81" s="804">
        <f t="shared" si="9"/>
        <v>0</v>
      </c>
      <c r="K81" s="804">
        <f t="shared" si="9"/>
        <v>1650.6302521008404</v>
      </c>
      <c r="L81" s="804">
        <f t="shared" si="9"/>
        <v>0</v>
      </c>
      <c r="M81" s="804">
        <f t="shared" si="9"/>
        <v>0</v>
      </c>
      <c r="N81" s="804">
        <v>0</v>
      </c>
      <c r="O81" s="804">
        <f>SUM(O78:O80)</f>
        <v>8377.6953781512602</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16097.144705326133</v>
      </c>
      <c r="C4" s="479">
        <f>huishoudens!C8</f>
        <v>0</v>
      </c>
      <c r="D4" s="479">
        <f>huishoudens!D8</f>
        <v>27627.844149274457</v>
      </c>
      <c r="E4" s="479">
        <f>huishoudens!E8</f>
        <v>4293.8973382037302</v>
      </c>
      <c r="F4" s="479">
        <f>huishoudens!F8</f>
        <v>18034.037607119433</v>
      </c>
      <c r="G4" s="479">
        <f>huishoudens!G8</f>
        <v>0</v>
      </c>
      <c r="H4" s="479">
        <f>huishoudens!H8</f>
        <v>0</v>
      </c>
      <c r="I4" s="479">
        <f>huishoudens!I8</f>
        <v>0</v>
      </c>
      <c r="J4" s="479">
        <f>huishoudens!J8</f>
        <v>2511.4395759159311</v>
      </c>
      <c r="K4" s="479">
        <f>huishoudens!K8</f>
        <v>0</v>
      </c>
      <c r="L4" s="479">
        <f>huishoudens!L8</f>
        <v>0</v>
      </c>
      <c r="M4" s="479">
        <f>huishoudens!M8</f>
        <v>0</v>
      </c>
      <c r="N4" s="479">
        <f>huishoudens!N8</f>
        <v>9770.1469019909109</v>
      </c>
      <c r="O4" s="479">
        <f>huishoudens!O8</f>
        <v>193.85333333333335</v>
      </c>
      <c r="P4" s="480">
        <f>huishoudens!P8</f>
        <v>266.93333333333334</v>
      </c>
      <c r="Q4" s="481">
        <f>SUM(B4:P4)</f>
        <v>78795.29694449727</v>
      </c>
    </row>
    <row r="5" spans="1:17">
      <c r="A5" s="478" t="s">
        <v>156</v>
      </c>
      <c r="B5" s="479">
        <f ca="1">tertiair!B16</f>
        <v>9334.9264599999988</v>
      </c>
      <c r="C5" s="479">
        <f ca="1">tertiair!C16</f>
        <v>0</v>
      </c>
      <c r="D5" s="479">
        <f ca="1">tertiair!D16</f>
        <v>40788.668786699964</v>
      </c>
      <c r="E5" s="479">
        <f>tertiair!E16</f>
        <v>101.48567634327361</v>
      </c>
      <c r="F5" s="479">
        <f ca="1">tertiair!F16</f>
        <v>1337.9161256524612</v>
      </c>
      <c r="G5" s="479">
        <f>tertiair!G16</f>
        <v>0</v>
      </c>
      <c r="H5" s="479">
        <f>tertiair!H16</f>
        <v>0</v>
      </c>
      <c r="I5" s="479">
        <f>tertiair!I16</f>
        <v>0</v>
      </c>
      <c r="J5" s="479">
        <f>tertiair!J16</f>
        <v>0</v>
      </c>
      <c r="K5" s="479">
        <f>tertiair!K16</f>
        <v>0</v>
      </c>
      <c r="L5" s="479">
        <f ca="1">tertiair!L16</f>
        <v>0</v>
      </c>
      <c r="M5" s="479">
        <f>tertiair!M16</f>
        <v>0</v>
      </c>
      <c r="N5" s="479">
        <f ca="1">tertiair!N16</f>
        <v>568.39723223761587</v>
      </c>
      <c r="O5" s="479">
        <f>tertiair!O16</f>
        <v>3.1266666666666669</v>
      </c>
      <c r="P5" s="480">
        <f>tertiair!P16</f>
        <v>38.133333333333333</v>
      </c>
      <c r="Q5" s="478">
        <f t="shared" ref="Q5:Q13" ca="1" si="0">SUM(B5:P5)</f>
        <v>52172.654280933304</v>
      </c>
    </row>
    <row r="6" spans="1:17">
      <c r="A6" s="478" t="s">
        <v>194</v>
      </c>
      <c r="B6" s="479">
        <f>'openbare verlichting'!B8</f>
        <v>672.32299999999998</v>
      </c>
      <c r="C6" s="479"/>
      <c r="D6" s="479"/>
      <c r="E6" s="479"/>
      <c r="F6" s="479"/>
      <c r="G6" s="479"/>
      <c r="H6" s="479"/>
      <c r="I6" s="479"/>
      <c r="J6" s="479"/>
      <c r="K6" s="479"/>
      <c r="L6" s="479"/>
      <c r="M6" s="479"/>
      <c r="N6" s="479"/>
      <c r="O6" s="479"/>
      <c r="P6" s="480"/>
      <c r="Q6" s="478">
        <f t="shared" si="0"/>
        <v>672.32299999999998</v>
      </c>
    </row>
    <row r="7" spans="1:17">
      <c r="A7" s="478" t="s">
        <v>112</v>
      </c>
      <c r="B7" s="479">
        <f>landbouw!B8</f>
        <v>7411.2179999999998</v>
      </c>
      <c r="C7" s="479">
        <f>landbouw!C8</f>
        <v>34785</v>
      </c>
      <c r="D7" s="479">
        <f>landbouw!D8</f>
        <v>0</v>
      </c>
      <c r="E7" s="479">
        <f>landbouw!E8</f>
        <v>68.645805219433555</v>
      </c>
      <c r="F7" s="479">
        <f>landbouw!F8</f>
        <v>18803.671901580146</v>
      </c>
      <c r="G7" s="479">
        <f>landbouw!G8</f>
        <v>0</v>
      </c>
      <c r="H7" s="479">
        <f>landbouw!H8</f>
        <v>0</v>
      </c>
      <c r="I7" s="479">
        <f>landbouw!I8</f>
        <v>0</v>
      </c>
      <c r="J7" s="479">
        <f>landbouw!J8</f>
        <v>1136.2224288342754</v>
      </c>
      <c r="K7" s="479">
        <f>landbouw!K8</f>
        <v>0</v>
      </c>
      <c r="L7" s="479">
        <f>landbouw!L8</f>
        <v>0</v>
      </c>
      <c r="M7" s="479">
        <f>landbouw!M8</f>
        <v>0</v>
      </c>
      <c r="N7" s="479">
        <f>landbouw!N8</f>
        <v>0</v>
      </c>
      <c r="O7" s="479">
        <f>landbouw!O8</f>
        <v>0</v>
      </c>
      <c r="P7" s="480">
        <f>landbouw!P8</f>
        <v>0</v>
      </c>
      <c r="Q7" s="478">
        <f t="shared" si="0"/>
        <v>62204.758135633856</v>
      </c>
    </row>
    <row r="8" spans="1:17">
      <c r="A8" s="478" t="s">
        <v>650</v>
      </c>
      <c r="B8" s="479">
        <f>industrie!B18</f>
        <v>218851.86470000001</v>
      </c>
      <c r="C8" s="479">
        <f>industrie!C18</f>
        <v>1870.7142857142858</v>
      </c>
      <c r="D8" s="479">
        <f>industrie!D18</f>
        <v>107841.51952256789</v>
      </c>
      <c r="E8" s="479">
        <f>industrie!E18</f>
        <v>5819.1168396803223</v>
      </c>
      <c r="F8" s="479">
        <f>industrie!F18</f>
        <v>281533.66988140275</v>
      </c>
      <c r="G8" s="479">
        <f>industrie!G18</f>
        <v>0</v>
      </c>
      <c r="H8" s="479">
        <f>industrie!H18</f>
        <v>0</v>
      </c>
      <c r="I8" s="479">
        <f>industrie!I18</f>
        <v>0</v>
      </c>
      <c r="J8" s="479">
        <f>industrie!J18</f>
        <v>3644.5145784151077</v>
      </c>
      <c r="K8" s="479">
        <f>industrie!K18</f>
        <v>0</v>
      </c>
      <c r="L8" s="479">
        <f>industrie!L18</f>
        <v>0</v>
      </c>
      <c r="M8" s="479">
        <f>industrie!M18</f>
        <v>0</v>
      </c>
      <c r="N8" s="479">
        <f>industrie!N18</f>
        <v>85329.717719761436</v>
      </c>
      <c r="O8" s="479">
        <f>industrie!O18</f>
        <v>0</v>
      </c>
      <c r="P8" s="480">
        <f>industrie!P18</f>
        <v>0</v>
      </c>
      <c r="Q8" s="478">
        <f t="shared" si="0"/>
        <v>704891.1175275417</v>
      </c>
    </row>
    <row r="9" spans="1:17" s="484" customFormat="1">
      <c r="A9" s="482" t="s">
        <v>571</v>
      </c>
      <c r="B9" s="483">
        <f>transport!B14</f>
        <v>20.072871034448859</v>
      </c>
      <c r="C9" s="483"/>
      <c r="D9" s="483">
        <f>transport!D14</f>
        <v>52.042517075071451</v>
      </c>
      <c r="E9" s="483">
        <f>transport!E14</f>
        <v>375.32830203420866</v>
      </c>
      <c r="F9" s="483"/>
      <c r="G9" s="483">
        <f>transport!G14</f>
        <v>124658.43293624383</v>
      </c>
      <c r="H9" s="483">
        <f>transport!H14</f>
        <v>20147.05792439216</v>
      </c>
      <c r="I9" s="483"/>
      <c r="J9" s="483"/>
      <c r="K9" s="483"/>
      <c r="L9" s="483"/>
      <c r="M9" s="483">
        <f>transport!M14</f>
        <v>7831.1186266264504</v>
      </c>
      <c r="N9" s="483"/>
      <c r="O9" s="483"/>
      <c r="P9" s="483"/>
      <c r="Q9" s="482">
        <f>SUM(B9:P9)</f>
        <v>153084.05317740617</v>
      </c>
    </row>
    <row r="10" spans="1:17">
      <c r="A10" s="478" t="s">
        <v>561</v>
      </c>
      <c r="B10" s="479">
        <f>transport!B54</f>
        <v>0</v>
      </c>
      <c r="C10" s="479"/>
      <c r="D10" s="479">
        <f>transport!D54</f>
        <v>0</v>
      </c>
      <c r="E10" s="479"/>
      <c r="F10" s="479"/>
      <c r="G10" s="479">
        <f>transport!G54</f>
        <v>937.89495363227627</v>
      </c>
      <c r="H10" s="479"/>
      <c r="I10" s="479"/>
      <c r="J10" s="479"/>
      <c r="K10" s="479"/>
      <c r="L10" s="479"/>
      <c r="M10" s="479">
        <f>transport!M54</f>
        <v>53.48541509416286</v>
      </c>
      <c r="N10" s="479"/>
      <c r="O10" s="479"/>
      <c r="P10" s="480"/>
      <c r="Q10" s="478">
        <f t="shared" si="0"/>
        <v>991.38036872643909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252387.54973636058</v>
      </c>
      <c r="C14" s="489">
        <f t="shared" ref="C14:Q14" ca="1" si="1">SUM(C4:C13)</f>
        <v>36655.714285714283</v>
      </c>
      <c r="D14" s="489">
        <f t="shared" ca="1" si="1"/>
        <v>176310.0749756174</v>
      </c>
      <c r="E14" s="489">
        <f t="shared" si="1"/>
        <v>10658.473961480968</v>
      </c>
      <c r="F14" s="489">
        <f t="shared" ca="1" si="1"/>
        <v>319709.29551575478</v>
      </c>
      <c r="G14" s="489">
        <f t="shared" si="1"/>
        <v>125596.32788987611</v>
      </c>
      <c r="H14" s="489">
        <f t="shared" si="1"/>
        <v>20147.05792439216</v>
      </c>
      <c r="I14" s="489">
        <f t="shared" si="1"/>
        <v>0</v>
      </c>
      <c r="J14" s="489">
        <f t="shared" si="1"/>
        <v>7292.1765831653138</v>
      </c>
      <c r="K14" s="489">
        <f t="shared" si="1"/>
        <v>0</v>
      </c>
      <c r="L14" s="489">
        <f t="shared" ca="1" si="1"/>
        <v>0</v>
      </c>
      <c r="M14" s="489">
        <f t="shared" si="1"/>
        <v>7884.6040417206132</v>
      </c>
      <c r="N14" s="489">
        <f t="shared" ca="1" si="1"/>
        <v>95668.26185398997</v>
      </c>
      <c r="O14" s="489">
        <f t="shared" si="1"/>
        <v>196.98000000000002</v>
      </c>
      <c r="P14" s="490">
        <f t="shared" si="1"/>
        <v>305.06666666666666</v>
      </c>
      <c r="Q14" s="490">
        <f t="shared" ca="1" si="1"/>
        <v>1052811.5834347387</v>
      </c>
    </row>
    <row r="16" spans="1:17">
      <c r="A16" s="492" t="s">
        <v>566</v>
      </c>
      <c r="B16" s="842">
        <f ca="1">huishoudens!B10</f>
        <v>0.21457085552395336</v>
      </c>
      <c r="C16" s="842">
        <f ca="1">huishoudens!C10</f>
        <v>0.22855086966389504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3453.9781109147043</v>
      </c>
      <c r="C21" s="479">
        <f t="shared" ref="C21:C28" ca="1" si="3">C4*$C$16</f>
        <v>0</v>
      </c>
      <c r="D21" s="479">
        <f t="shared" ref="D21:D30" si="4">D4*$D$16</f>
        <v>5580.8245181534403</v>
      </c>
      <c r="E21" s="479">
        <f t="shared" ref="E21:E30" si="5">E4*$E$16</f>
        <v>974.71469577224684</v>
      </c>
      <c r="F21" s="479">
        <f t="shared" ref="F21:F28" si="6">F4*$F$16</f>
        <v>4815.0880411008893</v>
      </c>
      <c r="G21" s="479">
        <f t="shared" ref="G21:G30" si="7">G4*$G$16</f>
        <v>0</v>
      </c>
      <c r="H21" s="479">
        <f t="shared" ref="H21:H30" si="8">H4*$H$16</f>
        <v>0</v>
      </c>
      <c r="I21" s="479">
        <f t="shared" ref="I21:I28" si="9">I4*$I$16</f>
        <v>0</v>
      </c>
      <c r="J21" s="479">
        <f t="shared" ref="J21:J28" si="10">J4*$J$16</f>
        <v>889.04960987423954</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15713.65497581552</v>
      </c>
    </row>
    <row r="22" spans="1:17">
      <c r="A22" s="478" t="s">
        <v>156</v>
      </c>
      <c r="B22" s="479">
        <f t="shared" ca="1" si="2"/>
        <v>2003.003156775389</v>
      </c>
      <c r="C22" s="479">
        <f t="shared" ca="1" si="3"/>
        <v>0</v>
      </c>
      <c r="D22" s="479">
        <f t="shared" ca="1" si="4"/>
        <v>8239.3110949133934</v>
      </c>
      <c r="E22" s="479">
        <f t="shared" si="5"/>
        <v>23.037248529923112</v>
      </c>
      <c r="F22" s="479">
        <f t="shared" ca="1" si="6"/>
        <v>357.22360554920715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10622.575105767912</v>
      </c>
    </row>
    <row r="23" spans="1:17">
      <c r="A23" s="478" t="s">
        <v>194</v>
      </c>
      <c r="B23" s="479">
        <f t="shared" ca="1" si="2"/>
        <v>144.2609212984309</v>
      </c>
      <c r="C23" s="479"/>
      <c r="D23" s="479"/>
      <c r="E23" s="479"/>
      <c r="F23" s="479"/>
      <c r="G23" s="479"/>
      <c r="H23" s="479"/>
      <c r="I23" s="479"/>
      <c r="J23" s="479"/>
      <c r="K23" s="479"/>
      <c r="L23" s="479"/>
      <c r="M23" s="479"/>
      <c r="N23" s="479"/>
      <c r="O23" s="479"/>
      <c r="P23" s="480"/>
      <c r="Q23" s="478">
        <f t="shared" ca="1" si="17"/>
        <v>144.2609212984309</v>
      </c>
    </row>
    <row r="24" spans="1:17">
      <c r="A24" s="478" t="s">
        <v>112</v>
      </c>
      <c r="B24" s="479">
        <f t="shared" ca="1" si="2"/>
        <v>1590.2313867345226</v>
      </c>
      <c r="C24" s="479">
        <f t="shared" ca="1" si="3"/>
        <v>7950.1420012585886</v>
      </c>
      <c r="D24" s="479">
        <f t="shared" si="4"/>
        <v>0</v>
      </c>
      <c r="E24" s="479">
        <f t="shared" si="5"/>
        <v>15.582597784811417</v>
      </c>
      <c r="F24" s="479">
        <f t="shared" si="6"/>
        <v>5020.5803977218993</v>
      </c>
      <c r="G24" s="479">
        <f t="shared" si="7"/>
        <v>0</v>
      </c>
      <c r="H24" s="479">
        <f t="shared" si="8"/>
        <v>0</v>
      </c>
      <c r="I24" s="479">
        <f t="shared" si="9"/>
        <v>0</v>
      </c>
      <c r="J24" s="479">
        <f t="shared" si="10"/>
        <v>402.22273980733348</v>
      </c>
      <c r="K24" s="479">
        <f t="shared" si="11"/>
        <v>0</v>
      </c>
      <c r="L24" s="479">
        <f t="shared" si="12"/>
        <v>0</v>
      </c>
      <c r="M24" s="479">
        <f t="shared" si="13"/>
        <v>0</v>
      </c>
      <c r="N24" s="479">
        <f t="shared" si="14"/>
        <v>0</v>
      </c>
      <c r="O24" s="479">
        <f t="shared" si="15"/>
        <v>0</v>
      </c>
      <c r="P24" s="480">
        <f t="shared" si="16"/>
        <v>0</v>
      </c>
      <c r="Q24" s="478">
        <f t="shared" ca="1" si="17"/>
        <v>14978.759123307154</v>
      </c>
    </row>
    <row r="25" spans="1:17">
      <c r="A25" s="478" t="s">
        <v>650</v>
      </c>
      <c r="B25" s="479">
        <f t="shared" ca="1" si="2"/>
        <v>46959.231841691486</v>
      </c>
      <c r="C25" s="479">
        <f t="shared" ca="1" si="3"/>
        <v>427.55337689267225</v>
      </c>
      <c r="D25" s="479">
        <f t="shared" si="4"/>
        <v>21783.986943558717</v>
      </c>
      <c r="E25" s="479">
        <f t="shared" si="5"/>
        <v>1320.9395226074332</v>
      </c>
      <c r="F25" s="479">
        <f t="shared" si="6"/>
        <v>75169.489858334535</v>
      </c>
      <c r="G25" s="479">
        <f t="shared" si="7"/>
        <v>0</v>
      </c>
      <c r="H25" s="479">
        <f t="shared" si="8"/>
        <v>0</v>
      </c>
      <c r="I25" s="479">
        <f t="shared" si="9"/>
        <v>0</v>
      </c>
      <c r="J25" s="479">
        <f t="shared" si="10"/>
        <v>1290.158160758948</v>
      </c>
      <c r="K25" s="479">
        <f t="shared" si="11"/>
        <v>0</v>
      </c>
      <c r="L25" s="479">
        <f t="shared" si="12"/>
        <v>0</v>
      </c>
      <c r="M25" s="479">
        <f t="shared" si="13"/>
        <v>0</v>
      </c>
      <c r="N25" s="479">
        <f t="shared" si="14"/>
        <v>0</v>
      </c>
      <c r="O25" s="479">
        <f t="shared" si="15"/>
        <v>0</v>
      </c>
      <c r="P25" s="480">
        <f t="shared" si="16"/>
        <v>0</v>
      </c>
      <c r="Q25" s="478">
        <f t="shared" ca="1" si="17"/>
        <v>146951.3597038438</v>
      </c>
    </row>
    <row r="26" spans="1:17" s="484" customFormat="1">
      <c r="A26" s="482" t="s">
        <v>571</v>
      </c>
      <c r="B26" s="836">
        <f t="shared" ca="1" si="2"/>
        <v>4.3070531106836745</v>
      </c>
      <c r="C26" s="483"/>
      <c r="D26" s="483">
        <f t="shared" si="4"/>
        <v>10.512588449164435</v>
      </c>
      <c r="E26" s="483">
        <f t="shared" si="5"/>
        <v>85.199524561765372</v>
      </c>
      <c r="F26" s="483"/>
      <c r="G26" s="483">
        <f t="shared" si="7"/>
        <v>33283.801593977107</v>
      </c>
      <c r="H26" s="483">
        <f t="shared" si="8"/>
        <v>5016.6174231736477</v>
      </c>
      <c r="I26" s="483"/>
      <c r="J26" s="483"/>
      <c r="K26" s="483"/>
      <c r="L26" s="483"/>
      <c r="M26" s="483">
        <f t="shared" si="13"/>
        <v>0</v>
      </c>
      <c r="N26" s="483"/>
      <c r="O26" s="483"/>
      <c r="P26" s="494"/>
      <c r="Q26" s="482">
        <f t="shared" ca="1" si="17"/>
        <v>38400.438183272374</v>
      </c>
    </row>
    <row r="27" spans="1:17">
      <c r="A27" s="478" t="s">
        <v>561</v>
      </c>
      <c r="B27" s="479">
        <f t="shared" ca="1" si="2"/>
        <v>0</v>
      </c>
      <c r="C27" s="479"/>
      <c r="D27" s="483">
        <f t="shared" si="4"/>
        <v>0</v>
      </c>
      <c r="E27" s="479"/>
      <c r="F27" s="479"/>
      <c r="G27" s="479">
        <f t="shared" si="7"/>
        <v>250.41795261981778</v>
      </c>
      <c r="H27" s="479"/>
      <c r="I27" s="479"/>
      <c r="J27" s="479"/>
      <c r="K27" s="479"/>
      <c r="L27" s="479"/>
      <c r="M27" s="479">
        <f t="shared" si="13"/>
        <v>0</v>
      </c>
      <c r="N27" s="479"/>
      <c r="O27" s="479"/>
      <c r="P27" s="480"/>
      <c r="Q27" s="478">
        <f t="shared" ca="1" si="17"/>
        <v>250.41795261981778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54155.012470525216</v>
      </c>
      <c r="C31" s="489">
        <f t="shared" ca="1" si="18"/>
        <v>8377.6953781512602</v>
      </c>
      <c r="D31" s="489">
        <f t="shared" ca="1" si="18"/>
        <v>35614.635145074717</v>
      </c>
      <c r="E31" s="489">
        <f t="shared" si="18"/>
        <v>2419.4735892561803</v>
      </c>
      <c r="F31" s="489">
        <f t="shared" ca="1" si="18"/>
        <v>85362.381902706533</v>
      </c>
      <c r="G31" s="489">
        <f t="shared" si="18"/>
        <v>33534.219546596927</v>
      </c>
      <c r="H31" s="489">
        <f t="shared" si="18"/>
        <v>5016.6174231736477</v>
      </c>
      <c r="I31" s="489">
        <f t="shared" si="18"/>
        <v>0</v>
      </c>
      <c r="J31" s="489">
        <f t="shared" si="18"/>
        <v>2581.4305104405212</v>
      </c>
      <c r="K31" s="489">
        <f t="shared" si="18"/>
        <v>0</v>
      </c>
      <c r="L31" s="489">
        <f t="shared" ca="1" si="18"/>
        <v>0</v>
      </c>
      <c r="M31" s="489">
        <f t="shared" si="18"/>
        <v>0</v>
      </c>
      <c r="N31" s="489">
        <f t="shared" ca="1" si="18"/>
        <v>0</v>
      </c>
      <c r="O31" s="489">
        <f t="shared" si="18"/>
        <v>0</v>
      </c>
      <c r="P31" s="490">
        <f t="shared" si="18"/>
        <v>0</v>
      </c>
      <c r="Q31" s="490">
        <f t="shared" ca="1" si="18"/>
        <v>227061.46596592499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0.21457085552395336</v>
      </c>
      <c r="C17" s="529">
        <f ca="1">'EF ele_warmte'!B22</f>
        <v>0.22855086966389504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0.21457085552395336</v>
      </c>
      <c r="C17" s="529">
        <f ca="1">'EF ele_warmte'!B22</f>
        <v>0.22855086966389504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0.21457085552395336</v>
      </c>
      <c r="C29" s="530">
        <f ca="1">'EF ele_warmte'!B22</f>
        <v>0.22855086966389504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2019-01-01T21:32:57Z</dcterms:modified>
</cp:coreProperties>
</file>