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N20"/>
  <c r="N23" s="1"/>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C29" i="20" l="1"/>
  <c r="C17" i="19"/>
  <c r="C19" s="1"/>
  <c r="D35" i="14" s="1"/>
  <c r="C20" i="16"/>
  <c r="C22" s="1"/>
  <c r="D39" i="14" s="1"/>
  <c r="C56" i="22"/>
  <c r="C58" s="1"/>
  <c r="D44" i="14" s="1"/>
  <c r="D46" s="1"/>
  <c r="C10" i="13"/>
  <c r="C16" i="48" s="1"/>
  <c r="C10" i="17"/>
  <c r="C12" s="1"/>
  <c r="D48" i="14" s="1"/>
  <c r="C17" i="49"/>
  <c r="C18" i="15"/>
  <c r="C20" s="1"/>
  <c r="D36" i="14" s="1"/>
  <c r="C16" i="22"/>
  <c r="O13" i="14"/>
  <c r="O15" s="1"/>
  <c r="Q5" i="48"/>
  <c r="K13" i="14"/>
  <c r="E31" i="48"/>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<sst xmlns="http://schemas.openxmlformats.org/spreadsheetml/2006/main" count="2191" uniqueCount="897">
  <si>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</si>
  <si>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</si>
  <si>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</si>
  <si>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</si>
  <si>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</si>
  <si>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</si>
  <si>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</si>
  <si>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</si>
  <si>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</si>
  <si>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</si>
  <si>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</si>
  <si>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</si>
  <si>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</si>
  <si>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</si>
  <si>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</si>
  <si>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</si>
  <si>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</si>
  <si>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</si>
  <si>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</si>
  <si>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</si>
  <si>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</si>
  <si>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</si>
  <si>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</si>
  <si>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</si>
  <si>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</si>
  <si>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</si>
  <si>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</si>
  <si>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</si>
  <si>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</si>
  <si>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</si>
  <si>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</si>
  <si>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</si>
  <si>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</si>
  <si>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</si>
  <si>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</si>
  <si>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</si>
  <si>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</si>
  <si>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</si>
  <si>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</si>
  <si>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</si>
  <si>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</si>
  <si>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</si>
  <si>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</si>
  <si>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</si>
  <si>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</si>
  <si>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</si>
  <si>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</si>
  <si>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</si>
  <si>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</si>
  <si>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</si>
  <si>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</si>
  <si>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</si>
  <si>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</si>
  <si>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</si>
  <si>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</si>
  <si>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</si>
  <si>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</si>
  <si>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</si>
  <si>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</si>
  <si>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</si>
  <si>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</si>
  <si>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</si>
  <si>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</si>
  <si>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</si>
  <si>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</si>
  <si>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</si>
  <si>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</si>
  <si>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</si>
  <si>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</si>
  <si>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</si>
  <si>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</si>
  <si>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</si>
  <si>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</si>
  <si>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</si>
  <si>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</si>
  <si>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</si>
  <si>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</si>
  <si>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</si>
  <si>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</si>
  <si>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</si>
  <si>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</si>
  <si>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</si>
  <si>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</si>
  <si>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</si>
  <si>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</si>
  <si>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</si>
  <si>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</si>
  <si>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</si>
  <si>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</si>
  <si>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</si>
  <si>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</si>
  <si>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</si>
  <si>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</si>
  <si>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</si>
  <si>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</si>
  <si>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</si>
  <si>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</si>
  <si>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</si>
  <si>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</si>
  <si>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</si>
  <si>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</si>
  <si>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</si>
  <si>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</si>
  <si>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</si>
  <si>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</si>
  <si>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</si>
  <si>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</si>
  <si>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</si>
  <si>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</si>
  <si>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</si>
  <si>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</si>
  <si>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</si>
  <si>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</si>
  <si>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</si>
  <si>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</si>
  <si>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</si>
  <si>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</si>
  <si>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</si>
  <si>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</si>
  <si>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</si>
  <si>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</si>
  <si>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</si>
  <si>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</si>
  <si>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</si>
  <si>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</si>
  <si>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</si>
  <si>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</si>
  <si>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</si>
  <si>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</si>
  <si>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</si>
  <si>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</si>
  <si>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</si>
  <si>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</si>
  <si>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</si>
  <si>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</si>
  <si>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</si>
  <si>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</si>
  <si>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</si>
  <si>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</si>
  <si>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</si>
  <si>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</si>
  <si>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</si>
  <si>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</si>
  <si>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</si>
  <si>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</si>
  <si>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</si>
  <si>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</si>
  <si>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</si>
  <si>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</si>
  <si>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</si>
  <si>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</si>
  <si>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</si>
  <si>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</si>
  <si>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</si>
  <si>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</si>
  <si>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</si>
  <si>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</si>
  <si>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</si>
  <si>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</si>
  <si>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</si>
  <si>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</si>
  <si>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</si>
  <si>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</si>
  <si>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</si>
  <si>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</si>
  <si>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</si>
  <si>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</si>
  <si>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</si>
  <si>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</si>
  <si>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</si>
  <si>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</si>
  <si>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</si>
  <si>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</si>
  <si>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</si>
  <si>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</si>
  <si>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</si>
  <si>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</si>
  <si>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</si>
  <si>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</si>
  <si>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</si>
  <si>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</si>
  <si>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</si>
  <si>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</si>
  <si>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</si>
  <si>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</si>
  <si>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</si>
  <si>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</si>
  <si>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</si>
  <si>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</si>
  <si>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</si>
  <si>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</si>
  <si>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</si>
  <si>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</si>
  <si>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</si>
  <si>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</si>
  <si>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</si>
  <si>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</si>
  <si>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</si>
  <si>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</si>
  <si>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</si>
  <si>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</si>
  <si>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</si>
  <si>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</si>
  <si>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</si>
  <si>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</si>
  <si>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</si>
  <si>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</si>
  <si>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</si>
  <si>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</si>
  <si>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</si>
  <si>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</si>
  <si>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</si>
  <si>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</si>
  <si>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</si>
  <si>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</si>
  <si>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</si>
  <si>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</si>
  <si>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</si>
  <si>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</si>
  <si>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</si>
  <si>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</si>
  <si>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</si>
  <si>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</si>
  <si>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</si>
  <si>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</si>
  <si>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</si>
  <si>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</si>
  <si>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</si>
  <si>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</si>
  <si>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</si>
  <si>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</si>
  <si>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</si>
  <si>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</si>
  <si>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</si>
  <si>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</si>
  <si>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</si>
  <si>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</si>
  <si>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</si>
  <si>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</si>
  <si>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</si>
  <si>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</si>
  <si>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</si>
  <si>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</si>
  <si>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</si>
  <si>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</si>
  <si>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</si>
  <si>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</si>
  <si>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</si>
  <si>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</si>
  <si>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</si>
  <si>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</si>
  <si>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</si>
  <si>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</si>
  <si>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</si>
  <si>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</si>
  <si>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</si>
  <si>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</si>
  <si>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</si>
  <si>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</si>
  <si>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</si>
  <si>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</si>
  <si>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</si>
  <si>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</si>
  <si>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</si>
  <si>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</si>
  <si>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</si>
  <si>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</si>
  <si>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</si>
  <si>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</si>
  <si>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</si>
  <si>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</si>
  <si>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</si>
  <si>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</si>
  <si>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</si>
  <si>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</si>
  <si>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</si>
  <si>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</si>
  <si>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</si>
  <si>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</si>
  <si>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</si>
  <si>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</si>
  <si>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</si>
  <si>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</si>
  <si>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</si>
  <si>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</si>
  <si>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</si>
  <si>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</si>
  <si>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</si>
  <si>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</si>
  <si>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</si>
  <si>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</si>
  <si>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</si>
  <si>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</si>
  <si>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</si>
  <si>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</si>
  <si>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</si>
  <si>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</si>
  <si>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</si>
  <si>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</si>
  <si>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</si>
  <si>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</si>
  <si>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</si>
  <si>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</si>
  <si>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</si>
  <si>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</si>
  <si>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</si>
  <si>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</si>
  <si>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</si>
  <si>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</si>
  <si>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</si>
  <si>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</si>
  <si>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</si>
  <si>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</si>
  <si>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</si>
  <si>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</si>
  <si>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</si>
  <si>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</si>
  <si>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</si>
  <si>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</si>
  <si>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</si>
  <si>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</si>
  <si>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</si>
  <si>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</si>
  <si>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</si>
  <si>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</si>
  <si>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</si>
  <si>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</si>
  <si>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</si>
  <si>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</si>
  <si>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</si>
  <si>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</si>
  <si>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</si>
  <si>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</si>
  <si>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</si>
  <si>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</si>
  <si>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</si>
  <si>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</si>
  <si>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</si>
  <si>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</si>
  <si>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</si>
  <si>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</si>
  <si>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</si>
  <si>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</si>
  <si>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</si>
  <si>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</si>
  <si>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</si>
  <si>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</si>
  <si>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</si>
  <si>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</si>
  <si>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</si>
  <si>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</si>
  <si>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</si>
  <si>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</si>
  <si>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</si>
  <si>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</si>
  <si>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</si>
  <si>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</si>
  <si>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</si>
  <si>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</si>
  <si>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</si>
  <si>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</si>
  <si>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</si>
  <si>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</si>
  <si>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</si>
  <si>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</si>
  <si>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</si>
  <si>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</si>
  <si>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</si>
  <si>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</si>
  <si>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</si>
  <si>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</si>
  <si>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</si>
  <si>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</si>
  <si>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</si>
  <si>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</si>
  <si>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</si>
  <si>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</si>
  <si>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</si>
  <si>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</si>
  <si>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</si>
  <si>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</si>
  <si>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</si>
  <si>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</si>
  <si>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</si>
  <si>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</si>
  <si>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</si>
  <si>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</si>
  <si>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</si>
  <si>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</si>
  <si>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</si>
  <si>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</si>
  <si>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</si>
  <si>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</si>
  <si>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</si>
  <si>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</si>
  <si>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</si>
  <si>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</si>
  <si>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</si>
  <si>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</si>
  <si>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</si>
  <si>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</si>
  <si>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</si>
  <si>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</si>
  <si>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</si>
  <si>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</si>
  <si>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</si>
  <si>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</si>
  <si>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</si>
  <si>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</si>
  <si>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</si>
  <si>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</si>
  <si>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</si>
  <si>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</si>
  <si>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</si>
  <si>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</si>
  <si>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</si>
  <si>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</si>
  <si>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</si>
  <si>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</si>
  <si>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</si>
  <si>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</si>
  <si>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</si>
  <si>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</si>
  <si>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</si>
  <si>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</si>
  <si>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</si>
  <si>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</si>
  <si>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</si>
  <si>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</si>
  <si>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</si>
  <si>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</si>
  <si>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</si>
  <si>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</si>
  <si>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</si>
  <si>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</si>
  <si>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</si>
  <si>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</si>
  <si>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</si>
  <si>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</si>
  <si>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</si>
  <si>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</si>
  <si>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</si>
  <si>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</si>
  <si>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</si>
  <si>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</si>
  <si>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</si>
  <si>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</si>
  <si>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</si>
  <si>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</si>
  <si>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</si>
  <si>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</si>
  <si>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</si>
  <si>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</si>
  <si>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</si>
  <si>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</si>
  <si>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</si>
  <si>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</si>
  <si>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</si>
  <si>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</si>
  <si>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</si>
  <si>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</si>
  <si>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</si>
  <si>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</si>
  <si>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</si>
  <si>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</si>
  <si>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</si>
  <si>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</si>
  <si>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</si>
  <si>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</si>
  <si>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</si>
  <si>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</si>
  <si>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</si>
  <si>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</si>
  <si>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</si>
  <si>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</si>
  <si>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</si>
  <si>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</si>
  <si>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</si>
  <si>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</si>
  <si>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</si>
  <si>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</si>
  <si>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</si>
  <si>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</si>
  <si>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</si>
  <si>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</si>
  <si>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</si>
  <si>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</si>
  <si>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</si>
  <si>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</si>
  <si>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</si>
  <si>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</si>
  <si>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</si>
  <si>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</si>
  <si>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</si>
  <si>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</si>
  <si>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</si>
  <si>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</si>
  <si>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</si>
  <si>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</si>
  <si>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</si>
  <si>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</si>
  <si>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</si>
  <si>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</si>
  <si>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</si>
  <si>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</si>
  <si>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</si>
  <si>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</si>
  <si>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</si>
  <si>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</si>
  <si>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</si>
  <si>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</si>
  <si>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</si>
  <si>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</si>
  <si>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</si>
  <si>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</si>
  <si>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</si>
  <si>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</si>
  <si>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</si>
  <si>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</si>
  <si>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</si>
  <si>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</si>
  <si>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</si>
  <si>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</si>
  <si>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</si>
  <si>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</si>
  <si>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</si>
  <si>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</si>
  <si>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</si>
  <si>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</si>
  <si>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</si>
  <si>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</si>
  <si>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</si>
  <si>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</si>
  <si>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</si>
  <si>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</si>
  <si>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</si>
  <si>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</si>
  <si>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</si>
  <si>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</si>
  <si>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</si>
  <si>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</si>
  <si>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</si>
  <si>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</si>
  <si>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</si>
  <si>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</si>
  <si>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</si>
  <si>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</si>
  <si>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</si>
  <si>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</si>
  <si>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</si>
  <si>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</si>
  <si>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</si>
  <si>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</si>
  <si>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</si>
  <si>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</si>
  <si>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</si>
  <si>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</si>
  <si>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</si>
  <si>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</si>
  <si>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</si>
  <si>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</si>
  <si>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</si>
  <si>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</si>
  <si>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</si>
  <si>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</si>
  <si>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</si>
  <si>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</si>
  <si>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</si>
  <si>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</si>
  <si>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</si>
  <si>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</si>
  <si>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</si>
  <si>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</si>
  <si>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</si>
  <si>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</si>
  <si>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</si>
  <si>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</si>
  <si>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</si>
  <si>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</si>
  <si>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</si>
  <si>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</si>
  <si>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</si>
  <si>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</si>
  <si>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</si>
  <si>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</si>
  <si>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</si>
  <si>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</si>
  <si>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</si>
  <si>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</si>
  <si>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</si>
  <si>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</si>
  <si>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</si>
  <si>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</si>
  <si>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</si>
  <si>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</si>
  <si>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</si>
  <si>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</si>
  <si>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</si>
  <si>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</si>
  <si>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</si>
  <si>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</si>
  <si>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</si>
  <si>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</si>
  <si>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</si>
  <si>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</si>
  <si>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</si>
  <si>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</si>
  <si>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</si>
  <si>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</si>
  <si>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</si>
  <si>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</si>
  <si>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</si>
  <si>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</si>
  <si>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</si>
  <si>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</si>
  <si>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</si>
  <si>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</si>
  <si>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</si>
  <si>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</si>
  <si>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</si>
  <si>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</si>
  <si>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</si>
  <si>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</si>
  <si>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</si>
  <si>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</si>
  <si>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</si>
  <si>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</si>
  <si>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</si>
  <si>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</si>
  <si>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</si>
  <si>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</si>
  <si>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</si>
  <si>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</si>
  <si>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</si>
  <si>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</si>
  <si>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</si>
  <si>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</si>
  <si>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</si>
  <si>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</si>
  <si>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</si>
  <si>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</si>
  <si>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</si>
  <si>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</si>
  <si>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</si>
  <si>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</si>
  <si>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</si>
  <si>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</si>
  <si>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</si>
  <si>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</si>
  <si>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</si>
  <si>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</si>
  <si>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</si>
  <si>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</si>
  <si>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</si>
  <si>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</si>
  <si>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</si>
  <si>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</si>
  <si>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</si>
  <si>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</si>
  <si>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</si>
  <si>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</si>
  <si>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</si>
  <si>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</si>
  <si>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</si>
  <si>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</si>
  <si>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</si>
  <si>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</si>
  <si>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</si>
  <si>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</si>
  <si>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</si>
  <si>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</si>
  <si>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</si>
  <si>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</si>
  <si>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</si>
  <si>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</si>
  <si>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</si>
  <si>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</si>
  <si>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</si>
  <si>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</si>
  <si>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</si>
  <si>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</si>
  <si>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</si>
  <si>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</si>
  <si>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</si>
  <si>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</si>
  <si>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</si>
  <si>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</si>
  <si>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</si>
  <si>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</si>
  <si>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</si>
  <si>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</si>
  <si>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</si>
  <si>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</si>
  <si>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</si>
  <si>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</si>
  <si>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</si>
  <si>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</si>
  <si>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</si>
  <si>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</si>
  <si>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</si>
  <si>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</si>
  <si>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</si>
  <si>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</si>
  <si>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</si>
  <si>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</si>
  <si>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</si>
  <si>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</si>
  <si>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</si>
  <si>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</si>
  <si>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</si>
  <si>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</si>
  <si>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</si>
  <si>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</si>
  <si>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</si>
  <si>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</si>
  <si>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</si>
  <si>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</si>
  <si>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</si>
  <si>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</si>
  <si>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</si>
  <si>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</si>
  <si>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</si>
  <si>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</si>
  <si>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</si>
  <si>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</si>
  <si>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</si>
  <si>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</si>
  <si>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</si>
  <si>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</si>
  <si>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</si>
  <si>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</si>
  <si>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</si>
  <si>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</si>
  <si>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</si>
  <si>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</si>
  <si>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</si>
  <si>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</si>
  <si>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</si>
  <si>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</si>
  <si>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</si>
  <si>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</si>
  <si>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</si>
  <si>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</si>
  <si>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</si>
  <si>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</si>
  <si>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</si>
  <si>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</si>
  <si>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</si>
  <si>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</si>
  <si>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</si>
  <si>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</si>
  <si>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</si>
  <si>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</si>
  <si>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</si>
  <si>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</si>
  <si>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</si>
  <si>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</si>
  <si>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</si>
  <si>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</si>
  <si>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</si>
  <si>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</si>
  <si>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</si>
  <si>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</si>
  <si>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</si>
  <si>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</si>
  <si>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</si>
  <si>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</si>
  <si>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</si>
  <si>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</si>
  <si>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</si>
  <si>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</si>
  <si>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</si>
  <si>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</si>
  <si>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</si>
  <si>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</si>
  <si>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</si>
  <si>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</si>
  <si>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</si>
  <si>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</si>
  <si>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</si>
  <si>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</si>
  <si>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</si>
  <si>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</si>
  <si>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</si>
  <si>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</si>
  <si>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</si>
  <si>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</si>
  <si>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</si>
  <si>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</si>
  <si>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</si>
  <si>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</si>
  <si>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</si>
  <si>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</si>
  <si>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</si>
  <si>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</si>
  <si>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</si>
  <si>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</si>
  <si>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</si>
  <si>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</si>
  <si>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</si>
  <si>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</si>
  <si>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</si>
  <si>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</si>
  <si>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</si>
  <si>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</si>
  <si>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</si>
  <si>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</si>
  <si>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</si>
  <si>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</si>
  <si>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</si>
  <si>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</si>
  <si>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</si>
  <si>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</si>
  <si>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</si>
  <si>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</si>
  <si>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</si>
  <si>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</si>
  <si>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</si>
  <si>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</si>
  <si>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</si>
  <si>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</si>
  <si>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</si>
  <si>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</si>
  <si>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</si>
  <si>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</si>
  <si>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</si>
  <si>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</si>
  <si>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</si>
  <si>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</si>
  <si>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</si>
  <si>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</si>
  <si>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</si>
  <si>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</si>
  <si>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</si>
  <si>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</si>
  <si>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</si>
  <si>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</si>
  <si>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</si>
  <si>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</si>
  <si>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</si>
  <si>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</si>
  <si>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</si>
  <si>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</si>
  <si>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</si>
  <si>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</si>
  <si>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</si>
  <si>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</si>
  <si>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</si>
  <si>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</si>
  <si>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</si>
  <si>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</si>
  <si>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</si>
  <si>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</si>
  <si>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</si>
  <si>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</si>
  <si>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</si>
  <si>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</si>
  <si>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</si>
  <si>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</si>
  <si>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</si>
  <si>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</si>
  <si>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</si>
  <si>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</si>
  <si>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36015</t>
  </si>
  <si>
    <t>ROESELARE</t>
  </si>
  <si>
    <t>Paarden&amp;pony's 200 - 600 kg</t>
  </si>
  <si>
    <t>Paarden&amp;pony's &lt; 200 kg</t>
  </si>
  <si>
    <t>referentietaak LNE (2017); Jaarverslag De Lijn (2014)</t>
  </si>
  <si>
    <t>op basis van VEA (maart 2018) en Inventaris Hernieuwbare Energiebronnen (juni 2018)</t>
  </si>
  <si>
    <t>VEA (maart 2016)</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</si>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</sst>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392537.66415084043</c:v>
                </c:pt>
                <c:pt idx="1">
                  <c:v>364466.98901012348</c:v>
                </c:pt>
                <c:pt idx="2">
                  <c:v>5738.6419999999998</c:v>
                </c:pt>
                <c:pt idx="3">
                  <c:v>25492.47611527464</c:v>
                </c:pt>
                <c:pt idx="4">
                  <c:v>770317.28489197546</c:v>
                </c:pt>
                <c:pt idx="5">
                  <c:v>279134.48944866174</c:v>
                </c:pt>
                <c:pt idx="6">
                  <c:v>5251.9660295502135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655808"/>
        <c:axId val="183678080"/>
      </c:barChart>
      <c:catAx>
        <c:axId val="183655808"/>
        <c:scaling>
          <c:orientation val="minMax"/>
        </c:scaling>
        <c:axPos val="b"/>
        <c:numFmt formatCode="General" sourceLinked="0"/>
        <c:tickLblPos val="nextTo"/>
        <c:crossAx val="183678080"/>
        <c:crosses val="autoZero"/>
        <c:auto val="1"/>
        <c:lblAlgn val="ctr"/>
        <c:lblOffset val="100"/>
      </c:catAx>
      <c:valAx>
        <c:axId val="183678080"/>
        <c:scaling>
          <c:orientation val="minMax"/>
        </c:scaling>
        <c:axPos val="l"/>
        <c:majorGridlines/>
        <c:numFmt formatCode="#,##0" sourceLinked="1"/>
        <c:tickLblPos val="nextTo"/>
        <c:crossAx val="1836558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392537.66415084043</c:v>
                </c:pt>
                <c:pt idx="1">
                  <c:v>364466.98901012348</c:v>
                </c:pt>
                <c:pt idx="2">
                  <c:v>5738.6419999999998</c:v>
                </c:pt>
                <c:pt idx="3">
                  <c:v>25492.47611527464</c:v>
                </c:pt>
                <c:pt idx="4">
                  <c:v>770317.28489197546</c:v>
                </c:pt>
                <c:pt idx="5">
                  <c:v>279134.48944866174</c:v>
                </c:pt>
                <c:pt idx="6">
                  <c:v>5251.9660295502135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70365.86397876509</c:v>
                </c:pt>
                <c:pt idx="1">
                  <c:v>67871.559672364048</c:v>
                </c:pt>
                <c:pt idx="2">
                  <c:v>1091.9549753288138</c:v>
                </c:pt>
                <c:pt idx="3">
                  <c:v>5754.0945429299691</c:v>
                </c:pt>
                <c:pt idx="4">
                  <c:v>151281.5793039572</c:v>
                </c:pt>
                <c:pt idx="5">
                  <c:v>69997.554562785663</c:v>
                </c:pt>
                <c:pt idx="6">
                  <c:v>1326.6215691141142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29792"/>
        <c:axId val="184176640"/>
      </c:barChart>
      <c:catAx>
        <c:axId val="184129792"/>
        <c:scaling>
          <c:orientation val="minMax"/>
        </c:scaling>
        <c:axPos val="b"/>
        <c:numFmt formatCode="General" sourceLinked="0"/>
        <c:tickLblPos val="nextTo"/>
        <c:crossAx val="184176640"/>
        <c:crosses val="autoZero"/>
        <c:auto val="1"/>
        <c:lblAlgn val="ctr"/>
        <c:lblOffset val="100"/>
      </c:catAx>
      <c:valAx>
        <c:axId val="184176640"/>
        <c:scaling>
          <c:orientation val="minMax"/>
        </c:scaling>
        <c:axPos val="l"/>
        <c:majorGridlines/>
        <c:numFmt formatCode="#,##0" sourceLinked="1"/>
        <c:tickLblPos val="nextTo"/>
        <c:crossAx val="184129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70365.86397876509</c:v>
                </c:pt>
                <c:pt idx="1">
                  <c:v>67871.559672364048</c:v>
                </c:pt>
                <c:pt idx="2">
                  <c:v>1091.9549753288138</c:v>
                </c:pt>
                <c:pt idx="3">
                  <c:v>5754.0945429299691</c:v>
                </c:pt>
                <c:pt idx="4">
                  <c:v>151281.5793039572</c:v>
                </c:pt>
                <c:pt idx="5">
                  <c:v>69997.554562785663</c:v>
                </c:pt>
                <c:pt idx="6">
                  <c:v>1326.6215691141142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36015</v>
      </c>
      <c r="B6" s="416"/>
      <c r="C6" s="417"/>
    </row>
    <row r="7" spans="1:7" s="414" customFormat="1" ht="15.75" customHeight="1">
      <c r="A7" s="418" t="str">
        <f>txtMunicipality</f>
        <v>ROESELARE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157700.783</v>
      </c>
      <c r="D10" s="719">
        <f ca="1">tertiair!C16</f>
        <v>41355.000000000007</v>
      </c>
      <c r="E10" s="719">
        <f ca="1">tertiair!D16</f>
        <v>152091.52835224074</v>
      </c>
      <c r="F10" s="719">
        <f>tertiair!E16</f>
        <v>1305.9735573043599</v>
      </c>
      <c r="G10" s="719">
        <f ca="1">tertiair!F16</f>
        <v>17537.922767245062</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209.73333333333335</v>
      </c>
      <c r="R10" s="722">
        <f ca="1">SUM(C10:Q10)</f>
        <v>370205.63101012347</v>
      </c>
      <c r="S10" s="67"/>
    </row>
    <row r="11" spans="1:19" s="475" customFormat="1">
      <c r="A11" s="871" t="s">
        <v>225</v>
      </c>
      <c r="B11" s="876"/>
      <c r="C11" s="719">
        <f>huishoudens!B8</f>
        <v>96551.928485925077</v>
      </c>
      <c r="D11" s="719">
        <f>huishoudens!C8</f>
        <v>0</v>
      </c>
      <c r="E11" s="719">
        <f>huishoudens!D8</f>
        <v>248751.60315781651</v>
      </c>
      <c r="F11" s="719">
        <f>huishoudens!E8</f>
        <v>7691.7853983138812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37063.687108784958</v>
      </c>
      <c r="P11" s="719">
        <f>huishoudens!O8</f>
        <v>972.39333333333343</v>
      </c>
      <c r="Q11" s="720">
        <f>huishoudens!P8</f>
        <v>1506.2666666666667</v>
      </c>
      <c r="R11" s="722">
        <f>SUM(C11:Q11)</f>
        <v>392537.66415084043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232636.424</v>
      </c>
      <c r="D13" s="719">
        <f>industrie!C18</f>
        <v>6000</v>
      </c>
      <c r="E13" s="719">
        <f>industrie!D18</f>
        <v>259930.41194284783</v>
      </c>
      <c r="F13" s="719">
        <f>industrie!E18</f>
        <v>7037.9099921294837</v>
      </c>
      <c r="G13" s="719">
        <f>industrie!F18</f>
        <v>193300.02767278242</v>
      </c>
      <c r="H13" s="719">
        <f>industrie!G18</f>
        <v>0</v>
      </c>
      <c r="I13" s="719">
        <f>industrie!H18</f>
        <v>0</v>
      </c>
      <c r="J13" s="719">
        <f>industrie!I18</f>
        <v>0</v>
      </c>
      <c r="K13" s="719">
        <f>industrie!J18</f>
        <v>2340.2217405390224</v>
      </c>
      <c r="L13" s="719">
        <f>industrie!K18</f>
        <v>0</v>
      </c>
      <c r="M13" s="719">
        <f>industrie!L18</f>
        <v>0</v>
      </c>
      <c r="N13" s="719">
        <f>industrie!M18</f>
        <v>0</v>
      </c>
      <c r="O13" s="719">
        <f>industrie!N18</f>
        <v>69072.289543676699</v>
      </c>
      <c r="P13" s="719">
        <f>industrie!O18</f>
        <v>0</v>
      </c>
      <c r="Q13" s="720">
        <f>industrie!P18</f>
        <v>0</v>
      </c>
      <c r="R13" s="722">
        <f>SUM(C13:Q13)</f>
        <v>770317.28489197546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486889.13548592507</v>
      </c>
      <c r="D15" s="724">
        <f t="shared" ref="D15:Q15" ca="1" si="0">SUM(D9:D14)</f>
        <v>47355.000000000007</v>
      </c>
      <c r="E15" s="724">
        <f t="shared" ca="1" si="0"/>
        <v>660773.54345290503</v>
      </c>
      <c r="F15" s="724">
        <f t="shared" si="0"/>
        <v>16035.668947747725</v>
      </c>
      <c r="G15" s="724">
        <f t="shared" ca="1" si="0"/>
        <v>210837.95044002749</v>
      </c>
      <c r="H15" s="724">
        <f t="shared" si="0"/>
        <v>0</v>
      </c>
      <c r="I15" s="724">
        <f t="shared" si="0"/>
        <v>0</v>
      </c>
      <c r="J15" s="724">
        <f t="shared" si="0"/>
        <v>0</v>
      </c>
      <c r="K15" s="724">
        <f t="shared" si="0"/>
        <v>2340.2217405390224</v>
      </c>
      <c r="L15" s="724">
        <f t="shared" si="0"/>
        <v>0</v>
      </c>
      <c r="M15" s="724">
        <f t="shared" ca="1" si="0"/>
        <v>0</v>
      </c>
      <c r="N15" s="724">
        <f t="shared" si="0"/>
        <v>0</v>
      </c>
      <c r="O15" s="724">
        <f t="shared" ca="1" si="0"/>
        <v>106135.97665246166</v>
      </c>
      <c r="P15" s="724">
        <f t="shared" si="0"/>
        <v>977.08333333333348</v>
      </c>
      <c r="Q15" s="725">
        <f t="shared" si="0"/>
        <v>1716</v>
      </c>
      <c r="R15" s="726">
        <f ca="1">SUM(R9:R14)</f>
        <v>1533060.5800529392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4968.6201090416262</v>
      </c>
      <c r="I18" s="719">
        <f>transport!H54</f>
        <v>0</v>
      </c>
      <c r="J18" s="719">
        <f>transport!I54</f>
        <v>0</v>
      </c>
      <c r="K18" s="719">
        <f>transport!J54</f>
        <v>0</v>
      </c>
      <c r="L18" s="719">
        <f>transport!K54</f>
        <v>0</v>
      </c>
      <c r="M18" s="719">
        <f>transport!L54</f>
        <v>0</v>
      </c>
      <c r="N18" s="719">
        <f>transport!M54</f>
        <v>283.34592050858726</v>
      </c>
      <c r="O18" s="719">
        <f>transport!N54</f>
        <v>0</v>
      </c>
      <c r="P18" s="719">
        <f>transport!O54</f>
        <v>0</v>
      </c>
      <c r="Q18" s="720">
        <f>transport!P54</f>
        <v>0</v>
      </c>
      <c r="R18" s="722">
        <f>SUM(C18:Q18)</f>
        <v>5251.9660295502135</v>
      </c>
      <c r="S18" s="67"/>
    </row>
    <row r="19" spans="1:19" s="475" customFormat="1" ht="15" thickBot="1">
      <c r="A19" s="871" t="s">
        <v>307</v>
      </c>
      <c r="B19" s="876"/>
      <c r="C19" s="728">
        <f>transport!B14</f>
        <v>36.564884419688973</v>
      </c>
      <c r="D19" s="728">
        <f>transport!C14</f>
        <v>0</v>
      </c>
      <c r="E19" s="728">
        <f>transport!D14</f>
        <v>101.4922964586795</v>
      </c>
      <c r="F19" s="728">
        <f>transport!E14</f>
        <v>677.56619999226916</v>
      </c>
      <c r="G19" s="728">
        <f>transport!F14</f>
        <v>0</v>
      </c>
      <c r="H19" s="728">
        <f>transport!G14</f>
        <v>225469.96397423843</v>
      </c>
      <c r="I19" s="728">
        <f>transport!H14</f>
        <v>38617.701224196295</v>
      </c>
      <c r="J19" s="728">
        <f>transport!I14</f>
        <v>0</v>
      </c>
      <c r="K19" s="728">
        <f>transport!J14</f>
        <v>0</v>
      </c>
      <c r="L19" s="728">
        <f>transport!K14</f>
        <v>0</v>
      </c>
      <c r="M19" s="728">
        <f>transport!L14</f>
        <v>0</v>
      </c>
      <c r="N19" s="728">
        <f>transport!M14</f>
        <v>14231.200869356315</v>
      </c>
      <c r="O19" s="728">
        <f>transport!N14</f>
        <v>0</v>
      </c>
      <c r="P19" s="728">
        <f>transport!O14</f>
        <v>0</v>
      </c>
      <c r="Q19" s="729">
        <f>transport!P14</f>
        <v>0</v>
      </c>
      <c r="R19" s="730">
        <f>SUM(C19:Q19)</f>
        <v>279134.48944866174</v>
      </c>
      <c r="S19" s="67"/>
    </row>
    <row r="20" spans="1:19" s="475" customFormat="1" ht="15.75" thickBot="1">
      <c r="A20" s="731" t="s">
        <v>230</v>
      </c>
      <c r="B20" s="879"/>
      <c r="C20" s="874">
        <f>SUM(C17:C19)</f>
        <v>36.564884419688973</v>
      </c>
      <c r="D20" s="732">
        <f t="shared" ref="D20:R20" si="1">SUM(D17:D19)</f>
        <v>0</v>
      </c>
      <c r="E20" s="732">
        <f t="shared" si="1"/>
        <v>101.4922964586795</v>
      </c>
      <c r="F20" s="732">
        <f t="shared" si="1"/>
        <v>677.56619999226916</v>
      </c>
      <c r="G20" s="732">
        <f t="shared" si="1"/>
        <v>0</v>
      </c>
      <c r="H20" s="732">
        <f t="shared" si="1"/>
        <v>230438.58408328006</v>
      </c>
      <c r="I20" s="732">
        <f t="shared" si="1"/>
        <v>38617.701224196295</v>
      </c>
      <c r="J20" s="732">
        <f t="shared" si="1"/>
        <v>0</v>
      </c>
      <c r="K20" s="732">
        <f t="shared" si="1"/>
        <v>0</v>
      </c>
      <c r="L20" s="732">
        <f t="shared" si="1"/>
        <v>0</v>
      </c>
      <c r="M20" s="732">
        <f t="shared" si="1"/>
        <v>0</v>
      </c>
      <c r="N20" s="732">
        <f t="shared" si="1"/>
        <v>14514.546789864902</v>
      </c>
      <c r="O20" s="732">
        <f t="shared" si="1"/>
        <v>0</v>
      </c>
      <c r="P20" s="732">
        <f t="shared" si="1"/>
        <v>0</v>
      </c>
      <c r="Q20" s="733">
        <f t="shared" si="1"/>
        <v>0</v>
      </c>
      <c r="R20" s="734">
        <f t="shared" si="1"/>
        <v>284386.45547821198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3421.0548599999997</v>
      </c>
      <c r="D22" s="728">
        <f>+landbouw!C8</f>
        <v>0</v>
      </c>
      <c r="E22" s="728">
        <f>+landbouw!D8</f>
        <v>12835.380233068134</v>
      </c>
      <c r="F22" s="728">
        <f>+landbouw!E8</f>
        <v>31.687242982807483</v>
      </c>
      <c r="G22" s="728">
        <f>+landbouw!F8</f>
        <v>8679.8678901020321</v>
      </c>
      <c r="H22" s="728">
        <f>+landbouw!G8</f>
        <v>0</v>
      </c>
      <c r="I22" s="728">
        <f>+landbouw!H8</f>
        <v>0</v>
      </c>
      <c r="J22" s="728">
        <f>+landbouw!I8</f>
        <v>0</v>
      </c>
      <c r="K22" s="728">
        <f>+landbouw!J8</f>
        <v>524.4858891216669</v>
      </c>
      <c r="L22" s="728">
        <f>+landbouw!K8</f>
        <v>0</v>
      </c>
      <c r="M22" s="728">
        <f>+landbouw!L8</f>
        <v>0</v>
      </c>
      <c r="N22" s="728">
        <f>+landbouw!M8</f>
        <v>0</v>
      </c>
      <c r="O22" s="728">
        <f>+landbouw!N8</f>
        <v>0</v>
      </c>
      <c r="P22" s="728">
        <f>+landbouw!O8</f>
        <v>0</v>
      </c>
      <c r="Q22" s="729">
        <f>+landbouw!P8</f>
        <v>0</v>
      </c>
      <c r="R22" s="730">
        <f>SUM(C22:Q22)</f>
        <v>25492.47611527464</v>
      </c>
      <c r="S22" s="67"/>
    </row>
    <row r="23" spans="1:19" s="475" customFormat="1" ht="17.25" thickTop="1" thickBot="1">
      <c r="A23" s="735" t="s">
        <v>116</v>
      </c>
      <c r="B23" s="865"/>
      <c r="C23" s="736">
        <f ca="1">C20+C15+C22</f>
        <v>490346.75523034472</v>
      </c>
      <c r="D23" s="736">
        <f t="shared" ref="D23:Q23" ca="1" si="2">D20+D15+D22</f>
        <v>47355.000000000007</v>
      </c>
      <c r="E23" s="736">
        <f t="shared" ca="1" si="2"/>
        <v>673710.41598243185</v>
      </c>
      <c r="F23" s="736">
        <f t="shared" si="2"/>
        <v>16744.922390722801</v>
      </c>
      <c r="G23" s="736">
        <f t="shared" ca="1" si="2"/>
        <v>219517.81833012952</v>
      </c>
      <c r="H23" s="736">
        <f t="shared" si="2"/>
        <v>230438.58408328006</v>
      </c>
      <c r="I23" s="736">
        <f t="shared" si="2"/>
        <v>38617.701224196295</v>
      </c>
      <c r="J23" s="736">
        <f t="shared" si="2"/>
        <v>0</v>
      </c>
      <c r="K23" s="736">
        <f t="shared" si="2"/>
        <v>2864.7076296606892</v>
      </c>
      <c r="L23" s="736">
        <f t="shared" si="2"/>
        <v>0</v>
      </c>
      <c r="M23" s="736">
        <f t="shared" ca="1" si="2"/>
        <v>0</v>
      </c>
      <c r="N23" s="736">
        <f t="shared" si="2"/>
        <v>14514.546789864902</v>
      </c>
      <c r="O23" s="736">
        <f t="shared" ca="1" si="2"/>
        <v>106135.97665246166</v>
      </c>
      <c r="P23" s="736">
        <f t="shared" si="2"/>
        <v>977.08333333333348</v>
      </c>
      <c r="Q23" s="737">
        <f t="shared" si="2"/>
        <v>1716</v>
      </c>
      <c r="R23" s="738">
        <f ca="1">R20+R15+R22</f>
        <v>1842939.5116464258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30007.474696992707</v>
      </c>
      <c r="D36" s="719">
        <f ca="1">tertiair!C20</f>
        <v>3254.4698471849947</v>
      </c>
      <c r="E36" s="719">
        <f ca="1">tertiair!D20</f>
        <v>30722.488727152631</v>
      </c>
      <c r="F36" s="719">
        <f>tertiair!E20</f>
        <v>296.45599750808969</v>
      </c>
      <c r="G36" s="719">
        <f ca="1">tertiair!F20</f>
        <v>4682.6253788544318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68963.514647692849</v>
      </c>
    </row>
    <row r="37" spans="1:18">
      <c r="A37" s="886" t="s">
        <v>225</v>
      </c>
      <c r="B37" s="893"/>
      <c r="C37" s="719">
        <f ca="1">huishoudens!B12</f>
        <v>18372.004855468891</v>
      </c>
      <c r="D37" s="719">
        <f ca="1">huishoudens!C12</f>
        <v>0</v>
      </c>
      <c r="E37" s="719">
        <f>huishoudens!D12</f>
        <v>50247.823837878939</v>
      </c>
      <c r="F37" s="719">
        <f>huishoudens!E12</f>
        <v>1746.0352854172511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70365.86397876509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44266.309107538589</v>
      </c>
      <c r="D39" s="719">
        <f ca="1">industrie!C22</f>
        <v>472.17553096626682</v>
      </c>
      <c r="E39" s="719">
        <f>industrie!D22</f>
        <v>52505.943212455262</v>
      </c>
      <c r="F39" s="719">
        <f>industrie!E22</f>
        <v>1597.6055682133929</v>
      </c>
      <c r="G39" s="719">
        <f>industrie!F22</f>
        <v>51611.10738863291</v>
      </c>
      <c r="H39" s="719">
        <f>industrie!G22</f>
        <v>0</v>
      </c>
      <c r="I39" s="719">
        <f>industrie!H22</f>
        <v>0</v>
      </c>
      <c r="J39" s="719">
        <f>industrie!I22</f>
        <v>0</v>
      </c>
      <c r="K39" s="719">
        <f>industrie!J22</f>
        <v>828.43849615081388</v>
      </c>
      <c r="L39" s="719">
        <f>industrie!K22</f>
        <v>0</v>
      </c>
      <c r="M39" s="719">
        <f>industrie!L22</f>
        <v>0</v>
      </c>
      <c r="N39" s="719">
        <f>industrie!M22</f>
        <v>0</v>
      </c>
      <c r="O39" s="719">
        <f>industrie!N22</f>
        <v>0</v>
      </c>
      <c r="P39" s="719">
        <f>industrie!O22</f>
        <v>0</v>
      </c>
      <c r="Q39" s="829">
        <f>industrie!P22</f>
        <v>0</v>
      </c>
      <c r="R39" s="919">
        <f ca="1">SUM(C39:Q39)</f>
        <v>151281.5793039572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92645.788660000195</v>
      </c>
      <c r="D41" s="764">
        <f t="shared" ref="D41:R41" ca="1" si="4">SUM(D35:D40)</f>
        <v>3726.6453781512614</v>
      </c>
      <c r="E41" s="764">
        <f t="shared" ca="1" si="4"/>
        <v>133476.25577748683</v>
      </c>
      <c r="F41" s="764">
        <f t="shared" si="4"/>
        <v>3640.0968511387337</v>
      </c>
      <c r="G41" s="764">
        <f t="shared" ca="1" si="4"/>
        <v>56293.732767487345</v>
      </c>
      <c r="H41" s="764">
        <f t="shared" si="4"/>
        <v>0</v>
      </c>
      <c r="I41" s="764">
        <f t="shared" si="4"/>
        <v>0</v>
      </c>
      <c r="J41" s="764">
        <f t="shared" si="4"/>
        <v>0</v>
      </c>
      <c r="K41" s="764">
        <f t="shared" si="4"/>
        <v>828.43849615081388</v>
      </c>
      <c r="L41" s="764">
        <f t="shared" si="4"/>
        <v>0</v>
      </c>
      <c r="M41" s="764">
        <f t="shared" ca="1" si="4"/>
        <v>0</v>
      </c>
      <c r="N41" s="764">
        <f t="shared" si="4"/>
        <v>0</v>
      </c>
      <c r="O41" s="764">
        <f t="shared" ca="1" si="4"/>
        <v>0</v>
      </c>
      <c r="P41" s="764">
        <f t="shared" si="4"/>
        <v>0</v>
      </c>
      <c r="Q41" s="765">
        <f t="shared" si="4"/>
        <v>0</v>
      </c>
      <c r="R41" s="766">
        <f t="shared" ca="1" si="4"/>
        <v>290610.95793041517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1326.6215691141142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1326.6215691141142</v>
      </c>
    </row>
    <row r="45" spans="1:18" ht="15" thickBot="1">
      <c r="A45" s="889" t="s">
        <v>307</v>
      </c>
      <c r="B45" s="899"/>
      <c r="C45" s="728">
        <f ca="1">transport!B18</f>
        <v>6.9576055562278327</v>
      </c>
      <c r="D45" s="728">
        <f>transport!C18</f>
        <v>0</v>
      </c>
      <c r="E45" s="728">
        <f>transport!D18</f>
        <v>20.501443884653263</v>
      </c>
      <c r="F45" s="728">
        <f>transport!E18</f>
        <v>153.8075273982451</v>
      </c>
      <c r="G45" s="728">
        <f>transport!F18</f>
        <v>0</v>
      </c>
      <c r="H45" s="728">
        <f>transport!G18</f>
        <v>60200.480381121663</v>
      </c>
      <c r="I45" s="728">
        <f>transport!H18</f>
        <v>9615.8076048248768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69997.554562785663</v>
      </c>
    </row>
    <row r="46" spans="1:18" ht="15.75" thickBot="1">
      <c r="A46" s="887" t="s">
        <v>230</v>
      </c>
      <c r="B46" s="900"/>
      <c r="C46" s="764">
        <f t="shared" ref="C46:R46" ca="1" si="5">SUM(C43:C45)</f>
        <v>6.9576055562278327</v>
      </c>
      <c r="D46" s="764">
        <f t="shared" ca="1" si="5"/>
        <v>0</v>
      </c>
      <c r="E46" s="764">
        <f t="shared" si="5"/>
        <v>20.501443884653263</v>
      </c>
      <c r="F46" s="764">
        <f t="shared" si="5"/>
        <v>153.8075273982451</v>
      </c>
      <c r="G46" s="764">
        <f t="shared" si="5"/>
        <v>0</v>
      </c>
      <c r="H46" s="764">
        <f t="shared" si="5"/>
        <v>61527.101950235774</v>
      </c>
      <c r="I46" s="764">
        <f t="shared" si="5"/>
        <v>9615.8076048248768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71324.176131899774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650.96200028679584</v>
      </c>
      <c r="D48" s="719">
        <f ca="1">+landbouw!C12</f>
        <v>0</v>
      </c>
      <c r="E48" s="719">
        <f>+landbouw!D12</f>
        <v>2592.7468070797631</v>
      </c>
      <c r="F48" s="719">
        <f>+landbouw!E12</f>
        <v>7.1930041570972989</v>
      </c>
      <c r="G48" s="719">
        <f>+landbouw!F12</f>
        <v>2317.5247266572428</v>
      </c>
      <c r="H48" s="719">
        <f>+landbouw!G12</f>
        <v>0</v>
      </c>
      <c r="I48" s="719">
        <f>+landbouw!H12</f>
        <v>0</v>
      </c>
      <c r="J48" s="719">
        <f>+landbouw!I12</f>
        <v>0</v>
      </c>
      <c r="K48" s="719">
        <f>+landbouw!J12</f>
        <v>185.66800474907006</v>
      </c>
      <c r="L48" s="719">
        <f>+landbouw!K12</f>
        <v>0</v>
      </c>
      <c r="M48" s="719">
        <f>+landbouw!L12</f>
        <v>0</v>
      </c>
      <c r="N48" s="719">
        <f>+landbouw!M12</f>
        <v>0</v>
      </c>
      <c r="O48" s="719">
        <f>+landbouw!N12</f>
        <v>0</v>
      </c>
      <c r="P48" s="719">
        <f>+landbouw!O12</f>
        <v>0</v>
      </c>
      <c r="Q48" s="720">
        <f>+landbouw!P12</f>
        <v>0</v>
      </c>
      <c r="R48" s="762">
        <f ca="1">SUM(C48:Q48)</f>
        <v>5754.0945429299691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93303.708265843205</v>
      </c>
      <c r="D53" s="774">
        <f t="shared" ref="D53:Q53" ca="1" si="6">D41+D46+D48</f>
        <v>3726.6453781512614</v>
      </c>
      <c r="E53" s="774">
        <f t="shared" ca="1" si="6"/>
        <v>136089.50402845125</v>
      </c>
      <c r="F53" s="774">
        <f t="shared" si="6"/>
        <v>3801.0973826940758</v>
      </c>
      <c r="G53" s="774">
        <f t="shared" ca="1" si="6"/>
        <v>58611.257494144586</v>
      </c>
      <c r="H53" s="774">
        <f t="shared" si="6"/>
        <v>61527.101950235774</v>
      </c>
      <c r="I53" s="774">
        <f t="shared" si="6"/>
        <v>9615.8076048248768</v>
      </c>
      <c r="J53" s="774">
        <f t="shared" si="6"/>
        <v>0</v>
      </c>
      <c r="K53" s="774">
        <f t="shared" si="6"/>
        <v>1014.1065008998839</v>
      </c>
      <c r="L53" s="774">
        <f t="shared" si="6"/>
        <v>0</v>
      </c>
      <c r="M53" s="774">
        <f t="shared" ca="1" si="6"/>
        <v>0</v>
      </c>
      <c r="N53" s="774">
        <f t="shared" si="6"/>
        <v>0</v>
      </c>
      <c r="O53" s="774">
        <f t="shared" ca="1" si="6"/>
        <v>0</v>
      </c>
      <c r="P53" s="774">
        <f>P41+P46+P48</f>
        <v>0</v>
      </c>
      <c r="Q53" s="775">
        <f t="shared" si="6"/>
        <v>0</v>
      </c>
      <c r="R53" s="776">
        <f ca="1">R41+R46+R48</f>
        <v>367689.22860524489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0.19028107613766704</v>
      </c>
      <c r="D55" s="837">
        <f t="shared" ca="1" si="7"/>
        <v>7.8695921827711138E-2</v>
      </c>
      <c r="E55" s="837">
        <f t="shared" ca="1" si="7"/>
        <v>0.20200000000000001</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21899.257849603226</v>
      </c>
      <c r="C64" s="796">
        <f>'lokale energieproductie'!B4</f>
        <v>21899.257849603226</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24774.62633487122</v>
      </c>
      <c r="C66" s="796">
        <f>'lokale energieproductie'!B6</f>
        <v>24774.62633487122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33148.5</v>
      </c>
      <c r="C67" s="795">
        <f>B67*IFERROR(SUM(J67:L67)/SUM(D67:M67),0)</f>
        <v>22171.5</v>
      </c>
      <c r="D67" s="827">
        <f>'lokale energieproductie'!C7</f>
        <v>12914.117647058823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26084.117647058825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2608.6517647058827</v>
      </c>
      <c r="P67" s="923">
        <v>0</v>
      </c>
      <c r="Q67" s="786"/>
      <c r="R67" s="743"/>
    </row>
    <row r="68" spans="1:18" ht="30.75" thickBot="1">
      <c r="A68" s="802" t="s">
        <v>353</v>
      </c>
      <c r="B68" s="795">
        <f>'lokale energieproductie'!B8</f>
        <v>139.5</v>
      </c>
      <c r="C68" s="795">
        <f>B68*IFERROR(SUM(J68:L68)/SUM(D68:M68),0)</f>
        <v>139.5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398.57142857142861</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79961.884184474446</v>
      </c>
      <c r="C69" s="804">
        <f>SUM(C64:C68)</f>
        <v>68984.884184474446</v>
      </c>
      <c r="D69" s="805">
        <f t="shared" ref="D69:M69" si="8">SUM(D67:D68)</f>
        <v>12914.117647058823</v>
      </c>
      <c r="E69" s="805">
        <f t="shared" si="8"/>
        <v>0</v>
      </c>
      <c r="F69" s="805">
        <f t="shared" si="8"/>
        <v>0</v>
      </c>
      <c r="G69" s="805">
        <f t="shared" si="8"/>
        <v>0</v>
      </c>
      <c r="H69" s="805">
        <f t="shared" si="8"/>
        <v>0</v>
      </c>
      <c r="I69" s="805">
        <f t="shared" si="8"/>
        <v>0</v>
      </c>
      <c r="J69" s="805">
        <f t="shared" si="8"/>
        <v>0</v>
      </c>
      <c r="K69" s="805">
        <f t="shared" si="8"/>
        <v>26482.689075630253</v>
      </c>
      <c r="L69" s="805">
        <f t="shared" si="8"/>
        <v>0</v>
      </c>
      <c r="M69" s="931">
        <f t="shared" si="8"/>
        <v>0</v>
      </c>
      <c r="N69" s="806">
        <v>0</v>
      </c>
      <c r="O69" s="806">
        <f>SUM(O67:O68)</f>
        <v>2608.6517647058827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47355.000000000007</v>
      </c>
      <c r="C78" s="818">
        <f>B78*IFERROR(SUM(I78:L78)/SUM(D78:M78),0)</f>
        <v>31673.571428571438</v>
      </c>
      <c r="D78" s="833">
        <f>'lokale energieproductie'!C16</f>
        <v>18448.739495798323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37263.025210084044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3726.6453781512614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47355.000000000007</v>
      </c>
      <c r="C81" s="804">
        <f>SUM(C78:C80)</f>
        <v>31673.571428571438</v>
      </c>
      <c r="D81" s="804">
        <f t="shared" ref="D81:P81" si="9">SUM(D78:D80)</f>
        <v>18448.739495798323</v>
      </c>
      <c r="E81" s="804">
        <f t="shared" si="9"/>
        <v>0</v>
      </c>
      <c r="F81" s="804">
        <f t="shared" si="9"/>
        <v>0</v>
      </c>
      <c r="G81" s="804">
        <f t="shared" si="9"/>
        <v>0</v>
      </c>
      <c r="H81" s="804">
        <f t="shared" si="9"/>
        <v>0</v>
      </c>
      <c r="I81" s="804">
        <f t="shared" si="9"/>
        <v>0</v>
      </c>
      <c r="J81" s="804">
        <f t="shared" si="9"/>
        <v>0</v>
      </c>
      <c r="K81" s="804">
        <f t="shared" si="9"/>
        <v>37263.025210084044</v>
      </c>
      <c r="L81" s="804">
        <f t="shared" si="9"/>
        <v>0</v>
      </c>
      <c r="M81" s="804">
        <f t="shared" si="9"/>
        <v>0</v>
      </c>
      <c r="N81" s="804">
        <v>0</v>
      </c>
      <c r="O81" s="804">
        <f>SUM(O78:O80)</f>
        <v>3726.6453781512614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96551.928485925077</v>
      </c>
      <c r="C4" s="479">
        <f>huishoudens!C8</f>
        <v>0</v>
      </c>
      <c r="D4" s="479">
        <f>huishoudens!D8</f>
        <v>248751.60315781651</v>
      </c>
      <c r="E4" s="479">
        <f>huishoudens!E8</f>
        <v>7691.7853983138812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37063.687108784958</v>
      </c>
      <c r="O4" s="479">
        <f>huishoudens!O8</f>
        <v>972.39333333333343</v>
      </c>
      <c r="P4" s="480">
        <f>huishoudens!P8</f>
        <v>1506.2666666666667</v>
      </c>
      <c r="Q4" s="481">
        <f>SUM(B4:P4)</f>
        <v>392537.66415084043</v>
      </c>
    </row>
    <row r="5" spans="1:17">
      <c r="A5" s="478" t="s">
        <v>156</v>
      </c>
      <c r="B5" s="479">
        <f ca="1">tertiair!B16</f>
        <v>151962.141</v>
      </c>
      <c r="C5" s="479">
        <f ca="1">tertiair!C16</f>
        <v>41355.000000000007</v>
      </c>
      <c r="D5" s="479">
        <f ca="1">tertiair!D16</f>
        <v>152091.52835224074</v>
      </c>
      <c r="E5" s="479">
        <f>tertiair!E16</f>
        <v>1305.9735573043599</v>
      </c>
      <c r="F5" s="479">
        <f ca="1">tertiair!F16</f>
        <v>17537.922767245062</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209.73333333333335</v>
      </c>
      <c r="Q5" s="478">
        <f t="shared" ref="Q5:Q13" ca="1" si="0">SUM(B5:P5)</f>
        <v>364466.98901012348</v>
      </c>
    </row>
    <row r="6" spans="1:17">
      <c r="A6" s="478" t="s">
        <v>194</v>
      </c>
      <c r="B6" s="479">
        <f>'openbare verlichting'!B8</f>
        <v>5738.6419999999998</v>
      </c>
      <c r="C6" s="479"/>
      <c r="D6" s="479"/>
      <c r="E6" s="479"/>
      <c r="F6" s="479"/>
      <c r="G6" s="479"/>
      <c r="H6" s="479"/>
      <c r="I6" s="479"/>
      <c r="J6" s="479"/>
      <c r="K6" s="479"/>
      <c r="L6" s="479"/>
      <c r="M6" s="479"/>
      <c r="N6" s="479"/>
      <c r="O6" s="479"/>
      <c r="P6" s="480"/>
      <c r="Q6" s="478">
        <f t="shared" si="0"/>
        <v>5738.6419999999998</v>
      </c>
    </row>
    <row r="7" spans="1:17">
      <c r="A7" s="478" t="s">
        <v>112</v>
      </c>
      <c r="B7" s="479">
        <f>landbouw!B8</f>
        <v>3421.0548599999997</v>
      </c>
      <c r="C7" s="479">
        <f>landbouw!C8</f>
        <v>0</v>
      </c>
      <c r="D7" s="479">
        <f>landbouw!D8</f>
        <v>12835.380233068134</v>
      </c>
      <c r="E7" s="479">
        <f>landbouw!E8</f>
        <v>31.687242982807483</v>
      </c>
      <c r="F7" s="479">
        <f>landbouw!F8</f>
        <v>8679.8678901020321</v>
      </c>
      <c r="G7" s="479">
        <f>landbouw!G8</f>
        <v>0</v>
      </c>
      <c r="H7" s="479">
        <f>landbouw!H8</f>
        <v>0</v>
      </c>
      <c r="I7" s="479">
        <f>landbouw!I8</f>
        <v>0</v>
      </c>
      <c r="J7" s="479">
        <f>landbouw!J8</f>
        <v>524.4858891216669</v>
      </c>
      <c r="K7" s="479">
        <f>landbouw!K8</f>
        <v>0</v>
      </c>
      <c r="L7" s="479">
        <f>landbouw!L8</f>
        <v>0</v>
      </c>
      <c r="M7" s="479">
        <f>landbouw!M8</f>
        <v>0</v>
      </c>
      <c r="N7" s="479">
        <f>landbouw!N8</f>
        <v>0</v>
      </c>
      <c r="O7" s="479">
        <f>landbouw!O8</f>
        <v>0</v>
      </c>
      <c r="P7" s="480">
        <f>landbouw!P8</f>
        <v>0</v>
      </c>
      <c r="Q7" s="478">
        <f t="shared" si="0"/>
        <v>25492.47611527464</v>
      </c>
    </row>
    <row r="8" spans="1:17">
      <c r="A8" s="478" t="s">
        <v>650</v>
      </c>
      <c r="B8" s="479">
        <f>industrie!B18</f>
        <v>232636.424</v>
      </c>
      <c r="C8" s="479">
        <f>industrie!C18</f>
        <v>6000</v>
      </c>
      <c r="D8" s="479">
        <f>industrie!D18</f>
        <v>259930.41194284783</v>
      </c>
      <c r="E8" s="479">
        <f>industrie!E18</f>
        <v>7037.9099921294837</v>
      </c>
      <c r="F8" s="479">
        <f>industrie!F18</f>
        <v>193300.02767278242</v>
      </c>
      <c r="G8" s="479">
        <f>industrie!G18</f>
        <v>0</v>
      </c>
      <c r="H8" s="479">
        <f>industrie!H18</f>
        <v>0</v>
      </c>
      <c r="I8" s="479">
        <f>industrie!I18</f>
        <v>0</v>
      </c>
      <c r="J8" s="479">
        <f>industrie!J18</f>
        <v>2340.2217405390224</v>
      </c>
      <c r="K8" s="479">
        <f>industrie!K18</f>
        <v>0</v>
      </c>
      <c r="L8" s="479">
        <f>industrie!L18</f>
        <v>0</v>
      </c>
      <c r="M8" s="479">
        <f>industrie!M18</f>
        <v>0</v>
      </c>
      <c r="N8" s="479">
        <f>industrie!N18</f>
        <v>69072.289543676699</v>
      </c>
      <c r="O8" s="479">
        <f>industrie!O18</f>
        <v>0</v>
      </c>
      <c r="P8" s="480">
        <f>industrie!P18</f>
        <v>0</v>
      </c>
      <c r="Q8" s="478">
        <f t="shared" si="0"/>
        <v>770317.28489197546</v>
      </c>
    </row>
    <row r="9" spans="1:17" s="484" customFormat="1">
      <c r="A9" s="482" t="s">
        <v>571</v>
      </c>
      <c r="B9" s="483">
        <f>transport!B14</f>
        <v>36.564884419688973</v>
      </c>
      <c r="C9" s="483"/>
      <c r="D9" s="483">
        <f>transport!D14</f>
        <v>101.4922964586795</v>
      </c>
      <c r="E9" s="483">
        <f>transport!E14</f>
        <v>677.56619999226916</v>
      </c>
      <c r="F9" s="483"/>
      <c r="G9" s="483">
        <f>transport!G14</f>
        <v>225469.96397423843</v>
      </c>
      <c r="H9" s="483">
        <f>transport!H14</f>
        <v>38617.701224196295</v>
      </c>
      <c r="I9" s="483"/>
      <c r="J9" s="483"/>
      <c r="K9" s="483"/>
      <c r="L9" s="483"/>
      <c r="M9" s="483">
        <f>transport!M14</f>
        <v>14231.200869356315</v>
      </c>
      <c r="N9" s="483"/>
      <c r="O9" s="483"/>
      <c r="P9" s="483"/>
      <c r="Q9" s="482">
        <f>SUM(B9:P9)</f>
        <v>279134.48944866174</v>
      </c>
    </row>
    <row r="10" spans="1:17">
      <c r="A10" s="478" t="s">
        <v>561</v>
      </c>
      <c r="B10" s="479">
        <f>transport!B54</f>
        <v>0</v>
      </c>
      <c r="C10" s="479"/>
      <c r="D10" s="479">
        <f>transport!D54</f>
        <v>0</v>
      </c>
      <c r="E10" s="479"/>
      <c r="F10" s="479"/>
      <c r="G10" s="479">
        <f>transport!G54</f>
        <v>4968.6201090416262</v>
      </c>
      <c r="H10" s="479"/>
      <c r="I10" s="479"/>
      <c r="J10" s="479"/>
      <c r="K10" s="479"/>
      <c r="L10" s="479"/>
      <c r="M10" s="479">
        <f>transport!M54</f>
        <v>283.34592050858726</v>
      </c>
      <c r="N10" s="479"/>
      <c r="O10" s="479"/>
      <c r="P10" s="480"/>
      <c r="Q10" s="478">
        <f t="shared" si="0"/>
        <v>5251.9660295502135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490346.75523034472</v>
      </c>
      <c r="C14" s="489">
        <f t="shared" ref="C14:Q14" ca="1" si="1">SUM(C4:C13)</f>
        <v>47355.000000000007</v>
      </c>
      <c r="D14" s="489">
        <f t="shared" ca="1" si="1"/>
        <v>673710.41598243196</v>
      </c>
      <c r="E14" s="489">
        <f t="shared" si="1"/>
        <v>16744.922390722801</v>
      </c>
      <c r="F14" s="489">
        <f t="shared" ca="1" si="1"/>
        <v>219517.81833012952</v>
      </c>
      <c r="G14" s="489">
        <f t="shared" si="1"/>
        <v>230438.58408328006</v>
      </c>
      <c r="H14" s="489">
        <f t="shared" si="1"/>
        <v>38617.701224196295</v>
      </c>
      <c r="I14" s="489">
        <f t="shared" si="1"/>
        <v>0</v>
      </c>
      <c r="J14" s="489">
        <f t="shared" si="1"/>
        <v>2864.7076296606892</v>
      </c>
      <c r="K14" s="489">
        <f t="shared" si="1"/>
        <v>0</v>
      </c>
      <c r="L14" s="489">
        <f t="shared" ca="1" si="1"/>
        <v>0</v>
      </c>
      <c r="M14" s="489">
        <f t="shared" si="1"/>
        <v>14514.546789864902</v>
      </c>
      <c r="N14" s="489">
        <f t="shared" ca="1" si="1"/>
        <v>106135.97665246166</v>
      </c>
      <c r="O14" s="489">
        <f t="shared" si="1"/>
        <v>977.08333333333348</v>
      </c>
      <c r="P14" s="490">
        <f t="shared" si="1"/>
        <v>1716</v>
      </c>
      <c r="Q14" s="490">
        <f t="shared" ca="1" si="1"/>
        <v>1842939.5116464258</v>
      </c>
    </row>
    <row r="16" spans="1:17">
      <c r="A16" s="492" t="s">
        <v>566</v>
      </c>
      <c r="B16" s="842">
        <f ca="1">huishoudens!B10</f>
        <v>0.19028107613766704</v>
      </c>
      <c r="C16" s="842">
        <f ca="1">huishoudens!C10</f>
        <v>7.8695921827711138E-2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18372.004855468891</v>
      </c>
      <c r="C21" s="479">
        <f t="shared" ref="C21:C28" ca="1" si="3">C4*$C$16</f>
        <v>0</v>
      </c>
      <c r="D21" s="479">
        <f t="shared" ref="D21:D30" si="4">D4*$D$16</f>
        <v>50247.823837878939</v>
      </c>
      <c r="E21" s="479">
        <f t="shared" ref="E21:E30" si="5">E4*$E$16</f>
        <v>1746.0352854172511</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70365.86397876509</v>
      </c>
    </row>
    <row r="22" spans="1:17">
      <c r="A22" s="478" t="s">
        <v>156</v>
      </c>
      <c r="B22" s="479">
        <f t="shared" ca="1" si="2"/>
        <v>28915.519721663895</v>
      </c>
      <c r="C22" s="479">
        <f t="shared" ca="1" si="3"/>
        <v>3254.4698471849947</v>
      </c>
      <c r="D22" s="479">
        <f t="shared" ca="1" si="4"/>
        <v>30722.488727152631</v>
      </c>
      <c r="E22" s="479">
        <f t="shared" si="5"/>
        <v>296.45599750808969</v>
      </c>
      <c r="F22" s="479">
        <f t="shared" ca="1" si="6"/>
        <v>4682.6253788544318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67871.559672364048</v>
      </c>
    </row>
    <row r="23" spans="1:17">
      <c r="A23" s="478" t="s">
        <v>194</v>
      </c>
      <c r="B23" s="479">
        <f t="shared" ca="1" si="2"/>
        <v>1091.9549753288138</v>
      </c>
      <c r="C23" s="479"/>
      <c r="D23" s="479"/>
      <c r="E23" s="479"/>
      <c r="F23" s="479"/>
      <c r="G23" s="479"/>
      <c r="H23" s="479"/>
      <c r="I23" s="479"/>
      <c r="J23" s="479"/>
      <c r="K23" s="479"/>
      <c r="L23" s="479"/>
      <c r="M23" s="479"/>
      <c r="N23" s="479"/>
      <c r="O23" s="479"/>
      <c r="P23" s="480"/>
      <c r="Q23" s="478">
        <f t="shared" ca="1" si="17"/>
        <v>1091.9549753288138</v>
      </c>
    </row>
    <row r="24" spans="1:17">
      <c r="A24" s="478" t="s">
        <v>112</v>
      </c>
      <c r="B24" s="479">
        <f t="shared" ca="1" si="2"/>
        <v>650.96200028679584</v>
      </c>
      <c r="C24" s="479">
        <f t="shared" ca="1" si="3"/>
        <v>0</v>
      </c>
      <c r="D24" s="479">
        <f t="shared" si="4"/>
        <v>2592.7468070797631</v>
      </c>
      <c r="E24" s="479">
        <f t="shared" si="5"/>
        <v>7.1930041570972989</v>
      </c>
      <c r="F24" s="479">
        <f t="shared" si="6"/>
        <v>2317.5247266572428</v>
      </c>
      <c r="G24" s="479">
        <f t="shared" si="7"/>
        <v>0</v>
      </c>
      <c r="H24" s="479">
        <f t="shared" si="8"/>
        <v>0</v>
      </c>
      <c r="I24" s="479">
        <f t="shared" si="9"/>
        <v>0</v>
      </c>
      <c r="J24" s="479">
        <f t="shared" si="10"/>
        <v>185.66800474907006</v>
      </c>
      <c r="K24" s="479">
        <f t="shared" si="11"/>
        <v>0</v>
      </c>
      <c r="L24" s="479">
        <f t="shared" si="12"/>
        <v>0</v>
      </c>
      <c r="M24" s="479">
        <f t="shared" si="13"/>
        <v>0</v>
      </c>
      <c r="N24" s="479">
        <f t="shared" si="14"/>
        <v>0</v>
      </c>
      <c r="O24" s="479">
        <f t="shared" si="15"/>
        <v>0</v>
      </c>
      <c r="P24" s="480">
        <f t="shared" si="16"/>
        <v>0</v>
      </c>
      <c r="Q24" s="478">
        <f t="shared" ca="1" si="17"/>
        <v>5754.0945429299691</v>
      </c>
    </row>
    <row r="25" spans="1:17">
      <c r="A25" s="478" t="s">
        <v>650</v>
      </c>
      <c r="B25" s="479">
        <f t="shared" ca="1" si="2"/>
        <v>44266.309107538589</v>
      </c>
      <c r="C25" s="479">
        <f t="shared" ca="1" si="3"/>
        <v>472.17553096626682</v>
      </c>
      <c r="D25" s="479">
        <f t="shared" si="4"/>
        <v>52505.943212455262</v>
      </c>
      <c r="E25" s="479">
        <f t="shared" si="5"/>
        <v>1597.6055682133929</v>
      </c>
      <c r="F25" s="479">
        <f t="shared" si="6"/>
        <v>51611.10738863291</v>
      </c>
      <c r="G25" s="479">
        <f t="shared" si="7"/>
        <v>0</v>
      </c>
      <c r="H25" s="479">
        <f t="shared" si="8"/>
        <v>0</v>
      </c>
      <c r="I25" s="479">
        <f t="shared" si="9"/>
        <v>0</v>
      </c>
      <c r="J25" s="479">
        <f t="shared" si="10"/>
        <v>828.43849615081388</v>
      </c>
      <c r="K25" s="479">
        <f t="shared" si="11"/>
        <v>0</v>
      </c>
      <c r="L25" s="479">
        <f t="shared" si="12"/>
        <v>0</v>
      </c>
      <c r="M25" s="479">
        <f t="shared" si="13"/>
        <v>0</v>
      </c>
      <c r="N25" s="479">
        <f t="shared" si="14"/>
        <v>0</v>
      </c>
      <c r="O25" s="479">
        <f t="shared" si="15"/>
        <v>0</v>
      </c>
      <c r="P25" s="480">
        <f t="shared" si="16"/>
        <v>0</v>
      </c>
      <c r="Q25" s="478">
        <f t="shared" ca="1" si="17"/>
        <v>151281.5793039572</v>
      </c>
    </row>
    <row r="26" spans="1:17" s="484" customFormat="1">
      <c r="A26" s="482" t="s">
        <v>571</v>
      </c>
      <c r="B26" s="836">
        <f t="shared" ca="1" si="2"/>
        <v>6.9576055562278327</v>
      </c>
      <c r="C26" s="483"/>
      <c r="D26" s="483">
        <f t="shared" si="4"/>
        <v>20.501443884653263</v>
      </c>
      <c r="E26" s="483">
        <f t="shared" si="5"/>
        <v>153.8075273982451</v>
      </c>
      <c r="F26" s="483"/>
      <c r="G26" s="483">
        <f t="shared" si="7"/>
        <v>60200.480381121663</v>
      </c>
      <c r="H26" s="483">
        <f t="shared" si="8"/>
        <v>9615.8076048248768</v>
      </c>
      <c r="I26" s="483"/>
      <c r="J26" s="483"/>
      <c r="K26" s="483"/>
      <c r="L26" s="483"/>
      <c r="M26" s="483">
        <f t="shared" si="13"/>
        <v>0</v>
      </c>
      <c r="N26" s="483"/>
      <c r="O26" s="483"/>
      <c r="P26" s="494"/>
      <c r="Q26" s="482">
        <f t="shared" ca="1" si="17"/>
        <v>69997.554562785663</v>
      </c>
    </row>
    <row r="27" spans="1:17">
      <c r="A27" s="478" t="s">
        <v>561</v>
      </c>
      <c r="B27" s="479">
        <f t="shared" ca="1" si="2"/>
        <v>0</v>
      </c>
      <c r="C27" s="479"/>
      <c r="D27" s="483">
        <f t="shared" si="4"/>
        <v>0</v>
      </c>
      <c r="E27" s="479"/>
      <c r="F27" s="479"/>
      <c r="G27" s="479">
        <f t="shared" si="7"/>
        <v>1326.6215691141142</v>
      </c>
      <c r="H27" s="479"/>
      <c r="I27" s="479"/>
      <c r="J27" s="479"/>
      <c r="K27" s="479"/>
      <c r="L27" s="479"/>
      <c r="M27" s="479">
        <f t="shared" si="13"/>
        <v>0</v>
      </c>
      <c r="N27" s="479"/>
      <c r="O27" s="479"/>
      <c r="P27" s="480"/>
      <c r="Q27" s="478">
        <f t="shared" ca="1" si="17"/>
        <v>1326.6215691141142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93303.708265843205</v>
      </c>
      <c r="C31" s="489">
        <f t="shared" ca="1" si="18"/>
        <v>3726.6453781512614</v>
      </c>
      <c r="D31" s="489">
        <f t="shared" ca="1" si="18"/>
        <v>136089.50402845125</v>
      </c>
      <c r="E31" s="489">
        <f t="shared" si="18"/>
        <v>3801.0973826940758</v>
      </c>
      <c r="F31" s="489">
        <f t="shared" ca="1" si="18"/>
        <v>58611.257494144586</v>
      </c>
      <c r="G31" s="489">
        <f t="shared" si="18"/>
        <v>61527.101950235774</v>
      </c>
      <c r="H31" s="489">
        <f t="shared" si="18"/>
        <v>9615.8076048248768</v>
      </c>
      <c r="I31" s="489">
        <f t="shared" si="18"/>
        <v>0</v>
      </c>
      <c r="J31" s="489">
        <f t="shared" si="18"/>
        <v>1014.1065008998839</v>
      </c>
      <c r="K31" s="489">
        <f t="shared" si="18"/>
        <v>0</v>
      </c>
      <c r="L31" s="489">
        <f t="shared" ca="1" si="18"/>
        <v>0</v>
      </c>
      <c r="M31" s="489">
        <f t="shared" si="18"/>
        <v>0</v>
      </c>
      <c r="N31" s="489">
        <f t="shared" ca="1" si="18"/>
        <v>0</v>
      </c>
      <c r="O31" s="489">
        <f t="shared" si="18"/>
        <v>0</v>
      </c>
      <c r="P31" s="490">
        <f t="shared" si="18"/>
        <v>0</v>
      </c>
      <c r="Q31" s="490">
        <f t="shared" ca="1" si="18"/>
        <v>367689.22860524483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0.19028107613766704</v>
      </c>
      <c r="C17" s="529">
        <f ca="1">'EF ele_warmte'!B22</f>
        <v>7.8695921827711138E-2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0.19028107613766704</v>
      </c>
      <c r="C17" s="529">
        <f ca="1">'EF ele_warmte'!B22</f>
        <v>7.8695921827711138E-2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0.19028107613766704</v>
      </c>
      <c r="C29" s="530">
        <f ca="1">'EF ele_warmte'!B22</f>
        <v>7.8695921827711138E-2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25671</v>
      </c>
      <c r="C9" s="342">
        <v>26419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2442</v>
      </c>
    </row>
    <row r="15" spans="1:6">
      <c r="A15" s="348" t="s">
        <v>184</v>
      </c>
      <c r="B15" s="334">
        <v>14</v>
      </c>
    </row>
    <row r="16" spans="1:6">
      <c r="A16" s="348" t="s">
        <v>6</v>
      </c>
      <c r="B16" s="334">
        <v>453</v>
      </c>
    </row>
    <row r="17" spans="1:6">
      <c r="A17" s="348" t="s">
        <v>7</v>
      </c>
      <c r="B17" s="334">
        <v>481</v>
      </c>
    </row>
    <row r="18" spans="1:6">
      <c r="A18" s="348" t="s">
        <v>8</v>
      </c>
      <c r="B18" s="334">
        <v>654</v>
      </c>
    </row>
    <row r="19" spans="1:6">
      <c r="A19" s="348" t="s">
        <v>9</v>
      </c>
      <c r="B19" s="334">
        <v>794</v>
      </c>
    </row>
    <row r="20" spans="1:6">
      <c r="A20" s="348" t="s">
        <v>10</v>
      </c>
      <c r="B20" s="334">
        <v>398</v>
      </c>
    </row>
    <row r="21" spans="1:6">
      <c r="A21" s="348" t="s">
        <v>11</v>
      </c>
      <c r="B21" s="334">
        <v>15389</v>
      </c>
    </row>
    <row r="22" spans="1:6">
      <c r="A22" s="348" t="s">
        <v>12</v>
      </c>
      <c r="B22" s="334">
        <v>33033</v>
      </c>
    </row>
    <row r="23" spans="1:6">
      <c r="A23" s="348" t="s">
        <v>13</v>
      </c>
      <c r="B23" s="334">
        <v>668</v>
      </c>
    </row>
    <row r="24" spans="1:6">
      <c r="A24" s="348" t="s">
        <v>14</v>
      </c>
      <c r="B24" s="334">
        <v>73</v>
      </c>
    </row>
    <row r="25" spans="1:6">
      <c r="A25" s="348" t="s">
        <v>15</v>
      </c>
      <c r="B25" s="334">
        <v>4048</v>
      </c>
    </row>
    <row r="26" spans="1:6">
      <c r="A26" s="348" t="s">
        <v>16</v>
      </c>
      <c r="B26" s="334">
        <v>643</v>
      </c>
    </row>
    <row r="27" spans="1:6">
      <c r="A27" s="348" t="s">
        <v>17</v>
      </c>
      <c r="B27" s="334">
        <v>20</v>
      </c>
    </row>
    <row r="28" spans="1:6" s="356" customFormat="1">
      <c r="A28" s="355" t="s">
        <v>18</v>
      </c>
      <c r="B28" s="355">
        <v>97433</v>
      </c>
    </row>
    <row r="29" spans="1:6">
      <c r="A29" s="355" t="s">
        <v>865</v>
      </c>
      <c r="B29" s="355">
        <v>58</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963507.52782737697</v>
      </c>
      <c r="E36" s="334">
        <v>17</v>
      </c>
      <c r="F36" s="334">
        <v>176643.5</v>
      </c>
    </row>
    <row r="37" spans="1:6">
      <c r="A37" s="348" t="s">
        <v>25</v>
      </c>
      <c r="B37" s="348" t="s">
        <v>28</v>
      </c>
      <c r="C37" s="334">
        <v>0</v>
      </c>
      <c r="D37" s="334">
        <v>0</v>
      </c>
      <c r="E37" s="334">
        <v>0</v>
      </c>
      <c r="F37" s="334">
        <v>0</v>
      </c>
    </row>
    <row r="38" spans="1:6">
      <c r="A38" s="348" t="s">
        <v>25</v>
      </c>
      <c r="B38" s="348" t="s">
        <v>29</v>
      </c>
      <c r="C38" s="334">
        <v>3</v>
      </c>
      <c r="D38" s="334">
        <v>146875.00542404599</v>
      </c>
      <c r="E38" s="334">
        <v>2</v>
      </c>
      <c r="F38" s="334">
        <v>129909</v>
      </c>
    </row>
    <row r="39" spans="1:6">
      <c r="A39" s="348" t="s">
        <v>30</v>
      </c>
      <c r="B39" s="348" t="s">
        <v>31</v>
      </c>
      <c r="C39" s="334">
        <v>20626</v>
      </c>
      <c r="D39" s="334">
        <v>275777830.55190301</v>
      </c>
      <c r="E39" s="334">
        <v>24962</v>
      </c>
      <c r="F39" s="334">
        <v>85594263</v>
      </c>
    </row>
    <row r="40" spans="1:6">
      <c r="A40" s="348" t="s">
        <v>30</v>
      </c>
      <c r="B40" s="348" t="s">
        <v>29</v>
      </c>
      <c r="C40" s="334">
        <v>0</v>
      </c>
      <c r="D40" s="334">
        <v>0</v>
      </c>
      <c r="E40" s="334">
        <v>2</v>
      </c>
      <c r="F40" s="334">
        <v>26724.71</v>
      </c>
    </row>
    <row r="41" spans="1:6">
      <c r="A41" s="348" t="s">
        <v>32</v>
      </c>
      <c r="B41" s="348" t="s">
        <v>33</v>
      </c>
      <c r="C41" s="334">
        <v>273</v>
      </c>
      <c r="D41" s="334">
        <v>8505596.2031446304</v>
      </c>
      <c r="E41" s="334">
        <v>627</v>
      </c>
      <c r="F41" s="334">
        <v>10169412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43</v>
      </c>
      <c r="D44" s="334">
        <v>17464005.7717751</v>
      </c>
      <c r="E44" s="334">
        <v>141</v>
      </c>
      <c r="F44" s="334">
        <v>25122767</v>
      </c>
    </row>
    <row r="45" spans="1:6">
      <c r="A45" s="348" t="s">
        <v>32</v>
      </c>
      <c r="B45" s="348" t="s">
        <v>37</v>
      </c>
      <c r="C45" s="334">
        <v>11</v>
      </c>
      <c r="D45" s="334">
        <v>1179519.3220683199</v>
      </c>
      <c r="E45" s="334">
        <v>20</v>
      </c>
      <c r="F45" s="334">
        <v>30383283</v>
      </c>
    </row>
    <row r="46" spans="1:6">
      <c r="A46" s="348" t="s">
        <v>32</v>
      </c>
      <c r="B46" s="348" t="s">
        <v>38</v>
      </c>
      <c r="C46" s="334">
        <v>0</v>
      </c>
      <c r="D46" s="334">
        <v>0</v>
      </c>
      <c r="E46" s="334">
        <v>0</v>
      </c>
      <c r="F46" s="334">
        <v>0</v>
      </c>
    </row>
    <row r="47" spans="1:6">
      <c r="A47" s="348" t="s">
        <v>32</v>
      </c>
      <c r="B47" s="348" t="s">
        <v>39</v>
      </c>
      <c r="C47" s="334">
        <v>15</v>
      </c>
      <c r="D47" s="334">
        <v>21027965.414712399</v>
      </c>
      <c r="E47" s="334">
        <v>28</v>
      </c>
      <c r="F47" s="334">
        <v>23058609</v>
      </c>
    </row>
    <row r="48" spans="1:6">
      <c r="A48" s="348" t="s">
        <v>32</v>
      </c>
      <c r="B48" s="348" t="s">
        <v>29</v>
      </c>
      <c r="C48" s="334">
        <v>52</v>
      </c>
      <c r="D48" s="334">
        <v>96858300.424702302</v>
      </c>
      <c r="E48" s="334">
        <v>67</v>
      </c>
      <c r="F48" s="334">
        <v>50735265</v>
      </c>
    </row>
    <row r="49" spans="1:6">
      <c r="A49" s="348" t="s">
        <v>32</v>
      </c>
      <c r="B49" s="348" t="s">
        <v>40</v>
      </c>
      <c r="C49" s="334">
        <v>8</v>
      </c>
      <c r="D49" s="334">
        <v>631298.66187954601</v>
      </c>
      <c r="E49" s="334">
        <v>20</v>
      </c>
      <c r="F49" s="334">
        <v>1961898</v>
      </c>
    </row>
    <row r="50" spans="1:6">
      <c r="A50" s="348" t="s">
        <v>32</v>
      </c>
      <c r="B50" s="348" t="s">
        <v>41</v>
      </c>
      <c r="C50" s="334">
        <v>78</v>
      </c>
      <c r="D50" s="334">
        <v>155808272.00975299</v>
      </c>
      <c r="E50" s="334">
        <v>114</v>
      </c>
      <c r="F50" s="334">
        <v>87005190</v>
      </c>
    </row>
    <row r="51" spans="1:6">
      <c r="A51" s="348" t="s">
        <v>42</v>
      </c>
      <c r="B51" s="348" t="s">
        <v>43</v>
      </c>
      <c r="C51" s="334">
        <v>40</v>
      </c>
      <c r="D51" s="334">
        <v>2178596.9461981999</v>
      </c>
      <c r="E51" s="334">
        <v>203</v>
      </c>
      <c r="F51" s="334">
        <v>3391148</v>
      </c>
    </row>
    <row r="52" spans="1:6">
      <c r="A52" s="348" t="s">
        <v>42</v>
      </c>
      <c r="B52" s="348" t="s">
        <v>29</v>
      </c>
      <c r="C52" s="334">
        <v>5</v>
      </c>
      <c r="D52" s="334">
        <v>88392.571813581802</v>
      </c>
      <c r="E52" s="334">
        <v>3</v>
      </c>
      <c r="F52" s="334">
        <v>29906.86</v>
      </c>
    </row>
    <row r="53" spans="1:6">
      <c r="A53" s="348" t="s">
        <v>44</v>
      </c>
      <c r="B53" s="348" t="s">
        <v>45</v>
      </c>
      <c r="C53" s="334">
        <v>616</v>
      </c>
      <c r="D53" s="334">
        <v>11962922.0485826</v>
      </c>
      <c r="E53" s="334">
        <v>1088</v>
      </c>
      <c r="F53" s="334">
        <v>4482953</v>
      </c>
    </row>
    <row r="54" spans="1:6">
      <c r="A54" s="348" t="s">
        <v>46</v>
      </c>
      <c r="B54" s="348" t="s">
        <v>47</v>
      </c>
      <c r="C54" s="334">
        <v>0</v>
      </c>
      <c r="D54" s="334">
        <v>0</v>
      </c>
      <c r="E54" s="334">
        <v>1</v>
      </c>
      <c r="F54" s="334">
        <v>5738642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252</v>
      </c>
      <c r="D57" s="334">
        <v>52357908.790576003</v>
      </c>
      <c r="E57" s="334">
        <v>332</v>
      </c>
      <c r="F57" s="334">
        <v>5090769</v>
      </c>
    </row>
    <row r="58" spans="1:6">
      <c r="A58" s="348" t="s">
        <v>49</v>
      </c>
      <c r="B58" s="348" t="s">
        <v>51</v>
      </c>
      <c r="C58" s="334">
        <v>280</v>
      </c>
      <c r="D58" s="334">
        <v>16292711.9615073</v>
      </c>
      <c r="E58" s="334">
        <v>322</v>
      </c>
      <c r="F58" s="334">
        <v>20224607</v>
      </c>
    </row>
    <row r="59" spans="1:6">
      <c r="A59" s="348" t="s">
        <v>49</v>
      </c>
      <c r="B59" s="348" t="s">
        <v>52</v>
      </c>
      <c r="C59" s="334">
        <v>717</v>
      </c>
      <c r="D59" s="334">
        <v>31145056.5991298</v>
      </c>
      <c r="E59" s="334">
        <v>1186</v>
      </c>
      <c r="F59" s="334">
        <v>46317132</v>
      </c>
    </row>
    <row r="60" spans="1:6">
      <c r="A60" s="348" t="s">
        <v>49</v>
      </c>
      <c r="B60" s="348" t="s">
        <v>53</v>
      </c>
      <c r="C60" s="334">
        <v>345</v>
      </c>
      <c r="D60" s="334">
        <v>24335365.553639699</v>
      </c>
      <c r="E60" s="334">
        <v>524</v>
      </c>
      <c r="F60" s="334">
        <v>14910857</v>
      </c>
    </row>
    <row r="61" spans="1:6">
      <c r="A61" s="348" t="s">
        <v>49</v>
      </c>
      <c r="B61" s="348" t="s">
        <v>54</v>
      </c>
      <c r="C61" s="334">
        <v>813</v>
      </c>
      <c r="D61" s="334">
        <v>34870451.8780917</v>
      </c>
      <c r="E61" s="334">
        <v>1580</v>
      </c>
      <c r="F61" s="334">
        <v>25941584</v>
      </c>
    </row>
    <row r="62" spans="1:6">
      <c r="A62" s="348" t="s">
        <v>49</v>
      </c>
      <c r="B62" s="348" t="s">
        <v>55</v>
      </c>
      <c r="C62" s="334">
        <v>47</v>
      </c>
      <c r="D62" s="334">
        <v>3375621.3358099801</v>
      </c>
      <c r="E62" s="334">
        <v>81</v>
      </c>
      <c r="F62" s="334">
        <v>2402472</v>
      </c>
    </row>
    <row r="63" spans="1:6">
      <c r="A63" s="348" t="s">
        <v>49</v>
      </c>
      <c r="B63" s="348" t="s">
        <v>29</v>
      </c>
      <c r="C63" s="334">
        <v>87</v>
      </c>
      <c r="D63" s="334">
        <v>27705351.170711</v>
      </c>
      <c r="E63" s="334">
        <v>69</v>
      </c>
      <c r="F63" s="334">
        <v>7986720</v>
      </c>
    </row>
    <row r="64" spans="1:6">
      <c r="A64" s="348" t="s">
        <v>56</v>
      </c>
      <c r="B64" s="348" t="s">
        <v>57</v>
      </c>
      <c r="C64" s="334">
        <v>0</v>
      </c>
      <c r="D64" s="334">
        <v>0</v>
      </c>
      <c r="E64" s="334">
        <v>0</v>
      </c>
      <c r="F64" s="334">
        <v>0</v>
      </c>
    </row>
    <row r="65" spans="1:6">
      <c r="A65" s="348" t="s">
        <v>56</v>
      </c>
      <c r="B65" s="348" t="s">
        <v>29</v>
      </c>
      <c r="C65" s="334">
        <v>4</v>
      </c>
      <c r="D65" s="334">
        <v>464063.57399363501</v>
      </c>
      <c r="E65" s="334">
        <v>3</v>
      </c>
      <c r="F65" s="334">
        <v>24630.57</v>
      </c>
    </row>
    <row r="66" spans="1:6">
      <c r="A66" s="348" t="s">
        <v>56</v>
      </c>
      <c r="B66" s="348" t="s">
        <v>58</v>
      </c>
      <c r="C66" s="334">
        <v>0</v>
      </c>
      <c r="D66" s="334">
        <v>0</v>
      </c>
      <c r="E66" s="334">
        <v>23</v>
      </c>
      <c r="F66" s="334">
        <v>563525.9</v>
      </c>
    </row>
    <row r="67" spans="1:6">
      <c r="A67" s="355" t="s">
        <v>56</v>
      </c>
      <c r="B67" s="355" t="s">
        <v>59</v>
      </c>
      <c r="C67" s="334">
        <v>0</v>
      </c>
      <c r="D67" s="334">
        <v>0</v>
      </c>
      <c r="E67" s="334">
        <v>0</v>
      </c>
      <c r="F67" s="334">
        <v>0</v>
      </c>
    </row>
    <row r="68" spans="1:6">
      <c r="A68" s="341" t="s">
        <v>56</v>
      </c>
      <c r="B68" s="341" t="s">
        <v>60</v>
      </c>
      <c r="C68" s="334">
        <v>22</v>
      </c>
      <c r="D68" s="334">
        <v>810172.29318816704</v>
      </c>
      <c r="E68" s="334">
        <v>48</v>
      </c>
      <c r="F68" s="334">
        <v>1261953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135843332</v>
      </c>
      <c r="E73" s="477">
        <v>141712359.61163843</v>
      </c>
    </row>
    <row r="74" spans="1:6">
      <c r="A74" s="348" t="s">
        <v>64</v>
      </c>
      <c r="B74" s="348" t="s">
        <v>714</v>
      </c>
      <c r="C74" s="1288" t="s">
        <v>716</v>
      </c>
      <c r="D74" s="477">
        <v>18593188.644295804</v>
      </c>
      <c r="E74" s="477">
        <v>19270686.712025456</v>
      </c>
    </row>
    <row r="75" spans="1:6">
      <c r="A75" s="348" t="s">
        <v>65</v>
      </c>
      <c r="B75" s="348" t="s">
        <v>713</v>
      </c>
      <c r="C75" s="1288" t="s">
        <v>717</v>
      </c>
      <c r="D75" s="477">
        <v>65260168</v>
      </c>
      <c r="E75" s="477">
        <v>68446519.715184838</v>
      </c>
    </row>
    <row r="76" spans="1:6">
      <c r="A76" s="348" t="s">
        <v>65</v>
      </c>
      <c r="B76" s="348" t="s">
        <v>714</v>
      </c>
      <c r="C76" s="1288" t="s">
        <v>718</v>
      </c>
      <c r="D76" s="477">
        <v>4195971.6442958033</v>
      </c>
      <c r="E76" s="477">
        <v>4352791.949933433</v>
      </c>
    </row>
    <row r="77" spans="1:6">
      <c r="A77" s="348" t="s">
        <v>66</v>
      </c>
      <c r="B77" s="348" t="s">
        <v>713</v>
      </c>
      <c r="C77" s="1288" t="s">
        <v>719</v>
      </c>
      <c r="D77" s="477">
        <v>65689240</v>
      </c>
      <c r="E77" s="477">
        <v>75081531.539657161</v>
      </c>
    </row>
    <row r="78" spans="1:6">
      <c r="A78" s="341" t="s">
        <v>66</v>
      </c>
      <c r="B78" s="341" t="s">
        <v>714</v>
      </c>
      <c r="C78" s="341" t="s">
        <v>720</v>
      </c>
      <c r="D78" s="1284">
        <v>11843332</v>
      </c>
      <c r="E78" s="1284">
        <v>12422295.847706595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1403450.7114083939</v>
      </c>
      <c r="C83" s="477">
        <v>1415431.2339749315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21899.257849603226</v>
      </c>
    </row>
    <row r="91" spans="1:6">
      <c r="A91" s="348" t="s">
        <v>68</v>
      </c>
      <c r="B91" s="334">
        <v>10930.94077592509</v>
      </c>
    </row>
    <row r="92" spans="1:6">
      <c r="A92" s="341" t="s">
        <v>69</v>
      </c>
      <c r="B92" s="342">
        <v>13843.68555894613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15096</v>
      </c>
    </row>
    <row r="98" spans="1:6">
      <c r="A98" s="348" t="s">
        <v>72</v>
      </c>
      <c r="B98" s="334">
        <v>2</v>
      </c>
    </row>
    <row r="99" spans="1:6">
      <c r="A99" s="348" t="s">
        <v>73</v>
      </c>
      <c r="B99" s="334">
        <v>218</v>
      </c>
    </row>
    <row r="100" spans="1:6">
      <c r="A100" s="348" t="s">
        <v>74</v>
      </c>
      <c r="B100" s="334">
        <v>1605</v>
      </c>
    </row>
    <row r="101" spans="1:6">
      <c r="A101" s="348" t="s">
        <v>75</v>
      </c>
      <c r="B101" s="334">
        <v>277</v>
      </c>
    </row>
    <row r="102" spans="1:6">
      <c r="A102" s="348" t="s">
        <v>76</v>
      </c>
      <c r="B102" s="334">
        <v>397</v>
      </c>
    </row>
    <row r="103" spans="1:6">
      <c r="A103" s="348" t="s">
        <v>77</v>
      </c>
      <c r="B103" s="334">
        <v>430</v>
      </c>
    </row>
    <row r="104" spans="1:6">
      <c r="A104" s="348" t="s">
        <v>78</v>
      </c>
      <c r="B104" s="334">
        <v>3828</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108</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511</v>
      </c>
    </row>
    <row r="130" spans="1:6">
      <c r="A130" s="348" t="s">
        <v>295</v>
      </c>
      <c r="B130" s="334">
        <v>3</v>
      </c>
    </row>
    <row r="131" spans="1:6">
      <c r="A131" s="348" t="s">
        <v>296</v>
      </c>
      <c r="B131" s="334">
        <v>11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490346.75523034472</v>
      </c>
      <c r="C3" s="43" t="s">
        <v>170</v>
      </c>
      <c r="D3" s="43"/>
      <c r="E3" s="154"/>
      <c r="F3" s="43"/>
      <c r="G3" s="43"/>
      <c r="H3" s="43"/>
      <c r="I3" s="43"/>
      <c r="J3" s="43"/>
      <c r="K3" s="96"/>
    </row>
    <row r="4" spans="1:11">
      <c r="A4" s="384" t="s">
        <v>171</v>
      </c>
      <c r="B4" s="49">
        <f>IF(ISERROR('SEAP template'!B69),0,'SEAP template'!B69)</f>
        <v>79961.884184474446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2608.6517647058827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0.19028107613766704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3726.6453781512614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47355.000000000007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7.8695921827711138E-2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5738.6419999999998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5738.6419999999998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0.19028107613766704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1091.9549753288138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85620.987709999987</v>
      </c>
      <c r="C5" s="17">
        <f>IF(ISERROR('Eigen informatie GS &amp; warmtenet'!B57),0,'Eigen informatie GS &amp; warmtenet'!B57)</f>
        <v>0</v>
      </c>
      <c r="D5" s="30">
        <f>(SUM(HH_hh_gas_kWh,HH_rest_gas_kWh)/1000)*0.902</f>
        <v>248751.60315781651</v>
      </c>
      <c r="E5" s="17">
        <f>B46*B57</f>
        <v>7691.7853983138812</v>
      </c>
      <c r="F5" s="17">
        <f>B51*B62</f>
        <v>0</v>
      </c>
      <c r="G5" s="18"/>
      <c r="H5" s="17"/>
      <c r="I5" s="17"/>
      <c r="J5" s="17">
        <f>B50*B61+C50*C61</f>
        <v>0</v>
      </c>
      <c r="K5" s="17"/>
      <c r="L5" s="17"/>
      <c r="M5" s="17"/>
      <c r="N5" s="17">
        <f>B48*B59+C48*C59</f>
        <v>37063.687108784958</v>
      </c>
      <c r="O5" s="17">
        <f>B69*B70*B71</f>
        <v>972.39333333333343</v>
      </c>
      <c r="P5" s="17">
        <f>B77*B78*B79/1000-B77*B78*B79/1000/B80</f>
        <v>1506.2666666666667</v>
      </c>
    </row>
    <row r="6" spans="1:16">
      <c r="A6" s="16" t="s">
        <v>631</v>
      </c>
      <c r="B6" s="844">
        <f>kWh_PV_kleiner_dan_10kW</f>
        <v>10930.94077592509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96551.928485925077</v>
      </c>
      <c r="C8" s="21">
        <f>C5</f>
        <v>0</v>
      </c>
      <c r="D8" s="21">
        <f>D5</f>
        <v>248751.60315781651</v>
      </c>
      <c r="E8" s="21">
        <f>E5</f>
        <v>7691.7853983138812</v>
      </c>
      <c r="F8" s="21">
        <f>F5</f>
        <v>0</v>
      </c>
      <c r="G8" s="21"/>
      <c r="H8" s="21"/>
      <c r="I8" s="21"/>
      <c r="J8" s="21">
        <f>J5</f>
        <v>0</v>
      </c>
      <c r="K8" s="21"/>
      <c r="L8" s="21">
        <f>L5</f>
        <v>0</v>
      </c>
      <c r="M8" s="21">
        <f>M5</f>
        <v>0</v>
      </c>
      <c r="N8" s="21">
        <f>N5</f>
        <v>37063.687108784958</v>
      </c>
      <c r="O8" s="21">
        <f>O5</f>
        <v>972.39333333333343</v>
      </c>
      <c r="P8" s="21">
        <f>P5</f>
        <v>1506.2666666666667</v>
      </c>
    </row>
    <row r="9" spans="1:16">
      <c r="B9" s="19"/>
      <c r="C9" s="19"/>
      <c r="D9" s="258"/>
      <c r="E9" s="19"/>
      <c r="F9" s="19"/>
      <c r="G9" s="19"/>
      <c r="H9" s="19"/>
      <c r="I9" s="19"/>
      <c r="J9" s="19"/>
      <c r="K9" s="19"/>
      <c r="L9" s="19"/>
      <c r="M9" s="19"/>
      <c r="N9" s="19"/>
      <c r="O9" s="19"/>
      <c r="P9" s="19"/>
    </row>
    <row r="10" spans="1:16">
      <c r="A10" s="24" t="s">
        <v>214</v>
      </c>
      <c r="B10" s="25">
        <f ca="1">'EF ele_warmte'!B12</f>
        <v>0.19028107613766704</v>
      </c>
      <c r="C10" s="25">
        <f ca="1">'EF ele_warmte'!B22</f>
        <v>7.8695921827711138E-2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18372.004855468891</v>
      </c>
      <c r="C12" s="23">
        <f ca="1">C10*C8</f>
        <v>0</v>
      </c>
      <c r="D12" s="23">
        <f>D8*D10</f>
        <v>50247.823837878939</v>
      </c>
      <c r="E12" s="23">
        <f>E10*E8</f>
        <v>1746.0352854172511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15096</v>
      </c>
      <c r="C18" s="166" t="s">
        <v>111</v>
      </c>
      <c r="D18" s="228"/>
      <c r="E18" s="15"/>
    </row>
    <row r="19" spans="1:7">
      <c r="A19" s="171" t="s">
        <v>72</v>
      </c>
      <c r="B19" s="37">
        <f>aantalw2001_ander</f>
        <v>2</v>
      </c>
      <c r="C19" s="166" t="s">
        <v>111</v>
      </c>
      <c r="D19" s="229"/>
      <c r="E19" s="15"/>
    </row>
    <row r="20" spans="1:7">
      <c r="A20" s="171" t="s">
        <v>73</v>
      </c>
      <c r="B20" s="37">
        <f>aantalw2001_propaan</f>
        <v>218</v>
      </c>
      <c r="C20" s="167">
        <f>IF(ISERROR(B20/SUM($B$20,$B$21,$B$22)*100),0,B20/SUM($B$20,$B$21,$B$22)*100)</f>
        <v>10.380952380952381</v>
      </c>
      <c r="D20" s="229"/>
      <c r="E20" s="15"/>
    </row>
    <row r="21" spans="1:7">
      <c r="A21" s="171" t="s">
        <v>74</v>
      </c>
      <c r="B21" s="37">
        <f>aantalw2001_elektriciteit</f>
        <v>1605</v>
      </c>
      <c r="C21" s="167">
        <f>IF(ISERROR(B21/SUM($B$20,$B$21,$B$22)*100),0,B21/SUM($B$20,$B$21,$B$22)*100)</f>
        <v>76.428571428571416</v>
      </c>
      <c r="D21" s="229"/>
      <c r="E21" s="15"/>
    </row>
    <row r="22" spans="1:7">
      <c r="A22" s="171" t="s">
        <v>75</v>
      </c>
      <c r="B22" s="37">
        <f>aantalw2001_hout</f>
        <v>277</v>
      </c>
      <c r="C22" s="167">
        <f>IF(ISERROR(B22/SUM($B$20,$B$21,$B$22)*100),0,B22/SUM($B$20,$B$21,$B$22)*100)</f>
        <v>13.190476190476192</v>
      </c>
      <c r="D22" s="229"/>
      <c r="E22" s="15"/>
    </row>
    <row r="23" spans="1:7">
      <c r="A23" s="171" t="s">
        <v>76</v>
      </c>
      <c r="B23" s="37">
        <f>aantalw2001_niet_gespec</f>
        <v>397</v>
      </c>
      <c r="C23" s="166" t="s">
        <v>111</v>
      </c>
      <c r="D23" s="228"/>
      <c r="E23" s="15"/>
    </row>
    <row r="24" spans="1:7">
      <c r="A24" s="171" t="s">
        <v>77</v>
      </c>
      <c r="B24" s="37">
        <f>aantalw2001_steenkool</f>
        <v>430</v>
      </c>
      <c r="C24" s="166" t="s">
        <v>111</v>
      </c>
      <c r="D24" s="229"/>
      <c r="E24" s="15"/>
    </row>
    <row r="25" spans="1:7">
      <c r="A25" s="171" t="s">
        <v>78</v>
      </c>
      <c r="B25" s="37">
        <f>aantalw2001_stookolie</f>
        <v>3828</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25671</v>
      </c>
      <c r="C28" s="36"/>
      <c r="D28" s="228"/>
    </row>
    <row r="29" spans="1:7" s="15" customFormat="1">
      <c r="A29" s="230" t="s">
        <v>741</v>
      </c>
      <c r="B29" s="37">
        <f>SUM(HH_hh_gas_aantal,HH_rest_gas_aantal)</f>
        <v>20626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20626</v>
      </c>
      <c r="C32" s="167">
        <f>IF(ISERROR(B32/SUM($B$32,$B$34,$B$35,$B$36,$B$38,$B$39)*100),0,B32/SUM($B$32,$B$34,$B$35,$B$36,$B$38,$B$39)*100)</f>
        <v>80.59549859331041</v>
      </c>
      <c r="D32" s="233"/>
      <c r="G32" s="15"/>
    </row>
    <row r="33" spans="1:7">
      <c r="A33" s="171" t="s">
        <v>72</v>
      </c>
      <c r="B33" s="34" t="s">
        <v>111</v>
      </c>
      <c r="C33" s="167"/>
      <c r="D33" s="233"/>
      <c r="G33" s="15"/>
    </row>
    <row r="34" spans="1:7">
      <c r="A34" s="171" t="s">
        <v>73</v>
      </c>
      <c r="B34" s="33">
        <f>IF((($B$28-$B$32-$B$39-$B$77-$B$38)*C20/100)&lt;0,0,($B$28-$B$32-$B$39-$B$77-$B$38)*C20/100)</f>
        <v>515.51809523809527</v>
      </c>
      <c r="C34" s="167">
        <f>IF(ISERROR(B34/SUM($B$32,$B$34,$B$35,$B$36,$B$38,$B$39)*100),0,B34/SUM($B$32,$B$34,$B$35,$B$36,$B$38,$B$39)*100)</f>
        <v>2.0143720507896816</v>
      </c>
      <c r="D34" s="233"/>
      <c r="G34" s="15"/>
    </row>
    <row r="35" spans="1:7">
      <c r="A35" s="171" t="s">
        <v>74</v>
      </c>
      <c r="B35" s="33">
        <f>IF((($B$28-$B$32-$B$39-$B$77-$B$38)*C21/100)&lt;0,0,($B$28-$B$32-$B$39-$B$77-$B$38)*C21/100)</f>
        <v>3795.4428571428566</v>
      </c>
      <c r="C35" s="167">
        <f>IF(ISERROR(B35/SUM($B$32,$B$34,$B$35,$B$36,$B$38,$B$39)*100),0,B35/SUM($B$32,$B$34,$B$35,$B$36,$B$38,$B$39)*100)</f>
        <v>14.830583217969901</v>
      </c>
      <c r="D35" s="233"/>
      <c r="G35" s="15"/>
    </row>
    <row r="36" spans="1:7">
      <c r="A36" s="171" t="s">
        <v>75</v>
      </c>
      <c r="B36" s="33">
        <f>IF((($B$28-$B$32-$B$39-$B$77-$B$38)*C22/100)&lt;0,0,($B$28-$B$32-$B$39-$B$77-$B$38)*C22/100)</f>
        <v>655.03904761904766</v>
      </c>
      <c r="C36" s="167">
        <f>IF(ISERROR(B36/SUM($B$32,$B$34,$B$35,$B$36,$B$38,$B$39)*100),0,B36/SUM($B$32,$B$34,$B$35,$B$36,$B$38,$B$39)*100)</f>
        <v>2.559546137930008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20626</v>
      </c>
      <c r="C44" s="34" t="s">
        <v>111</v>
      </c>
      <c r="D44" s="174"/>
    </row>
    <row r="45" spans="1:7">
      <c r="A45" s="171" t="s">
        <v>72</v>
      </c>
      <c r="B45" s="33" t="str">
        <f t="shared" si="0"/>
        <v>-</v>
      </c>
      <c r="C45" s="34" t="s">
        <v>111</v>
      </c>
      <c r="D45" s="174"/>
    </row>
    <row r="46" spans="1:7">
      <c r="A46" s="171" t="s">
        <v>73</v>
      </c>
      <c r="B46" s="33">
        <f t="shared" si="0"/>
        <v>515.51809523809527</v>
      </c>
      <c r="C46" s="34" t="s">
        <v>111</v>
      </c>
      <c r="D46" s="174"/>
    </row>
    <row r="47" spans="1:7">
      <c r="A47" s="171" t="s">
        <v>74</v>
      </c>
      <c r="B47" s="33">
        <f t="shared" si="0"/>
        <v>3795.4428571428566</v>
      </c>
      <c r="C47" s="34" t="s">
        <v>111</v>
      </c>
      <c r="D47" s="174"/>
    </row>
    <row r="48" spans="1:7">
      <c r="A48" s="171" t="s">
        <v>75</v>
      </c>
      <c r="B48" s="33">
        <f t="shared" si="0"/>
        <v>655.03904761904766</v>
      </c>
      <c r="C48" s="33">
        <f>B48*10</f>
        <v>6550.3904761904769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122874.141</v>
      </c>
      <c r="C5" s="17">
        <f>IF(ISERROR('Eigen informatie GS &amp; warmtenet'!B58),0,'Eigen informatie GS &amp; warmtenet'!B58)</f>
        <v>0</v>
      </c>
      <c r="D5" s="30">
        <f>SUM(D6:D12)</f>
        <v>171454.38549509787</v>
      </c>
      <c r="E5" s="17">
        <f>SUM(E6:E12)</f>
        <v>1305.9735573043599</v>
      </c>
      <c r="F5" s="17">
        <f>SUM(F6:F12)</f>
        <v>17537.922767245062</v>
      </c>
      <c r="G5" s="18"/>
      <c r="H5" s="17"/>
      <c r="I5" s="17"/>
      <c r="J5" s="17">
        <f>SUM(J6:J12)</f>
        <v>0</v>
      </c>
      <c r="K5" s="17"/>
      <c r="L5" s="17"/>
      <c r="M5" s="17"/>
      <c r="N5" s="17">
        <f>SUM(N6:N12)</f>
        <v>5072.1119906358635</v>
      </c>
      <c r="O5" s="17">
        <f>B38*B39*B40</f>
        <v>4.6900000000000004</v>
      </c>
      <c r="P5" s="17">
        <f>B46*B47*B48/1000-B46*B47*B48/1000/B49</f>
        <v>209.73333333333335</v>
      </c>
      <c r="R5" s="32"/>
    </row>
    <row r="6" spans="1:18">
      <c r="A6" s="32" t="s">
        <v>54</v>
      </c>
      <c r="B6" s="37">
        <f>B26</f>
        <v>25941.583999999999</v>
      </c>
      <c r="C6" s="33"/>
      <c r="D6" s="37">
        <f>IF(ISERROR(TER_kantoor_gas_kWh/1000),0,TER_kantoor_gas_kWh/1000)*0.902</f>
        <v>31453.147594038714</v>
      </c>
      <c r="E6" s="33">
        <f>$C$26*'E Balans VL '!I12/100/3.6*1000000</f>
        <v>75.156575018059527</v>
      </c>
      <c r="F6" s="33">
        <f>$C$26*('E Balans VL '!L12+'E Balans VL '!N12)/100/3.6*1000000</f>
        <v>2936.0157713918438</v>
      </c>
      <c r="G6" s="34"/>
      <c r="H6" s="33"/>
      <c r="I6" s="33"/>
      <c r="J6" s="33">
        <f>$C$26*('E Balans VL '!D12+'E Balans VL '!E12)/100/3.6*1000000</f>
        <v>0</v>
      </c>
      <c r="K6" s="33"/>
      <c r="L6" s="33"/>
      <c r="M6" s="33"/>
      <c r="N6" s="33">
        <f>$C$26*'E Balans VL '!Y12/100/3.6*1000000</f>
        <v>259.65614122746484</v>
      </c>
      <c r="O6" s="33"/>
      <c r="P6" s="33"/>
      <c r="R6" s="32"/>
    </row>
    <row r="7" spans="1:18">
      <c r="A7" s="32" t="s">
        <v>53</v>
      </c>
      <c r="B7" s="37">
        <f t="shared" ref="B7:B12" si="0">B27</f>
        <v>14910.857</v>
      </c>
      <c r="C7" s="33"/>
      <c r="D7" s="37">
        <f>IF(ISERROR(TER_horeca_gas_kWh/1000),0,TER_horeca_gas_kWh/1000)*0.902</f>
        <v>21950.499729383009</v>
      </c>
      <c r="E7" s="33">
        <f>$C$27*'E Balans VL '!I9/100/3.6*1000000</f>
        <v>625.91611674890544</v>
      </c>
      <c r="F7" s="33">
        <f>$C$27*('E Balans VL '!L9+'E Balans VL '!N9)/100/3.6*1000000</f>
        <v>3203.9034023716631</v>
      </c>
      <c r="G7" s="34"/>
      <c r="H7" s="33"/>
      <c r="I7" s="33"/>
      <c r="J7" s="33">
        <f>$C$27*('E Balans VL '!D9+'E Balans VL '!E9)/100/3.6*1000000</f>
        <v>0</v>
      </c>
      <c r="K7" s="33"/>
      <c r="L7" s="33"/>
      <c r="M7" s="33"/>
      <c r="N7" s="33">
        <f>$C$27*'E Balans VL '!Y9/100/3.6*1000000</f>
        <v>3.842397448724967</v>
      </c>
      <c r="O7" s="33"/>
      <c r="P7" s="33"/>
      <c r="R7" s="32"/>
    </row>
    <row r="8" spans="1:18">
      <c r="A8" s="6" t="s">
        <v>52</v>
      </c>
      <c r="B8" s="37">
        <f t="shared" si="0"/>
        <v>46317.131999999998</v>
      </c>
      <c r="C8" s="33"/>
      <c r="D8" s="37">
        <f>IF(ISERROR(TER_handel_gas_kWh/1000),0,TER_handel_gas_kWh/1000)*0.902</f>
        <v>28092.841052415079</v>
      </c>
      <c r="E8" s="33">
        <f>$C$28*'E Balans VL '!I13/100/3.6*1000000</f>
        <v>497.48454633315674</v>
      </c>
      <c r="F8" s="33">
        <f>$C$28*('E Balans VL '!L13+'E Balans VL '!N13)/100/3.6*1000000</f>
        <v>5996.1352163913307</v>
      </c>
      <c r="G8" s="34"/>
      <c r="H8" s="33"/>
      <c r="I8" s="33"/>
      <c r="J8" s="33">
        <f>$C$28*('E Balans VL '!D13+'E Balans VL '!E13)/100/3.6*1000000</f>
        <v>0</v>
      </c>
      <c r="K8" s="33"/>
      <c r="L8" s="33"/>
      <c r="M8" s="33"/>
      <c r="N8" s="33">
        <f>$C$28*'E Balans VL '!Y13/100/3.6*1000000</f>
        <v>375.72710380936803</v>
      </c>
      <c r="O8" s="33"/>
      <c r="P8" s="33"/>
      <c r="R8" s="32"/>
    </row>
    <row r="9" spans="1:18">
      <c r="A9" s="32" t="s">
        <v>51</v>
      </c>
      <c r="B9" s="37">
        <f t="shared" si="0"/>
        <v>20224.607</v>
      </c>
      <c r="C9" s="33"/>
      <c r="D9" s="37">
        <f>IF(ISERROR(TER_gezond_gas_kWh/1000),0,TER_gezond_gas_kWh/1000)*0.902</f>
        <v>14696.026189279586</v>
      </c>
      <c r="E9" s="33">
        <f>$C$29*'E Balans VL '!I10/100/3.6*1000000</f>
        <v>16.100095264535927</v>
      </c>
      <c r="F9" s="33">
        <f>$C$29*('E Balans VL '!L10+'E Balans VL '!N10)/100/3.6*1000000</f>
        <v>2458.5932527461982</v>
      </c>
      <c r="G9" s="34"/>
      <c r="H9" s="33"/>
      <c r="I9" s="33"/>
      <c r="J9" s="33">
        <f>$C$29*('E Balans VL '!D10+'E Balans VL '!E10)/100/3.6*1000000</f>
        <v>0</v>
      </c>
      <c r="K9" s="33"/>
      <c r="L9" s="33"/>
      <c r="M9" s="33"/>
      <c r="N9" s="33">
        <f>$C$29*'E Balans VL '!Y10/100/3.6*1000000</f>
        <v>163.36901718842614</v>
      </c>
      <c r="O9" s="33"/>
      <c r="P9" s="33"/>
      <c r="R9" s="32"/>
    </row>
    <row r="10" spans="1:18">
      <c r="A10" s="32" t="s">
        <v>50</v>
      </c>
      <c r="B10" s="37">
        <f t="shared" si="0"/>
        <v>5090.7690000000002</v>
      </c>
      <c r="C10" s="33"/>
      <c r="D10" s="37">
        <f>IF(ISERROR(TER_ander_gas_kWh/1000),0,TER_ander_gas_kWh/1000)*0.902</f>
        <v>47226.833729099555</v>
      </c>
      <c r="E10" s="33">
        <f>$C$30*'E Balans VL '!I14/100/3.6*1000000</f>
        <v>17.446332797721887</v>
      </c>
      <c r="F10" s="33">
        <f>$C$30*('E Balans VL '!L14+'E Balans VL '!N14)/100/3.6*1000000</f>
        <v>1137.0709301157526</v>
      </c>
      <c r="G10" s="34"/>
      <c r="H10" s="33"/>
      <c r="I10" s="33"/>
      <c r="J10" s="33">
        <f>$C$30*('E Balans VL '!D14+'E Balans VL '!E14)/100/3.6*1000000</f>
        <v>0</v>
      </c>
      <c r="K10" s="33"/>
      <c r="L10" s="33"/>
      <c r="M10" s="33"/>
      <c r="N10" s="33">
        <f>$C$30*'E Balans VL '!Y14/100/3.6*1000000</f>
        <v>3585.9654939274301</v>
      </c>
      <c r="O10" s="33"/>
      <c r="P10" s="33"/>
      <c r="R10" s="32"/>
    </row>
    <row r="11" spans="1:18">
      <c r="A11" s="32" t="s">
        <v>55</v>
      </c>
      <c r="B11" s="37">
        <f t="shared" si="0"/>
        <v>2402.4720000000002</v>
      </c>
      <c r="C11" s="33"/>
      <c r="D11" s="37">
        <f>IF(ISERROR(TER_onderwijs_gas_kWh/1000),0,TER_onderwijs_gas_kWh/1000)*0.902</f>
        <v>3044.8104449006019</v>
      </c>
      <c r="E11" s="33">
        <f>$C$31*'E Balans VL '!I11/100/3.6*1000000</f>
        <v>1.66075490328553</v>
      </c>
      <c r="F11" s="33">
        <f>$C$31*('E Balans VL '!L11+'E Balans VL '!N11)/100/3.6*1000000</f>
        <v>628.8973825235671</v>
      </c>
      <c r="G11" s="34"/>
      <c r="H11" s="33"/>
      <c r="I11" s="33"/>
      <c r="J11" s="33">
        <f>$C$31*('E Balans VL '!D11+'E Balans VL '!E11)/100/3.6*1000000</f>
        <v>0</v>
      </c>
      <c r="K11" s="33"/>
      <c r="L11" s="33"/>
      <c r="M11" s="33"/>
      <c r="N11" s="33">
        <f>$C$31*'E Balans VL '!Y11/100/3.6*1000000</f>
        <v>2.3914562493976059</v>
      </c>
      <c r="O11" s="33"/>
      <c r="P11" s="33"/>
      <c r="R11" s="32"/>
    </row>
    <row r="12" spans="1:18">
      <c r="A12" s="32" t="s">
        <v>260</v>
      </c>
      <c r="B12" s="37">
        <f t="shared" si="0"/>
        <v>7986.72</v>
      </c>
      <c r="C12" s="33"/>
      <c r="D12" s="37">
        <f>IF(ISERROR(TER_rest_gas_kWh/1000),0,TER_rest_gas_kWh/1000)*0.902</f>
        <v>24990.226755981323</v>
      </c>
      <c r="E12" s="33">
        <f>$C$32*'E Balans VL '!I8/100/3.6*1000000</f>
        <v>72.209136238694924</v>
      </c>
      <c r="F12" s="33">
        <f>$C$32*('E Balans VL '!L8+'E Balans VL '!N8)/100/3.6*1000000</f>
        <v>1177.3068117047058</v>
      </c>
      <c r="G12" s="34"/>
      <c r="H12" s="33"/>
      <c r="I12" s="33"/>
      <c r="J12" s="33">
        <f>$C$32*('E Balans VL '!D8+'E Balans VL '!E8)/100/3.6*1000000</f>
        <v>0</v>
      </c>
      <c r="K12" s="33"/>
      <c r="L12" s="33"/>
      <c r="M12" s="33"/>
      <c r="N12" s="33">
        <f>$C$32*'E Balans VL '!Y8/100/3.6*1000000</f>
        <v>681.16038078505289</v>
      </c>
      <c r="O12" s="33"/>
      <c r="P12" s="33"/>
      <c r="R12" s="32"/>
    </row>
    <row r="13" spans="1:18">
      <c r="A13" s="16" t="s">
        <v>494</v>
      </c>
      <c r="B13" s="247">
        <f ca="1">'lokale energieproductie'!N90+'lokale energieproductie'!N59</f>
        <v>29088</v>
      </c>
      <c r="C13" s="247">
        <f ca="1">'lokale energieproductie'!O90+'lokale energieproductie'!O59</f>
        <v>41355.000000000007</v>
      </c>
      <c r="D13" s="310">
        <f ca="1">('lokale energieproductie'!P59+'lokale energieproductie'!P90)*(-1)</f>
        <v>-19362.857142857145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-63745.71428571429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151962.141</v>
      </c>
      <c r="C16" s="21">
        <f t="shared" ca="1" si="1"/>
        <v>41355.000000000007</v>
      </c>
      <c r="D16" s="21">
        <f t="shared" ca="1" si="1"/>
        <v>152091.52835224074</v>
      </c>
      <c r="E16" s="21">
        <f t="shared" si="1"/>
        <v>1305.9735573043599</v>
      </c>
      <c r="F16" s="21">
        <f t="shared" ca="1" si="1"/>
        <v>17537.922767245062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0.19028107613766704</v>
      </c>
      <c r="C18" s="25">
        <f ca="1">'EF ele_warmte'!B22</f>
        <v>7.8695921827711138E-2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28915.519721663895</v>
      </c>
      <c r="C20" s="23">
        <f t="shared" ref="C20:P20" ca="1" si="2">C16*C18</f>
        <v>3254.4698471849947</v>
      </c>
      <c r="D20" s="23">
        <f t="shared" ca="1" si="2"/>
        <v>30722.488727152631</v>
      </c>
      <c r="E20" s="23">
        <f t="shared" si="2"/>
        <v>296.45599750808969</v>
      </c>
      <c r="F20" s="23">
        <f t="shared" ca="1" si="2"/>
        <v>4682.6253788544318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25941.583999999999</v>
      </c>
      <c r="C26" s="39">
        <f>IF(ISERROR(B26*3.6/1000000/'E Balans VL '!Z12*100),0,B26*3.6/1000000/'E Balans VL '!Z12*100)</f>
        <v>0.5698368840343675</v>
      </c>
      <c r="D26" s="237" t="s">
        <v>692</v>
      </c>
      <c r="F26" s="6"/>
    </row>
    <row r="27" spans="1:18">
      <c r="A27" s="231" t="s">
        <v>53</v>
      </c>
      <c r="B27" s="33">
        <f>IF(ISERROR(TER_horeca_ele_kWh/1000),0,TER_horeca_ele_kWh/1000)</f>
        <v>14910.857</v>
      </c>
      <c r="C27" s="39">
        <f>IF(ISERROR(B27*3.6/1000000/'E Balans VL '!Z9*100),0,B27*3.6/1000000/'E Balans VL '!Z9*100)</f>
        <v>1.1982359931280944</v>
      </c>
      <c r="D27" s="237" t="s">
        <v>692</v>
      </c>
      <c r="F27" s="6"/>
    </row>
    <row r="28" spans="1:18">
      <c r="A28" s="171" t="s">
        <v>52</v>
      </c>
      <c r="B28" s="33">
        <f>IF(ISERROR(TER_handel_ele_kWh/1000),0,TER_handel_ele_kWh/1000)</f>
        <v>46317.131999999998</v>
      </c>
      <c r="C28" s="39">
        <f>IF(ISERROR(B28*3.6/1000000/'E Balans VL '!Z13*100),0,B28*3.6/1000000/'E Balans VL '!Z13*100)</f>
        <v>1.3695652354121812</v>
      </c>
      <c r="D28" s="237" t="s">
        <v>692</v>
      </c>
      <c r="F28" s="6"/>
    </row>
    <row r="29" spans="1:18">
      <c r="A29" s="231" t="s">
        <v>51</v>
      </c>
      <c r="B29" s="33">
        <f>IF(ISERROR(TER_gezond_ele_kWh/1000),0,TER_gezond_ele_kWh/1000)</f>
        <v>20224.607</v>
      </c>
      <c r="C29" s="39">
        <f>IF(ISERROR(B29*3.6/1000000/'E Balans VL '!Z10*100),0,B29*3.6/1000000/'E Balans VL '!Z10*100)</f>
        <v>2.278791055575192</v>
      </c>
      <c r="D29" s="237" t="s">
        <v>692</v>
      </c>
      <c r="F29" s="6"/>
    </row>
    <row r="30" spans="1:18">
      <c r="A30" s="231" t="s">
        <v>50</v>
      </c>
      <c r="B30" s="33">
        <f>IF(ISERROR(TER_ander_ele_kWh/1000),0,TER_ander_ele_kWh/1000)</f>
        <v>5090.7690000000002</v>
      </c>
      <c r="C30" s="39">
        <f>IF(ISERROR(B30*3.6/1000000/'E Balans VL '!Z14*100),0,B30*3.6/1000000/'E Balans VL '!Z14*100)</f>
        <v>0.38500615719347692</v>
      </c>
      <c r="D30" s="237" t="s">
        <v>692</v>
      </c>
      <c r="F30" s="6"/>
    </row>
    <row r="31" spans="1:18">
      <c r="A31" s="231" t="s">
        <v>55</v>
      </c>
      <c r="B31" s="33">
        <f>IF(ISERROR(TER_onderwijs_ele_kWh/1000),0,TER_onderwijs_ele_kWh/1000)</f>
        <v>2402.4720000000002</v>
      </c>
      <c r="C31" s="39">
        <f>IF(ISERROR(B31*3.6/1000000/'E Balans VL '!Z11*100),0,B31*3.6/1000000/'E Balans VL '!Z11*100)</f>
        <v>0.49869741620679259</v>
      </c>
      <c r="D31" s="237" t="s">
        <v>692</v>
      </c>
    </row>
    <row r="32" spans="1:18">
      <c r="A32" s="231" t="s">
        <v>260</v>
      </c>
      <c r="B32" s="33">
        <f>IF(ISERROR(TER_rest_ele_kWh/1000),0,TER_rest_ele_kWh/1000)</f>
        <v>7986.72</v>
      </c>
      <c r="C32" s="39">
        <f>IF(ISERROR(B32*3.6/1000000/'E Balans VL '!Z8*100),0,B32*3.6/1000000/'E Balans VL '!Z8*100)</f>
        <v>6.7283417571734602E-2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228436.424</v>
      </c>
      <c r="C5" s="17">
        <f>IF(ISERROR('Eigen informatie GS &amp; warmtenet'!B59),0,'Eigen informatie GS &amp; warmtenet'!B59)</f>
        <v>0</v>
      </c>
      <c r="D5" s="30">
        <f>SUM(D6:D15)</f>
        <v>271930.41194284783</v>
      </c>
      <c r="E5" s="17">
        <f>SUM(E6:E15)</f>
        <v>7037.9099921294837</v>
      </c>
      <c r="F5" s="17">
        <f>SUM(F6:F15)</f>
        <v>193300.02767278242</v>
      </c>
      <c r="G5" s="18"/>
      <c r="H5" s="17"/>
      <c r="I5" s="17"/>
      <c r="J5" s="17">
        <f>SUM(J6:J15)</f>
        <v>2340.2217405390224</v>
      </c>
      <c r="K5" s="17"/>
      <c r="L5" s="17"/>
      <c r="M5" s="17"/>
      <c r="N5" s="17">
        <f>SUM(N6:N15)</f>
        <v>69072.289543676699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25122.767</v>
      </c>
      <c r="C8" s="33"/>
      <c r="D8" s="37">
        <f>IF( ISERROR(IND_metaal_Gas_kWH/1000),0,IND_metaal_Gas_kWH/1000)*0.902</f>
        <v>15752.533206141141</v>
      </c>
      <c r="E8" s="33">
        <f>C30*'E Balans VL '!I18/100/3.6*1000000</f>
        <v>628.73493020923036</v>
      </c>
      <c r="F8" s="33">
        <f>C30*'E Balans VL '!L18/100/3.6*1000000+C30*'E Balans VL '!N18/100/3.6*1000000</f>
        <v>7873.6001448698589</v>
      </c>
      <c r="G8" s="34"/>
      <c r="H8" s="33"/>
      <c r="I8" s="33"/>
      <c r="J8" s="40">
        <f>C30*'E Balans VL '!D18/100/3.6*1000000+C30*'E Balans VL '!E18/100/3.6*1000000</f>
        <v>0</v>
      </c>
      <c r="K8" s="33"/>
      <c r="L8" s="33"/>
      <c r="M8" s="33"/>
      <c r="N8" s="33">
        <f>C30*'E Balans VL '!Y18/100/3.6*1000000</f>
        <v>631.14910630578493</v>
      </c>
      <c r="O8" s="33"/>
      <c r="P8" s="33"/>
      <c r="R8" s="32"/>
    </row>
    <row r="9" spans="1:18">
      <c r="A9" s="6" t="s">
        <v>33</v>
      </c>
      <c r="B9" s="37">
        <f t="shared" si="0"/>
        <v>10169.412</v>
      </c>
      <c r="C9" s="33"/>
      <c r="D9" s="37">
        <f>IF( ISERROR(IND_andere_gas_kWh/1000),0,IND_andere_gas_kWh/1000)*0.902</f>
        <v>7672.0477752364568</v>
      </c>
      <c r="E9" s="33">
        <f>C31*'E Balans VL '!I19/100/3.6*1000000</f>
        <v>2796.1712010014598</v>
      </c>
      <c r="F9" s="33">
        <f>C31*'E Balans VL '!L19/100/3.6*1000000+C31*'E Balans VL '!N19/100/3.6*1000000</f>
        <v>8015.2662607420125</v>
      </c>
      <c r="G9" s="34"/>
      <c r="H9" s="33"/>
      <c r="I9" s="33"/>
      <c r="J9" s="40">
        <f>C31*'E Balans VL '!D19/100/3.6*1000000+C31*'E Balans VL '!E19/100/3.6*1000000</f>
        <v>0</v>
      </c>
      <c r="K9" s="33"/>
      <c r="L9" s="33"/>
      <c r="M9" s="33"/>
      <c r="N9" s="33">
        <f>C31*'E Balans VL '!Y19/100/3.6*1000000</f>
        <v>3292.1070919583622</v>
      </c>
      <c r="O9" s="33"/>
      <c r="P9" s="33"/>
      <c r="R9" s="32"/>
    </row>
    <row r="10" spans="1:18">
      <c r="A10" s="6" t="s">
        <v>41</v>
      </c>
      <c r="B10" s="37">
        <f t="shared" si="0"/>
        <v>87005.19</v>
      </c>
      <c r="C10" s="33"/>
      <c r="D10" s="37">
        <f>IF( ISERROR(IND_voed_gas_kWh/1000),0,IND_voed_gas_kWh/1000)*0.902</f>
        <v>140539.0613527972</v>
      </c>
      <c r="E10" s="33">
        <f>C32*'E Balans VL '!I20/100/3.6*1000000</f>
        <v>886.96998061733109</v>
      </c>
      <c r="F10" s="33">
        <f>C32*'E Balans VL '!L20/100/3.6*1000000+C32*'E Balans VL '!N20/100/3.6*1000000</f>
        <v>164352.25974506533</v>
      </c>
      <c r="G10" s="34"/>
      <c r="H10" s="33"/>
      <c r="I10" s="33"/>
      <c r="J10" s="40">
        <f>C32*'E Balans VL '!D20/100/3.6*1000000+C32*'E Balans VL '!E20/100/3.6*1000000</f>
        <v>2082.3188789705496</v>
      </c>
      <c r="K10" s="33"/>
      <c r="L10" s="33"/>
      <c r="M10" s="33"/>
      <c r="N10" s="33">
        <f>C32*'E Balans VL '!Y20/100/3.6*1000000</f>
        <v>45861.756898982945</v>
      </c>
      <c r="O10" s="33"/>
      <c r="P10" s="33"/>
      <c r="R10" s="32"/>
    </row>
    <row r="11" spans="1:18">
      <c r="A11" s="6" t="s">
        <v>40</v>
      </c>
      <c r="B11" s="37">
        <f t="shared" si="0"/>
        <v>1961.8979999999999</v>
      </c>
      <c r="C11" s="33"/>
      <c r="D11" s="37">
        <f>IF( ISERROR(IND_textiel_gas_kWh/1000),0,IND_textiel_gas_kWh/1000)*0.902</f>
        <v>569.43139301535052</v>
      </c>
      <c r="E11" s="33">
        <f>C33*'E Balans VL '!I21/100/3.6*1000000</f>
        <v>5.199989494839599</v>
      </c>
      <c r="F11" s="33">
        <f>C33*'E Balans VL '!L21/100/3.6*1000000+C33*'E Balans VL '!N21/100/3.6*1000000</f>
        <v>87.620388528486728</v>
      </c>
      <c r="G11" s="34"/>
      <c r="H11" s="33"/>
      <c r="I11" s="33"/>
      <c r="J11" s="40">
        <f>C33*'E Balans VL '!D21/100/3.6*1000000+C33*'E Balans VL '!E21/100/3.6*1000000</f>
        <v>0</v>
      </c>
      <c r="K11" s="33"/>
      <c r="L11" s="33"/>
      <c r="M11" s="33"/>
      <c r="N11" s="33">
        <f>C33*'E Balans VL '!Y21/100/3.6*1000000</f>
        <v>18.48948620269277</v>
      </c>
      <c r="O11" s="33"/>
      <c r="P11" s="33"/>
      <c r="R11" s="32"/>
    </row>
    <row r="12" spans="1:18">
      <c r="A12" s="6" t="s">
        <v>37</v>
      </c>
      <c r="B12" s="37">
        <f t="shared" si="0"/>
        <v>30383.282999999999</v>
      </c>
      <c r="C12" s="33"/>
      <c r="D12" s="37">
        <f>IF( ISERROR(IND_min_gas_kWh/1000),0,IND_min_gas_kWh/1000)*0.902</f>
        <v>1063.9264285056247</v>
      </c>
      <c r="E12" s="33">
        <f>C34*'E Balans VL '!I22/100/3.6*1000000</f>
        <v>92.017220239824724</v>
      </c>
      <c r="F12" s="33">
        <f>C34*'E Balans VL '!L22/100/3.6*1000000+C34*'E Balans VL '!N22/100/3.6*1000000</f>
        <v>949.50371535538363</v>
      </c>
      <c r="G12" s="34"/>
      <c r="H12" s="33"/>
      <c r="I12" s="33"/>
      <c r="J12" s="40">
        <f>C34*'E Balans VL '!D22/100/3.6*1000000+C34*'E Balans VL '!E22/100/3.6*1000000</f>
        <v>45.051663947724002</v>
      </c>
      <c r="K12" s="33"/>
      <c r="L12" s="33"/>
      <c r="M12" s="33"/>
      <c r="N12" s="33">
        <f>C34*'E Balans VL '!Y22/100/3.6*1000000</f>
        <v>0</v>
      </c>
      <c r="O12" s="33"/>
      <c r="P12" s="33"/>
      <c r="R12" s="32"/>
    </row>
    <row r="13" spans="1:18">
      <c r="A13" s="6" t="s">
        <v>39</v>
      </c>
      <c r="B13" s="37">
        <f t="shared" si="0"/>
        <v>23058.609</v>
      </c>
      <c r="C13" s="33"/>
      <c r="D13" s="37">
        <f>IF( ISERROR(IND_papier_gas_kWh/1000),0,IND_papier_gas_kWh/1000)*0.902</f>
        <v>18967.224804070585</v>
      </c>
      <c r="E13" s="33">
        <f>C35*'E Balans VL '!I23/100/3.6*1000000</f>
        <v>47.7559356576296</v>
      </c>
      <c r="F13" s="33">
        <f>C35*'E Balans VL '!L23/100/3.6*1000000+C35*'E Balans VL '!N23/100/3.6*1000000</f>
        <v>457.30165019866456</v>
      </c>
      <c r="G13" s="34"/>
      <c r="H13" s="33"/>
      <c r="I13" s="33"/>
      <c r="J13" s="40">
        <f>C35*'E Balans VL '!D23/100/3.6*1000000+C35*'E Balans VL '!E23/100/3.6*1000000</f>
        <v>0</v>
      </c>
      <c r="K13" s="33"/>
      <c r="L13" s="33"/>
      <c r="M13" s="33"/>
      <c r="N13" s="33">
        <f>C35*'E Balans VL '!Y23/100/3.6*1000000</f>
        <v>9736.4485072871939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50735.264999999999</v>
      </c>
      <c r="C15" s="33"/>
      <c r="D15" s="37">
        <f>IF( ISERROR(IND_rest_gas_kWh/1000),0,IND_rest_gas_kWh/1000)*0.902</f>
        <v>87366.186983081483</v>
      </c>
      <c r="E15" s="33">
        <f>C37*'E Balans VL '!I15/100/3.6*1000000</f>
        <v>2581.0607349091697</v>
      </c>
      <c r="F15" s="33">
        <f>C37*'E Balans VL '!L15/100/3.6*1000000+C37*'E Balans VL '!N15/100/3.6*1000000</f>
        <v>11564.475768022676</v>
      </c>
      <c r="G15" s="34"/>
      <c r="H15" s="33"/>
      <c r="I15" s="33"/>
      <c r="J15" s="40">
        <f>C37*'E Balans VL '!D15/100/3.6*1000000+C37*'E Balans VL '!E15/100/3.6*1000000</f>
        <v>212.85119762074891</v>
      </c>
      <c r="K15" s="33"/>
      <c r="L15" s="33"/>
      <c r="M15" s="33"/>
      <c r="N15" s="33">
        <f>C37*'E Balans VL '!Y15/100/3.6*1000000</f>
        <v>9532.3384529397172</v>
      </c>
      <c r="O15" s="33"/>
      <c r="P15" s="33"/>
      <c r="R15" s="32"/>
    </row>
    <row r="16" spans="1:18">
      <c r="A16" s="16" t="s">
        <v>494</v>
      </c>
      <c r="B16" s="247">
        <f>'lokale energieproductie'!N89+'lokale energieproductie'!N58</f>
        <v>4200</v>
      </c>
      <c r="C16" s="247">
        <f>'lokale energieproductie'!O89+'lokale energieproductie'!O58</f>
        <v>6000</v>
      </c>
      <c r="D16" s="310">
        <f>('lokale energieproductie'!P58+'lokale energieproductie'!P89)*(-1)</f>
        <v>-12000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232636.424</v>
      </c>
      <c r="C18" s="21">
        <f>C5+C16</f>
        <v>6000</v>
      </c>
      <c r="D18" s="21">
        <f>MAX((D5+D16),0)</f>
        <v>259930.41194284783</v>
      </c>
      <c r="E18" s="21">
        <f>MAX((E5+E16),0)</f>
        <v>7037.9099921294837</v>
      </c>
      <c r="F18" s="21">
        <f>MAX((F5+F16),0)</f>
        <v>193300.02767278242</v>
      </c>
      <c r="G18" s="21"/>
      <c r="H18" s="21"/>
      <c r="I18" s="21"/>
      <c r="J18" s="21">
        <f>MAX((J5+J16),0)</f>
        <v>2340.2217405390224</v>
      </c>
      <c r="K18" s="21"/>
      <c r="L18" s="21">
        <f>MAX((L5+L16),0)</f>
        <v>0</v>
      </c>
      <c r="M18" s="21"/>
      <c r="N18" s="21">
        <f>MAX((N5+N16),0)</f>
        <v>69072.289543676699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0.19028107613766704</v>
      </c>
      <c r="C20" s="25">
        <f ca="1">'EF ele_warmte'!B22</f>
        <v>7.8695921827711138E-2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44266.309107538589</v>
      </c>
      <c r="C22" s="23">
        <f ca="1">C18*C20</f>
        <v>472.17553096626682</v>
      </c>
      <c r="D22" s="23">
        <f>D18*D20</f>
        <v>52505.943212455262</v>
      </c>
      <c r="E22" s="23">
        <f>E18*E20</f>
        <v>1597.6055682133929</v>
      </c>
      <c r="F22" s="23">
        <f>F18*F20</f>
        <v>51611.10738863291</v>
      </c>
      <c r="G22" s="23"/>
      <c r="H22" s="23"/>
      <c r="I22" s="23"/>
      <c r="J22" s="23">
        <f>J18*J20</f>
        <v>828.43849615081388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25122.767</v>
      </c>
      <c r="C30" s="39">
        <f>IF(ISERROR(B30*3.6/1000000/'E Balans VL '!Z18*100),0,B30*3.6/1000000/'E Balans VL '!Z18*100)</f>
        <v>3.5163501545406399</v>
      </c>
      <c r="D30" s="237" t="s">
        <v>692</v>
      </c>
    </row>
    <row r="31" spans="1:18">
      <c r="A31" s="6" t="s">
        <v>33</v>
      </c>
      <c r="B31" s="37">
        <f>IF( ISERROR(IND_ander_ele_kWh/1000),0,IND_ander_ele_kWh/1000)</f>
        <v>10169.412</v>
      </c>
      <c r="C31" s="39">
        <f>IF(ISERROR(B31*3.6/1000000/'E Balans VL '!Z19*100),0,B31*3.6/1000000/'E Balans VL '!Z19*100)</f>
        <v>0.4451135135269918</v>
      </c>
      <c r="D31" s="237" t="s">
        <v>692</v>
      </c>
    </row>
    <row r="32" spans="1:18">
      <c r="A32" s="171" t="s">
        <v>41</v>
      </c>
      <c r="B32" s="37">
        <f>IF( ISERROR(IND_voed_ele_kWh/1000),0,IND_voed_ele_kWh/1000)</f>
        <v>87005.19</v>
      </c>
      <c r="C32" s="39">
        <f>IF(ISERROR(B32*3.6/1000000/'E Balans VL '!Z20*100),0,B32*3.6/1000000/'E Balans VL '!Z20*100)</f>
        <v>21.539595744156202</v>
      </c>
      <c r="D32" s="237" t="s">
        <v>692</v>
      </c>
    </row>
    <row r="33" spans="1:5">
      <c r="A33" s="171" t="s">
        <v>40</v>
      </c>
      <c r="B33" s="37">
        <f>IF( ISERROR(IND_textiel_ele_kWh/1000),0,IND_textiel_ele_kWh/1000)</f>
        <v>1961.8979999999999</v>
      </c>
      <c r="C33" s="39">
        <f>IF(ISERROR(B33*3.6/1000000/'E Balans VL '!Z21*100),0,B33*3.6/1000000/'E Balans VL '!Z21*100)</f>
        <v>0.22107134544833576</v>
      </c>
      <c r="D33" s="237" t="s">
        <v>692</v>
      </c>
    </row>
    <row r="34" spans="1:5">
      <c r="A34" s="171" t="s">
        <v>37</v>
      </c>
      <c r="B34" s="37">
        <f>IF( ISERROR(IND_min_ele_kWh/1000),0,IND_min_ele_kWh/1000)</f>
        <v>30383.282999999999</v>
      </c>
      <c r="C34" s="39">
        <f>IF(ISERROR(B34*3.6/1000000/'E Balans VL '!Z22*100),0,B34*3.6/1000000/'E Balans VL '!Z22*100)</f>
        <v>0.8621536144073686</v>
      </c>
      <c r="D34" s="237" t="s">
        <v>692</v>
      </c>
    </row>
    <row r="35" spans="1:5">
      <c r="A35" s="171" t="s">
        <v>39</v>
      </c>
      <c r="B35" s="37">
        <f>IF( ISERROR(IND_papier_ele_kWh/1000),0,IND_papier_ele_kWh/1000)</f>
        <v>23058.609</v>
      </c>
      <c r="C35" s="39">
        <f>IF(ISERROR(B35*3.6/1000000/'E Balans VL '!Z22*100),0,B35*3.6/1000000/'E Balans VL '!Z22*100)</f>
        <v>0.65430924935123957</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50735.264999999999</v>
      </c>
      <c r="C37" s="39">
        <f>IF(ISERROR(B37*3.6/1000000/'E Balans VL '!Z15*100),0,B37*3.6/1000000/'E Balans VL '!Z15*100)</f>
        <v>0.37619330373006099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3421.0548599999997</v>
      </c>
      <c r="C5" s="17">
        <f>'Eigen informatie GS &amp; warmtenet'!B60</f>
        <v>0</v>
      </c>
      <c r="D5" s="30">
        <f>IF(ISERROR(SUM(LB_lb_gas_kWh,LB_rest_gas_kWh,onbekend_gas_kWh)/1000),0,SUM(LB_lb_gas_kWh,LB_rest_gas_kWh,onbekend_gas_kWh)/1000)*0.902</f>
        <v>12835.380233068134</v>
      </c>
      <c r="E5" s="17">
        <f>B17*'E Balans VL '!I25/3.6*1000000/100</f>
        <v>31.687242982807483</v>
      </c>
      <c r="F5" s="17">
        <f>B17*('E Balans VL '!L25/3.6*1000000+'E Balans VL '!N25/3.6*1000000)/100</f>
        <v>8679.8678901020321</v>
      </c>
      <c r="G5" s="18"/>
      <c r="H5" s="17"/>
      <c r="I5" s="17"/>
      <c r="J5" s="17">
        <f>('E Balans VL '!D25+'E Balans VL '!E25)/3.6*1000000*landbouw!B17/100</f>
        <v>524.4858891216669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3421.0548599999997</v>
      </c>
      <c r="C8" s="21">
        <f>C5+C6</f>
        <v>0</v>
      </c>
      <c r="D8" s="21">
        <f>MAX((D5+D6),0)</f>
        <v>12835.380233068134</v>
      </c>
      <c r="E8" s="21">
        <f>MAX((E5+E6),0)</f>
        <v>31.687242982807483</v>
      </c>
      <c r="F8" s="21">
        <f>MAX((F5+F6),0)</f>
        <v>8679.8678901020321</v>
      </c>
      <c r="G8" s="21"/>
      <c r="H8" s="21"/>
      <c r="I8" s="21"/>
      <c r="J8" s="21">
        <f>MAX((J5+J6),0)</f>
        <v>524.4858891216669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0.19028107613766704</v>
      </c>
      <c r="C10" s="31">
        <f ca="1">'EF ele_warmte'!B22</f>
        <v>7.8695921827711138E-2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650.96200028679584</v>
      </c>
      <c r="C12" s="23">
        <f ca="1">C8*C10</f>
        <v>0</v>
      </c>
      <c r="D12" s="23">
        <f>D8*D10</f>
        <v>2592.7468070797631</v>
      </c>
      <c r="E12" s="23">
        <f>E8*E10</f>
        <v>7.1930041570972989</v>
      </c>
      <c r="F12" s="23">
        <f>F8*F10</f>
        <v>2317.5247266572428</v>
      </c>
      <c r="G12" s="23"/>
      <c r="H12" s="23"/>
      <c r="I12" s="23"/>
      <c r="J12" s="23">
        <f>J8*J10</f>
        <v>185.66800474907006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0.48640146219068636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273.08945914452619</v>
      </c>
      <c r="C26" s="247">
        <f>B26*'GWP N2O_CH4'!B5</f>
        <v>5734.8786420350498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268.88755498669127</v>
      </c>
      <c r="C27" s="247">
        <f>B27*'GWP N2O_CH4'!B5</f>
        <v>5646.6386547205166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4.2998825471701601</v>
      </c>
      <c r="C28" s="247">
        <f>B28*'GWP N2O_CH4'!B4</f>
        <v>1332.9635896227496</v>
      </c>
      <c r="D28" s="50"/>
    </row>
    <row r="29" spans="1:4">
      <c r="A29" s="41" t="s">
        <v>277</v>
      </c>
      <c r="B29" s="247">
        <f>B34*'ha_N2O bodem landbouw'!B4</f>
        <v>16.165520214413259</v>
      </c>
      <c r="C29" s="247">
        <f>B29*'GWP N2O_CH4'!B4</f>
        <v>5011.3112664681103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3.6256413911060431E-3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1.3163358391088029E-4</v>
      </c>
      <c r="C5" s="464" t="s">
        <v>211</v>
      </c>
      <c r="D5" s="449">
        <f>SUM(D6:D11)</f>
        <v>3.6537226725124618E-4</v>
      </c>
      <c r="E5" s="449">
        <f>SUM(E6:E11)</f>
        <v>2.4392383199721692E-3</v>
      </c>
      <c r="F5" s="462" t="s">
        <v>211</v>
      </c>
      <c r="G5" s="449">
        <f>SUM(G6:G11)</f>
        <v>0.81169187030725831</v>
      </c>
      <c r="H5" s="449">
        <f>SUM(H6:H11)</f>
        <v>0.13902372440710667</v>
      </c>
      <c r="I5" s="464" t="s">
        <v>211</v>
      </c>
      <c r="J5" s="464" t="s">
        <v>211</v>
      </c>
      <c r="K5" s="464" t="s">
        <v>211</v>
      </c>
      <c r="L5" s="464" t="s">
        <v>211</v>
      </c>
      <c r="M5" s="449">
        <f>SUM(M6:M11)</f>
        <v>5.1232323129682733E-2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6.702410508455205E-5</v>
      </c>
      <c r="C6" s="450"/>
      <c r="D6" s="963">
        <f>vkm_2011_GW_PW*SUMIFS(TableVerdeelsleutelVkm[CNG],TableVerdeelsleutelVkm[Voertuigtype],"Lichte voertuigen")*SUMIFS(TableECFTransport[EnergieConsumptieFactor (PJ per km)],TableECFTransport[Index],CONCATENATE($A6,"_CNG_CNG"))</f>
        <v>1.550341341088639E-4</v>
      </c>
      <c r="E6" s="963">
        <f>vkm_2011_GW_PW*SUMIFS(TableVerdeelsleutelVkm[LPG],TableVerdeelsleutelVkm[Voertuigtype],"Lichte voertuigen")*SUMIFS(TableECFTransport[EnergieConsumptieFactor (PJ per km)],TableECFTransport[Index],CONCATENATE($A6,"_LPG_LPG"))</f>
        <v>1.0094886588257639E-3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0.20971380040148166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5.911398646800816E-2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1.3950768553612538E-2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0.17345296505992186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5.931776399791114E-5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1.0035237204740284E-2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3.2198888922037926E-5</v>
      </c>
      <c r="C8" s="450"/>
      <c r="D8" s="452">
        <f>vkm_2011_NGW_PW*SUMIFS(TableVerdeelsleutelVkm[CNG],TableVerdeelsleutelVkm[Voertuigtype],"Lichte voertuigen")*SUMIFS(TableECFTransport[EnergieConsumptieFactor (PJ per km)],TableECFTransport[Index],CONCATENATE($A8,"_CNG_CNG"))</f>
        <v>1.3173260201878269E-4</v>
      </c>
      <c r="E8" s="452">
        <f>vkm_2011_NGW_PW*SUMIFS(TableVerdeelsleutelVkm[LPG],TableVerdeelsleutelVkm[Voertuigtype],"Lichte voertuigen")*SUMIFS(TableECFTransport[EnergieConsumptieFactor (PJ per km)],TableECFTransport[Index],CONCATENATE($A8,"_LPG_LPG"))</f>
        <v>7.916261505461022E-4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0.15373263548615901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4.8568083550363302E-2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1.0387870978213485E-2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4.993690095096049E-2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1.6158999448515516E-5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2.889104498451115E-3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3.2410589904290329E-5</v>
      </c>
      <c r="C10" s="450"/>
      <c r="D10" s="452">
        <f>vkm_2011_SW_PW*SUMIFS(TableVerdeelsleutelVkm[CNG],TableVerdeelsleutelVkm[Voertuigtype],"Lichte voertuigen")*SUMIFS(TableECFTransport[EnergieConsumptieFactor (PJ per km)],TableECFTransport[Index],CONCATENATE($A10,"_CNG_CNG"))</f>
        <v>7.8605531123599579E-5</v>
      </c>
      <c r="E10" s="452">
        <f>vkm_2011_SW_PW*SUMIFS(TableVerdeelsleutelVkm[LPG],TableVerdeelsleutelVkm[Voertuigtype],"Lichte voertuigen")*SUMIFS(TableECFTransport[EnergieConsumptieFactor (PJ per km)],TableECFTransport[Index],CONCATENATE($A10,"_LPG_LPG"))</f>
        <v>6.3812351060030313E-4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0.11934741859392442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3.1227291302862781E-2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7.8650110445491975E-3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0.10550814981481094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3.8886322426014802E-5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6.104330850116118E-3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36.564884419688973</v>
      </c>
      <c r="C14" s="21"/>
      <c r="D14" s="21">
        <f t="shared" ref="D14:M14" si="0">((D5)*10^9/3600)+D12</f>
        <v>101.4922964586795</v>
      </c>
      <c r="E14" s="21">
        <f t="shared" si="0"/>
        <v>677.56619999226916</v>
      </c>
      <c r="F14" s="21"/>
      <c r="G14" s="21">
        <f t="shared" si="0"/>
        <v>225469.96397423843</v>
      </c>
      <c r="H14" s="21">
        <f t="shared" si="0"/>
        <v>38617.701224196295</v>
      </c>
      <c r="I14" s="21"/>
      <c r="J14" s="21"/>
      <c r="K14" s="21"/>
      <c r="L14" s="21"/>
      <c r="M14" s="21">
        <f t="shared" si="0"/>
        <v>14231.200869356315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0.19028107613766704</v>
      </c>
      <c r="C16" s="56">
        <f ca="1">'EF ele_warmte'!B22</f>
        <v>7.8695921827711138E-2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6.9576055562278327</v>
      </c>
      <c r="C18" s="23"/>
      <c r="D18" s="23">
        <f t="shared" ref="D18:M18" si="1">D14*D16</f>
        <v>20.501443884653263</v>
      </c>
      <c r="E18" s="23">
        <f t="shared" si="1"/>
        <v>153.8075273982451</v>
      </c>
      <c r="F18" s="23"/>
      <c r="G18" s="23">
        <f t="shared" si="1"/>
        <v>60200.480381121663</v>
      </c>
      <c r="H18" s="23">
        <f t="shared" si="1"/>
        <v>9615.8076048248768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1.7887032392549854E-2</v>
      </c>
      <c r="H50" s="321">
        <f t="shared" si="2"/>
        <v>0</v>
      </c>
      <c r="I50" s="321">
        <f t="shared" si="2"/>
        <v>0</v>
      </c>
      <c r="J50" s="321">
        <f t="shared" si="2"/>
        <v>0</v>
      </c>
      <c r="K50" s="321">
        <f t="shared" si="2"/>
        <v>0</v>
      </c>
      <c r="L50" s="321">
        <f t="shared" si="2"/>
        <v>0</v>
      </c>
      <c r="M50" s="321">
        <f t="shared" si="2"/>
        <v>1.0200453138309142E-3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1.7887032392549854E-2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1.0200453138309142E-3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4968.6201090416262</v>
      </c>
      <c r="H54" s="21">
        <f t="shared" si="3"/>
        <v>0</v>
      </c>
      <c r="I54" s="21">
        <f t="shared" si="3"/>
        <v>0</v>
      </c>
      <c r="J54" s="21">
        <f t="shared" si="3"/>
        <v>0</v>
      </c>
      <c r="K54" s="21">
        <f t="shared" si="3"/>
        <v>0</v>
      </c>
      <c r="L54" s="21">
        <f t="shared" si="3"/>
        <v>0</v>
      </c>
      <c r="M54" s="21">
        <f t="shared" si="3"/>
        <v>283.34592050858726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0.19028107613766704</v>
      </c>
      <c r="C56" s="56">
        <f ca="1">'EF ele_warmte'!B22</f>
        <v>7.8695921827711138E-2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1326.6215691141142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21899.257849603226</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24774.62633487122</v>
      </c>
      <c r="C6" s="1223"/>
      <c r="D6" s="1226"/>
      <c r="E6" s="1226"/>
      <c r="F6" s="1229"/>
      <c r="G6" s="1232"/>
      <c r="H6" s="1220"/>
      <c r="I6" s="1226"/>
      <c r="J6" s="1226"/>
      <c r="K6" s="1226"/>
      <c r="L6" s="1256"/>
      <c r="M6" s="576"/>
      <c r="N6" s="1268"/>
      <c r="O6" s="1269"/>
      <c r="Q6" s="574"/>
      <c r="R6" s="1253"/>
      <c r="S6" s="1253"/>
    </row>
    <row r="7" spans="1:19" s="564" customFormat="1">
      <c r="A7" s="577" t="s">
        <v>252</v>
      </c>
      <c r="B7" s="578">
        <f>N57</f>
        <v>33148.5</v>
      </c>
      <c r="C7" s="579">
        <f>B100</f>
        <v>12914.117647058823</v>
      </c>
      <c r="D7" s="580"/>
      <c r="E7" s="580">
        <f>E100</f>
        <v>0</v>
      </c>
      <c r="F7" s="581"/>
      <c r="G7" s="582"/>
      <c r="H7" s="580">
        <f>I100</f>
        <v>0</v>
      </c>
      <c r="I7" s="580">
        <f>G100+F100</f>
        <v>0</v>
      </c>
      <c r="J7" s="580">
        <f>H100+D100+C100</f>
        <v>26084.117647058825</v>
      </c>
      <c r="K7" s="580"/>
      <c r="L7" s="583"/>
      <c r="M7" s="584">
        <f>C7*$C$11+D7*$D$11+E7*$E$11+F7*$F$11+G7*$G$11+H7*$H$11+I7*$I$11+J7*$J$11</f>
        <v>2608.6517647058827</v>
      </c>
      <c r="N7" s="1268"/>
      <c r="O7" s="1269"/>
      <c r="Q7" s="574"/>
      <c r="R7" s="1253"/>
      <c r="S7" s="1253"/>
    </row>
    <row r="8" spans="1:19" s="564" customFormat="1" ht="17.45" customHeight="1" thickBot="1">
      <c r="A8" s="585" t="s">
        <v>248</v>
      </c>
      <c r="B8" s="586">
        <f>N88+'Eigen informatie GS &amp; warmtenet'!B12</f>
        <v>139.5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79961.884184474446</v>
      </c>
      <c r="C9" s="595">
        <f t="shared" ref="C9:L9" si="0">SUM(C7:C8)</f>
        <v>12914.117647058823</v>
      </c>
      <c r="D9" s="595">
        <f t="shared" si="0"/>
        <v>0</v>
      </c>
      <c r="E9" s="595">
        <f t="shared" si="0"/>
        <v>0</v>
      </c>
      <c r="F9" s="595">
        <f t="shared" si="0"/>
        <v>0</v>
      </c>
      <c r="G9" s="595">
        <f t="shared" si="0"/>
        <v>0</v>
      </c>
      <c r="H9" s="595">
        <f t="shared" si="0"/>
        <v>0</v>
      </c>
      <c r="I9" s="595">
        <f t="shared" si="0"/>
        <v>0</v>
      </c>
      <c r="J9" s="595">
        <f t="shared" si="0"/>
        <v>26482.689075630253</v>
      </c>
      <c r="K9" s="595">
        <f t="shared" si="0"/>
        <v>0</v>
      </c>
      <c r="L9" s="595">
        <f t="shared" si="0"/>
        <v>0</v>
      </c>
      <c r="M9" s="596">
        <f>SUM(M4:M8)</f>
        <v>2608.6517647058827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47355.000000000007</v>
      </c>
      <c r="C16" s="611">
        <f>B101</f>
        <v>18448.739495798323</v>
      </c>
      <c r="D16" s="612"/>
      <c r="E16" s="612">
        <f>E101</f>
        <v>0</v>
      </c>
      <c r="F16" s="613"/>
      <c r="G16" s="614"/>
      <c r="H16" s="611">
        <f>I101</f>
        <v>0</v>
      </c>
      <c r="I16" s="612">
        <f>G101+F101</f>
        <v>0</v>
      </c>
      <c r="J16" s="612">
        <f>H101+D101+C101</f>
        <v>37263.025210084044</v>
      </c>
      <c r="K16" s="612"/>
      <c r="L16" s="615"/>
      <c r="M16" s="616">
        <f>C16*$C$21+E16*$E$21+H16*$H$21+I16*$I$21+J16*$J$21+D16*$D$21+F16*$F$21+G16*$G$21+K16*$K$21+L16*$L$21</f>
        <v>3726.6453781512614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47355.000000000007</v>
      </c>
      <c r="C19" s="594">
        <f>SUM(C16:C18)</f>
        <v>18448.739495798323</v>
      </c>
      <c r="D19" s="594">
        <f t="shared" ref="D19:M19" si="1">SUM(D16:D18)</f>
        <v>0</v>
      </c>
      <c r="E19" s="594">
        <f t="shared" si="1"/>
        <v>0</v>
      </c>
      <c r="F19" s="594">
        <f t="shared" si="1"/>
        <v>0</v>
      </c>
      <c r="G19" s="594">
        <f t="shared" si="1"/>
        <v>0</v>
      </c>
      <c r="H19" s="594">
        <f t="shared" si="1"/>
        <v>0</v>
      </c>
      <c r="I19" s="594">
        <f t="shared" si="1"/>
        <v>0</v>
      </c>
      <c r="J19" s="594">
        <f t="shared" si="1"/>
        <v>37263.025210084044</v>
      </c>
      <c r="K19" s="594">
        <f t="shared" si="1"/>
        <v>0</v>
      </c>
      <c r="L19" s="594">
        <f t="shared" si="1"/>
        <v>0</v>
      </c>
      <c r="M19" s="621">
        <f t="shared" si="1"/>
        <v>3726.6453781512614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36015</v>
      </c>
      <c r="C27" s="852">
        <v>8800</v>
      </c>
      <c r="D27" s="673" t="s">
        <v>871</v>
      </c>
      <c r="E27" s="672" t="s">
        <v>872</v>
      </c>
      <c r="F27" s="672" t="s">
        <v>873</v>
      </c>
      <c r="G27" s="672" t="s">
        <v>874</v>
      </c>
      <c r="H27" s="672" t="s">
        <v>875</v>
      </c>
      <c r="I27" s="672" t="s">
        <v>876</v>
      </c>
      <c r="J27" s="851">
        <v>39667</v>
      </c>
      <c r="K27" s="851">
        <v>39692</v>
      </c>
      <c r="L27" s="672" t="s">
        <v>877</v>
      </c>
      <c r="M27" s="672">
        <v>835</v>
      </c>
      <c r="N27" s="672">
        <v>3757.5</v>
      </c>
      <c r="O27" s="672">
        <v>5367.8571428571431</v>
      </c>
      <c r="P27" s="672">
        <v>0</v>
      </c>
      <c r="Q27" s="672">
        <v>10735.714285714286</v>
      </c>
      <c r="R27" s="672">
        <v>0</v>
      </c>
      <c r="S27" s="672">
        <v>0</v>
      </c>
      <c r="T27" s="672">
        <v>0</v>
      </c>
      <c r="U27" s="672">
        <v>0</v>
      </c>
      <c r="V27" s="672">
        <v>0</v>
      </c>
      <c r="W27" s="672">
        <v>0</v>
      </c>
      <c r="X27" s="672">
        <v>1600</v>
      </c>
      <c r="Y27" s="672" t="s">
        <v>50</v>
      </c>
      <c r="Z27" s="674" t="s">
        <v>156</v>
      </c>
    </row>
    <row r="28" spans="1:26" s="626" customFormat="1" ht="63.75">
      <c r="A28" s="625"/>
      <c r="B28" s="852">
        <v>36015</v>
      </c>
      <c r="C28" s="852">
        <v>8800</v>
      </c>
      <c r="D28" s="673" t="s">
        <v>878</v>
      </c>
      <c r="E28" s="672" t="s">
        <v>879</v>
      </c>
      <c r="F28" s="672" t="s">
        <v>880</v>
      </c>
      <c r="G28" s="672" t="s">
        <v>874</v>
      </c>
      <c r="H28" s="672" t="s">
        <v>875</v>
      </c>
      <c r="I28" s="672" t="s">
        <v>879</v>
      </c>
      <c r="J28" s="851">
        <v>39925</v>
      </c>
      <c r="K28" s="851">
        <v>39925</v>
      </c>
      <c r="L28" s="672" t="s">
        <v>877</v>
      </c>
      <c r="M28" s="672">
        <v>4024</v>
      </c>
      <c r="N28" s="672">
        <v>18108</v>
      </c>
      <c r="O28" s="672">
        <v>25868.571428571428</v>
      </c>
      <c r="P28" s="672">
        <v>12934.285714285716</v>
      </c>
      <c r="Q28" s="672">
        <v>38802.857142857145</v>
      </c>
      <c r="R28" s="672">
        <v>0</v>
      </c>
      <c r="S28" s="672">
        <v>0</v>
      </c>
      <c r="T28" s="672">
        <v>0</v>
      </c>
      <c r="U28" s="672">
        <v>0</v>
      </c>
      <c r="V28" s="672">
        <v>0</v>
      </c>
      <c r="W28" s="672">
        <v>0</v>
      </c>
      <c r="X28" s="672">
        <v>1600</v>
      </c>
      <c r="Y28" s="672" t="s">
        <v>50</v>
      </c>
      <c r="Z28" s="674" t="s">
        <v>156</v>
      </c>
    </row>
    <row r="29" spans="1:26" s="626" customFormat="1" ht="63.75">
      <c r="A29" s="625"/>
      <c r="B29" s="852">
        <v>36015</v>
      </c>
      <c r="C29" s="852">
        <v>8800</v>
      </c>
      <c r="D29" s="673" t="s">
        <v>881</v>
      </c>
      <c r="E29" s="672" t="s">
        <v>882</v>
      </c>
      <c r="F29" s="672" t="s">
        <v>883</v>
      </c>
      <c r="G29" s="672" t="s">
        <v>874</v>
      </c>
      <c r="H29" s="672" t="s">
        <v>875</v>
      </c>
      <c r="I29" s="672" t="s">
        <v>882</v>
      </c>
      <c r="J29" s="851">
        <v>40105</v>
      </c>
      <c r="K29" s="851">
        <v>40105</v>
      </c>
      <c r="L29" s="672" t="s">
        <v>877</v>
      </c>
      <c r="M29" s="672">
        <v>1074</v>
      </c>
      <c r="N29" s="672">
        <v>4833</v>
      </c>
      <c r="O29" s="672">
        <v>6904.2857142857147</v>
      </c>
      <c r="P29" s="672">
        <v>0</v>
      </c>
      <c r="Q29" s="672">
        <v>0</v>
      </c>
      <c r="R29" s="672">
        <v>13808.571428571429</v>
      </c>
      <c r="S29" s="672">
        <v>0</v>
      </c>
      <c r="T29" s="672">
        <v>0</v>
      </c>
      <c r="U29" s="672">
        <v>0</v>
      </c>
      <c r="V29" s="672">
        <v>0</v>
      </c>
      <c r="W29" s="672">
        <v>0</v>
      </c>
      <c r="X29" s="672">
        <v>1600</v>
      </c>
      <c r="Y29" s="672" t="s">
        <v>50</v>
      </c>
      <c r="Z29" s="674" t="s">
        <v>156</v>
      </c>
    </row>
    <row r="30" spans="1:26" s="626" customFormat="1" ht="25.5">
      <c r="A30" s="625"/>
      <c r="B30" s="852">
        <v>36015</v>
      </c>
      <c r="C30" s="852">
        <v>8800</v>
      </c>
      <c r="D30" s="673" t="s">
        <v>884</v>
      </c>
      <c r="E30" s="672" t="s">
        <v>885</v>
      </c>
      <c r="F30" s="672" t="s">
        <v>886</v>
      </c>
      <c r="G30" s="672" t="s">
        <v>874</v>
      </c>
      <c r="H30" s="672" t="s">
        <v>875</v>
      </c>
      <c r="I30" s="672" t="s">
        <v>885</v>
      </c>
      <c r="J30" s="851">
        <v>40269</v>
      </c>
      <c r="K30" s="851">
        <v>40275</v>
      </c>
      <c r="L30" s="672" t="s">
        <v>877</v>
      </c>
      <c r="M30" s="672">
        <v>500</v>
      </c>
      <c r="N30" s="672">
        <v>2250</v>
      </c>
      <c r="O30" s="672">
        <v>3214.2857142857142</v>
      </c>
      <c r="P30" s="672">
        <v>6428.5714285714294</v>
      </c>
      <c r="Q30" s="672">
        <v>0</v>
      </c>
      <c r="R30" s="672">
        <v>0</v>
      </c>
      <c r="S30" s="672">
        <v>0</v>
      </c>
      <c r="T30" s="672">
        <v>0</v>
      </c>
      <c r="U30" s="672">
        <v>0</v>
      </c>
      <c r="V30" s="672">
        <v>0</v>
      </c>
      <c r="W30" s="672">
        <v>0</v>
      </c>
      <c r="X30" s="672">
        <v>1100</v>
      </c>
      <c r="Y30" s="672" t="s">
        <v>52</v>
      </c>
      <c r="Z30" s="674" t="s">
        <v>156</v>
      </c>
    </row>
    <row r="31" spans="1:26" s="626" customFormat="1" ht="25.5">
      <c r="A31" s="625"/>
      <c r="B31" s="852">
        <v>36015</v>
      </c>
      <c r="C31" s="852">
        <v>8800</v>
      </c>
      <c r="D31" s="673" t="s">
        <v>887</v>
      </c>
      <c r="E31" s="672" t="s">
        <v>888</v>
      </c>
      <c r="F31" s="672" t="s">
        <v>889</v>
      </c>
      <c r="G31" s="672" t="s">
        <v>874</v>
      </c>
      <c r="H31" s="672" t="s">
        <v>875</v>
      </c>
      <c r="I31" s="672" t="s">
        <v>888</v>
      </c>
      <c r="J31" s="851">
        <v>41752</v>
      </c>
      <c r="K31" s="851">
        <v>41752</v>
      </c>
      <c r="L31" s="672" t="s">
        <v>877</v>
      </c>
      <c r="M31" s="672">
        <v>1400</v>
      </c>
      <c r="N31" s="672">
        <v>4200</v>
      </c>
      <c r="O31" s="672">
        <v>6000</v>
      </c>
      <c r="P31" s="672">
        <v>12000</v>
      </c>
      <c r="Q31" s="672">
        <v>0</v>
      </c>
      <c r="R31" s="672">
        <v>0</v>
      </c>
      <c r="S31" s="672">
        <v>0</v>
      </c>
      <c r="T31" s="672">
        <v>0</v>
      </c>
      <c r="U31" s="672">
        <v>0</v>
      </c>
      <c r="V31" s="672">
        <v>0</v>
      </c>
      <c r="W31" s="672">
        <v>0</v>
      </c>
      <c r="X31" s="672">
        <v>500</v>
      </c>
      <c r="Y31" s="672" t="s">
        <v>41</v>
      </c>
      <c r="Z31" s="674" t="s">
        <v>389</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7833</v>
      </c>
      <c r="N57" s="630">
        <f>SUM(N27:N56)</f>
        <v>33148.5</v>
      </c>
      <c r="O57" s="630">
        <f t="shared" ref="O57:W57" si="2">SUM(O27:O56)</f>
        <v>47355.000000000007</v>
      </c>
      <c r="P57" s="630">
        <f t="shared" si="2"/>
        <v>31362.857142857145</v>
      </c>
      <c r="Q57" s="630">
        <f t="shared" si="2"/>
        <v>49538.571428571435</v>
      </c>
      <c r="R57" s="630">
        <f t="shared" si="2"/>
        <v>13808.571428571429</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1400</v>
      </c>
      <c r="N58" s="630">
        <f t="shared" ref="N58:W58" si="3">SUMIF($Z$27:$Z$56,"industrie",N27:N56)</f>
        <v>4200</v>
      </c>
      <c r="O58" s="630">
        <f t="shared" si="3"/>
        <v>6000</v>
      </c>
      <c r="P58" s="630">
        <f t="shared" si="3"/>
        <v>12000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6433</v>
      </c>
      <c r="N59" s="630">
        <f ca="1">SUMIF($Z$27:AB56,"tertiair",N27:N56)</f>
        <v>28948.5</v>
      </c>
      <c r="O59" s="630">
        <f ca="1">SUMIF($Z$27:AC56,"tertiair",O27:O56)</f>
        <v>41355.000000000007</v>
      </c>
      <c r="P59" s="630">
        <f ca="1">SUMIF($Z$27:AD56,"tertiair",P27:P56)</f>
        <v>19362.857142857145</v>
      </c>
      <c r="Q59" s="630">
        <f ca="1">SUMIF($Z$27:AE56,"tertiair",Q27:Q56)</f>
        <v>49538.571428571435</v>
      </c>
      <c r="R59" s="630">
        <f ca="1">SUMIF($Z$27:AF56,"tertiair",R27:R56)</f>
        <v>13808.571428571429</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36015</v>
      </c>
      <c r="C63" s="852">
        <v>8800</v>
      </c>
      <c r="D63" s="675" t="s">
        <v>890</v>
      </c>
      <c r="E63" s="675" t="s">
        <v>891</v>
      </c>
      <c r="F63" s="675" t="s">
        <v>892</v>
      </c>
      <c r="G63" s="675" t="s">
        <v>893</v>
      </c>
      <c r="H63" s="675" t="s">
        <v>894</v>
      </c>
      <c r="I63" s="675" t="s">
        <v>895</v>
      </c>
      <c r="J63" s="851">
        <v>39114</v>
      </c>
      <c r="K63" s="851">
        <v>39192</v>
      </c>
      <c r="L63" s="675" t="s">
        <v>896</v>
      </c>
      <c r="M63" s="675">
        <v>31</v>
      </c>
      <c r="N63" s="675">
        <v>139.5</v>
      </c>
      <c r="O63" s="675">
        <v>0</v>
      </c>
      <c r="P63" s="675">
        <v>0</v>
      </c>
      <c r="Q63" s="675">
        <v>398.57142857142861</v>
      </c>
      <c r="R63" s="675">
        <v>0</v>
      </c>
      <c r="S63" s="675">
        <v>0</v>
      </c>
      <c r="T63" s="675">
        <v>0</v>
      </c>
      <c r="U63" s="675">
        <v>0</v>
      </c>
      <c r="V63" s="675">
        <v>0</v>
      </c>
      <c r="W63" s="675">
        <v>0</v>
      </c>
      <c r="X63" s="675">
        <v>1300</v>
      </c>
      <c r="Y63" s="675" t="s">
        <v>54</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31</v>
      </c>
      <c r="N88" s="630">
        <f t="shared" ref="N88:W88" si="5">SUM(N63:N87)</f>
        <v>139.5</v>
      </c>
      <c r="O88" s="630">
        <f t="shared" si="5"/>
        <v>0</v>
      </c>
      <c r="P88" s="630">
        <f t="shared" si="5"/>
        <v>0</v>
      </c>
      <c r="Q88" s="630">
        <f t="shared" si="5"/>
        <v>398.57142857142861</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31</v>
      </c>
      <c r="N90" s="630">
        <f t="shared" ref="N90:W90" si="7">SUMIF($Z$63:$Z$88,"tertiair",N63:N88)</f>
        <v>139.5</v>
      </c>
      <c r="O90" s="630">
        <f t="shared" si="7"/>
        <v>0</v>
      </c>
      <c r="P90" s="630">
        <f t="shared" si="7"/>
        <v>0</v>
      </c>
      <c r="Q90" s="630">
        <f t="shared" si="7"/>
        <v>398.57142857142861</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0.58823529411764719</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12914.117647058823</v>
      </c>
      <c r="C100" s="664">
        <f t="shared" si="9"/>
        <v>20398.235294117647</v>
      </c>
      <c r="D100" s="664">
        <f t="shared" si="9"/>
        <v>5685.8823529411766</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18448.739495798323</v>
      </c>
      <c r="C101" s="667">
        <f t="shared" ref="C101:H101" si="10">$B$97*Q57</f>
        <v>29140.336134453792</v>
      </c>
      <c r="D101" s="667">
        <f t="shared" si="10"/>
        <v>8122.6890756302546</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2019-01-01T21:32:48Z</dcterms:modified>
</cp:coreProperties>
</file>