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N7" l="1"/>
  <c r="N24" s="1"/>
  <c r="P13" i="14"/>
  <c r="P15" s="1"/>
  <c r="P23" s="1"/>
  <c r="P55" s="1"/>
  <c r="F22"/>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O13" i="14"/>
  <c r="O15" s="1"/>
  <c r="F22" i="16"/>
  <c r="G39" i="14" s="1"/>
  <c r="G41" s="1"/>
  <c r="N22" i="16"/>
  <c r="O39" i="14" s="1"/>
  <c r="O41" s="1"/>
  <c r="F8" i="48"/>
  <c r="Q4"/>
  <c r="N22"/>
  <c r="R11" i="14"/>
  <c r="J21" i="48"/>
  <c r="C17" i="49" l="1"/>
  <c r="C18" i="15"/>
  <c r="C20" s="1"/>
  <c r="D36" i="14" s="1"/>
  <c r="C16" i="22"/>
  <c r="C29" i="20"/>
  <c r="C17" i="19"/>
  <c r="C19" s="1"/>
  <c r="D35" i="14" s="1"/>
  <c r="C20" i="16"/>
  <c r="C22" s="1"/>
  <c r="D39" i="14" s="1"/>
  <c r="C10" i="13"/>
  <c r="C16" i="48" s="1"/>
  <c r="C10" i="17"/>
  <c r="C12" s="1"/>
  <c r="D48" i="14" s="1"/>
  <c r="C56" i="22"/>
  <c r="C58" s="1"/>
  <c r="D44" i="14" s="1"/>
  <c r="D46" s="1"/>
  <c r="F13"/>
  <c r="F15" s="1"/>
  <c r="F23" s="1"/>
  <c r="F55" s="1"/>
  <c r="K13"/>
  <c r="E8" i="48"/>
  <c r="E25" s="1"/>
  <c r="E31" s="1"/>
  <c r="J8"/>
  <c r="J25" s="1"/>
  <c r="N25"/>
  <c r="N14"/>
  <c r="N31"/>
  <c r="K41" i="14"/>
  <c r="K53" s="1"/>
  <c r="K55" s="1"/>
  <c r="E14" i="48"/>
  <c r="K15" i="14"/>
  <c r="K23" s="1"/>
  <c r="H55"/>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<sst xmlns="http://schemas.openxmlformats.org/spreadsheetml/2006/main" count="2146" uniqueCount="878">
  <si>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</si>
  <si>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</si>
  <si>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</si>
  <si>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</si>
  <si>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</si>
  <si>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</si>
  <si>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</si>
  <si>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</si>
  <si>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</si>
  <si>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</si>
  <si>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</si>
  <si>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</si>
  <si>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</si>
  <si>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</si>
  <si>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</si>
  <si>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</si>
  <si>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</si>
  <si>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</si>
  <si>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</si>
  <si>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</si>
  <si>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</si>
  <si>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</si>
  <si>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</si>
  <si>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</si>
  <si>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</si>
  <si>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</si>
  <si>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</si>
  <si>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</si>
  <si>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</si>
  <si>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</si>
  <si>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</si>
  <si>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</si>
  <si>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</si>
  <si>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</si>
  <si>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</si>
  <si>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</si>
  <si>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</si>
  <si>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</si>
  <si>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</si>
  <si>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</si>
  <si>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</si>
  <si>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</si>
  <si>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</si>
  <si>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</si>
  <si>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</si>
  <si>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</si>
  <si>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</si>
  <si>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</si>
  <si>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</si>
  <si>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</si>
  <si>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</si>
  <si>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</si>
  <si>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</si>
  <si>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</si>
  <si>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</si>
  <si>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</si>
  <si>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</si>
  <si>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</si>
  <si>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</si>
  <si>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</si>
  <si>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</si>
  <si>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</si>
  <si>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</si>
  <si>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</si>
  <si>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</si>
  <si>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</si>
  <si>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</si>
  <si>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</si>
  <si>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</si>
  <si>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</si>
  <si>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</si>
  <si>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</si>
  <si>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</si>
  <si>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</si>
  <si>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</si>
  <si>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</si>
  <si>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</si>
  <si>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</si>
  <si>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</si>
  <si>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</si>
  <si>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</si>
  <si>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</si>
  <si>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</si>
  <si>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</si>
  <si>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</si>
  <si>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</si>
  <si>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</si>
  <si>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</si>
  <si>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</si>
  <si>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</si>
  <si>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</si>
  <si>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</si>
  <si>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</si>
  <si>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</si>
  <si>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</si>
  <si>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</si>
  <si>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</si>
  <si>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</si>
  <si>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</si>
  <si>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</si>
  <si>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</si>
  <si>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</si>
  <si>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</si>
  <si>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</si>
  <si>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</si>
  <si>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</si>
  <si>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</si>
  <si>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</si>
  <si>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</si>
  <si>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</si>
  <si>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</si>
  <si>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</si>
  <si>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</si>
  <si>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</si>
  <si>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</si>
  <si>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</si>
  <si>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</si>
  <si>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</si>
  <si>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</si>
  <si>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</si>
  <si>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</si>
  <si>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</si>
  <si>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</si>
  <si>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</si>
  <si>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</si>
  <si>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</si>
  <si>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</si>
  <si>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</si>
  <si>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</si>
  <si>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</si>
  <si>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</si>
  <si>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</si>
  <si>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</si>
  <si>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</si>
  <si>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</si>
  <si>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</si>
  <si>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</si>
  <si>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</si>
  <si>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</si>
  <si>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</si>
  <si>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</si>
  <si>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</si>
  <si>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</si>
  <si>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</si>
  <si>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</si>
  <si>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</si>
  <si>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</si>
  <si>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</si>
  <si>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</si>
  <si>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</si>
  <si>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</si>
  <si>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</si>
  <si>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</si>
  <si>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</si>
  <si>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</si>
  <si>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</si>
  <si>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</si>
  <si>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</si>
  <si>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</si>
  <si>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</si>
  <si>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</si>
  <si>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</si>
  <si>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</si>
  <si>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</si>
  <si>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</si>
  <si>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</si>
  <si>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</si>
  <si>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</si>
  <si>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</si>
  <si>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</si>
  <si>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</si>
  <si>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</si>
  <si>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</si>
  <si>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</si>
  <si>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</si>
  <si>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</si>
  <si>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</si>
  <si>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</si>
  <si>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</si>
  <si>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</si>
  <si>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</si>
  <si>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</si>
  <si>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</si>
  <si>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</si>
  <si>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</si>
  <si>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</si>
  <si>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</si>
  <si>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</si>
  <si>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</si>
  <si>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</si>
  <si>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</si>
  <si>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</si>
  <si>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</si>
  <si>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</si>
  <si>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</si>
  <si>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</si>
  <si>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</si>
  <si>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</si>
  <si>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</si>
  <si>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</si>
  <si>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</si>
  <si>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</si>
  <si>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</si>
  <si>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</si>
  <si>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</si>
  <si>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</si>
  <si>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</si>
  <si>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</si>
  <si>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</si>
  <si>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</si>
  <si>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</si>
  <si>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</si>
  <si>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</si>
  <si>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</si>
  <si>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</si>
  <si>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</si>
  <si>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</si>
  <si>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</si>
  <si>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</si>
  <si>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</si>
  <si>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</si>
  <si>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</si>
  <si>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</si>
  <si>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</si>
  <si>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</si>
  <si>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</si>
  <si>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</si>
  <si>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</si>
  <si>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</si>
  <si>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</si>
  <si>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</si>
  <si>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</si>
  <si>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</si>
  <si>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</si>
  <si>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</si>
  <si>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</si>
  <si>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</si>
  <si>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</si>
  <si>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</si>
  <si>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</si>
  <si>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</si>
  <si>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</si>
  <si>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</si>
  <si>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</si>
  <si>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</si>
  <si>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</si>
  <si>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</si>
  <si>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</si>
  <si>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</si>
  <si>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</si>
  <si>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</si>
  <si>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</si>
  <si>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</si>
  <si>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</si>
  <si>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</si>
  <si>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</si>
  <si>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</si>
  <si>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</si>
  <si>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</si>
  <si>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</si>
  <si>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</si>
  <si>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</si>
  <si>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</si>
  <si>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</si>
  <si>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</si>
  <si>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</si>
  <si>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</si>
  <si>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</si>
  <si>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</si>
  <si>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</si>
  <si>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</si>
  <si>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</si>
  <si>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</si>
  <si>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</si>
  <si>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</si>
  <si>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</si>
  <si>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</si>
  <si>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</si>
  <si>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</si>
  <si>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</si>
  <si>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</si>
  <si>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</si>
  <si>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</si>
  <si>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</si>
  <si>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</si>
  <si>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</si>
  <si>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</si>
  <si>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</si>
  <si>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</si>
  <si>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</si>
  <si>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</si>
  <si>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</si>
  <si>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</si>
  <si>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</si>
  <si>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</si>
  <si>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</si>
  <si>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</si>
  <si>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</si>
  <si>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</si>
  <si>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</si>
  <si>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</si>
  <si>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</si>
  <si>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</si>
  <si>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</si>
  <si>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</si>
  <si>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</si>
  <si>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</si>
  <si>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</si>
  <si>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</si>
  <si>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</si>
  <si>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</si>
  <si>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</si>
  <si>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</si>
  <si>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</si>
  <si>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</si>
  <si>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</si>
  <si>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</si>
  <si>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</si>
  <si>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</si>
  <si>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</si>
  <si>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</si>
  <si>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</si>
  <si>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</si>
  <si>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</si>
  <si>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</si>
  <si>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</si>
  <si>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</si>
  <si>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</si>
  <si>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</si>
  <si>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</si>
  <si>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</si>
  <si>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</si>
  <si>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</si>
  <si>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</si>
  <si>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</si>
  <si>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</si>
  <si>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</si>
  <si>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</si>
  <si>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</si>
  <si>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</si>
  <si>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</si>
  <si>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</si>
  <si>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</si>
  <si>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</si>
  <si>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</si>
  <si>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</si>
  <si>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</si>
  <si>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</si>
  <si>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</si>
  <si>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</si>
  <si>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</si>
  <si>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</si>
  <si>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</si>
  <si>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</si>
  <si>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</si>
  <si>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</si>
  <si>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</si>
  <si>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</si>
  <si>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</si>
  <si>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</si>
  <si>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</si>
  <si>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</si>
  <si>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</si>
  <si>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</si>
  <si>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</si>
  <si>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</si>
  <si>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</si>
  <si>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</si>
  <si>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</si>
  <si>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</si>
  <si>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</si>
  <si>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</si>
  <si>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</si>
  <si>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</si>
  <si>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</si>
  <si>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</si>
  <si>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</si>
  <si>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</si>
  <si>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</si>
  <si>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</si>
  <si>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</si>
  <si>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</si>
  <si>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</si>
  <si>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</si>
  <si>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</si>
  <si>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</si>
  <si>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</si>
  <si>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</si>
  <si>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</si>
  <si>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</si>
  <si>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</si>
  <si>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</si>
  <si>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</si>
  <si>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</si>
  <si>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</si>
  <si>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</si>
  <si>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</si>
  <si>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</si>
  <si>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</si>
  <si>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</si>
  <si>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</si>
  <si>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</si>
  <si>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</si>
  <si>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</si>
  <si>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</si>
  <si>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</si>
  <si>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</si>
  <si>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</si>
  <si>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</si>
  <si>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</si>
  <si>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</si>
  <si>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</si>
  <si>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</si>
  <si>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</si>
  <si>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</si>
  <si>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</si>
  <si>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</si>
  <si>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</si>
  <si>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</si>
  <si>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</si>
  <si>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</si>
  <si>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</si>
  <si>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</si>
  <si>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</si>
  <si>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</si>
  <si>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</si>
  <si>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</si>
  <si>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</si>
  <si>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</si>
  <si>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</si>
  <si>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</si>
  <si>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</si>
  <si>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</si>
  <si>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</si>
  <si>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</si>
  <si>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</si>
  <si>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</si>
  <si>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</si>
  <si>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</si>
  <si>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</si>
  <si>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</si>
  <si>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</si>
  <si>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</si>
  <si>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</si>
  <si>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</si>
  <si>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</si>
  <si>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</si>
  <si>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</si>
  <si>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</si>
  <si>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</si>
  <si>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</si>
  <si>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</si>
  <si>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</si>
  <si>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</si>
  <si>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</si>
  <si>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</si>
  <si>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</si>
  <si>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</si>
  <si>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</si>
  <si>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</si>
  <si>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</si>
  <si>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</si>
  <si>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</si>
  <si>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</si>
  <si>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</si>
  <si>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</si>
  <si>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</si>
  <si>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</si>
  <si>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</si>
  <si>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</si>
  <si>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</si>
  <si>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</si>
  <si>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</si>
  <si>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</si>
  <si>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</si>
  <si>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</si>
  <si>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</si>
  <si>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</si>
  <si>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</si>
  <si>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</si>
  <si>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</si>
  <si>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</si>
  <si>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</si>
  <si>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</si>
  <si>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</si>
  <si>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</si>
  <si>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</si>
  <si>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</si>
  <si>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</si>
  <si>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</si>
  <si>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</si>
  <si>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</si>
  <si>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</si>
  <si>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</si>
  <si>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</si>
  <si>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</si>
  <si>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</si>
  <si>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</si>
  <si>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</si>
  <si>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</si>
  <si>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</si>
  <si>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</si>
  <si>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</si>
  <si>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</si>
  <si>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</si>
  <si>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</si>
  <si>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</si>
  <si>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</si>
  <si>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</si>
  <si>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</si>
  <si>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</si>
  <si>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</si>
  <si>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</si>
  <si>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</si>
  <si>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</si>
  <si>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</si>
  <si>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</si>
  <si>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</si>
  <si>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</si>
  <si>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</si>
  <si>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</si>
  <si>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</si>
  <si>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</si>
  <si>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</si>
  <si>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</si>
  <si>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</si>
  <si>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</si>
  <si>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</si>
  <si>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</si>
  <si>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</si>
  <si>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</si>
  <si>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</si>
  <si>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</si>
  <si>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</si>
  <si>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</si>
  <si>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</si>
  <si>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</si>
  <si>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</si>
  <si>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</si>
  <si>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</si>
  <si>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</si>
  <si>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</si>
  <si>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</si>
  <si>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</si>
  <si>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</si>
  <si>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</si>
  <si>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</si>
  <si>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</si>
  <si>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</si>
  <si>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</si>
  <si>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</si>
  <si>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</si>
  <si>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</si>
  <si>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</si>
  <si>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</si>
  <si>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</si>
  <si>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</si>
  <si>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</si>
  <si>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</si>
  <si>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</si>
  <si>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</si>
  <si>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</si>
  <si>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</si>
  <si>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</si>
  <si>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</si>
  <si>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</si>
  <si>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</si>
  <si>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</si>
  <si>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</si>
  <si>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</si>
  <si>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</si>
  <si>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</si>
  <si>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</si>
  <si>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</si>
  <si>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</si>
  <si>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</si>
  <si>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</si>
  <si>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</si>
  <si>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</si>
  <si>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</si>
  <si>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</si>
  <si>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</si>
  <si>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</si>
  <si>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</si>
  <si>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</si>
  <si>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</si>
  <si>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</si>
  <si>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</si>
  <si>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</si>
  <si>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</si>
  <si>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</si>
  <si>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</si>
  <si>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</si>
  <si>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</si>
  <si>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</si>
  <si>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</si>
  <si>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</si>
  <si>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</si>
  <si>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</si>
  <si>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</si>
  <si>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</si>
  <si>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</si>
  <si>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</si>
  <si>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</si>
  <si>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</si>
  <si>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</si>
  <si>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</si>
  <si>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</si>
  <si>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</si>
  <si>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</si>
  <si>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</si>
  <si>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</si>
  <si>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</si>
  <si>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</si>
  <si>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</si>
  <si>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</si>
  <si>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</si>
  <si>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</si>
  <si>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</si>
  <si>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</si>
  <si>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</si>
  <si>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</si>
  <si>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</si>
  <si>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</si>
  <si>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</si>
  <si>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</si>
  <si>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</si>
  <si>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</si>
  <si>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</si>
  <si>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</si>
  <si>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</si>
  <si>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</si>
  <si>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</si>
  <si>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</si>
  <si>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</si>
  <si>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</si>
  <si>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</si>
  <si>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</si>
  <si>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</si>
  <si>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</si>
  <si>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</si>
  <si>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</si>
  <si>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</si>
  <si>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</si>
  <si>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</si>
  <si>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</si>
  <si>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</si>
  <si>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</si>
  <si>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</si>
  <si>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</si>
  <si>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</si>
  <si>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</si>
  <si>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</si>
  <si>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</si>
  <si>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</si>
  <si>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</si>
  <si>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</si>
  <si>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</si>
  <si>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</si>
  <si>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</si>
  <si>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</si>
  <si>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</si>
  <si>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</si>
  <si>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</si>
  <si>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</si>
  <si>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</si>
  <si>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</si>
  <si>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</si>
  <si>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</si>
  <si>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</si>
  <si>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</si>
  <si>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</si>
  <si>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</si>
  <si>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</si>
  <si>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</si>
  <si>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</si>
  <si>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</si>
  <si>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</si>
  <si>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</si>
  <si>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</si>
  <si>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</si>
  <si>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</si>
  <si>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</si>
  <si>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</si>
  <si>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</si>
  <si>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</si>
  <si>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</si>
  <si>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</si>
  <si>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</si>
  <si>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</si>
  <si>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</si>
  <si>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</si>
  <si>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</si>
  <si>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</si>
  <si>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</si>
  <si>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</si>
  <si>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</si>
  <si>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</si>
  <si>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</si>
  <si>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</si>
  <si>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</si>
  <si>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</si>
  <si>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</si>
  <si>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</si>
  <si>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</si>
  <si>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</si>
  <si>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</si>
  <si>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</si>
  <si>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</si>
  <si>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</si>
  <si>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</si>
  <si>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</si>
  <si>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</si>
  <si>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</si>
  <si>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</si>
  <si>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</si>
  <si>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</si>
  <si>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</si>
  <si>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</si>
  <si>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</si>
  <si>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</si>
  <si>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</si>
  <si>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</si>
  <si>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</si>
  <si>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</si>
  <si>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</si>
  <si>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</si>
  <si>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</si>
  <si>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</si>
  <si>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</si>
  <si>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</si>
  <si>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</si>
  <si>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</si>
  <si>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</si>
  <si>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</si>
  <si>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</si>
  <si>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</si>
  <si>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</si>
  <si>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</si>
  <si>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</si>
  <si>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</si>
  <si>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</si>
  <si>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</si>
  <si>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</si>
  <si>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</si>
  <si>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</si>
  <si>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</si>
  <si>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</si>
  <si>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</si>
  <si>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</si>
  <si>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</si>
  <si>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</si>
  <si>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</si>
  <si>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</si>
  <si>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</si>
  <si>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</si>
  <si>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</si>
  <si>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</si>
  <si>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</si>
  <si>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</si>
  <si>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</si>
  <si>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</si>
  <si>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</si>
  <si>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</si>
  <si>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</si>
  <si>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</si>
  <si>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</si>
  <si>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</si>
  <si>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</si>
  <si>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</si>
  <si>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</si>
  <si>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</si>
  <si>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</si>
  <si>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</si>
  <si>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</si>
  <si>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</si>
  <si>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</si>
  <si>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</si>
  <si>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</si>
  <si>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</si>
  <si>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</si>
  <si>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</si>
  <si>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</si>
  <si>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</si>
  <si>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</si>
  <si>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</si>
  <si>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</si>
  <si>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</si>
  <si>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</si>
  <si>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</si>
  <si>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</si>
  <si>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</si>
  <si>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</si>
  <si>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</si>
  <si>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</si>
  <si>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</si>
  <si>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</si>
  <si>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</si>
  <si>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</si>
  <si>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</si>
  <si>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</si>
  <si>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</si>
  <si>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</si>
  <si>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</si>
  <si>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</si>
  <si>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</si>
  <si>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</si>
  <si>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</si>
  <si>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</si>
  <si>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</si>
  <si>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</si>
  <si>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</si>
  <si>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</si>
  <si>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</si>
  <si>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</si>
  <si>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</si>
  <si>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</si>
  <si>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</si>
  <si>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</si>
  <si>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</si>
  <si>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</si>
  <si>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</si>
  <si>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</si>
  <si>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</si>
  <si>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</si>
  <si>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</si>
  <si>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</si>
  <si>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</si>
  <si>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</si>
  <si>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</si>
  <si>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</si>
  <si>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</si>
  <si>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</si>
  <si>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</si>
  <si>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</si>
  <si>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</si>
  <si>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</si>
  <si>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</si>
  <si>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</si>
  <si>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</si>
  <si>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</si>
  <si>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</si>
  <si>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</si>
  <si>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</si>
  <si>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</si>
  <si>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</si>
  <si>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</si>
  <si>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</si>
  <si>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</si>
  <si>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</si>
  <si>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</si>
  <si>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</si>
  <si>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</si>
  <si>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</si>
  <si>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</si>
  <si>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</si>
  <si>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</si>
  <si>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</si>
  <si>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</si>
  <si>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</si>
  <si>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</si>
  <si>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</si>
  <si>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</si>
  <si>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36008</t>
  </si>
  <si>
    <t>IZEGEM</t>
  </si>
  <si>
    <t>Paarden&amp;pony's 200 - 600 kg</t>
  </si>
  <si>
    <t>Paarden&amp;pony's &lt; 200 kg</t>
  </si>
  <si>
    <t>referentietaak LNE (2017); Jaarverslag De Lijn (2014)</t>
  </si>
  <si>
    <t>op basis van VEA (maart 2018) en Inventaris Hernieuwbare Energiebronnen (juni 2018)</t>
  </si>
  <si>
    <t>VEA (maart 2016)</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</si>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</sst>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191634.03492090004</c:v>
                </c:pt>
                <c:pt idx="1">
                  <c:v>72010.65915054646</c:v>
                </c:pt>
                <c:pt idx="2">
                  <c:v>2348.643</c:v>
                </c:pt>
                <c:pt idx="3">
                  <c:v>17466.128262669597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191634.03492090004</c:v>
                </c:pt>
                <c:pt idx="1">
                  <c:v>72010.65915054646</c:v>
                </c:pt>
                <c:pt idx="2">
                  <c:v>2348.643</c:v>
                </c:pt>
                <c:pt idx="3">
                  <c:v>17466.128262669597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32469.117894642724</c:v>
                </c:pt>
                <c:pt idx="1">
                  <c:v>13680.562486896197</c:v>
                </c:pt>
                <c:pt idx="2">
                  <c:v>421.92207020832183</c:v>
                </c:pt>
                <c:pt idx="3">
                  <c:v>4031.8136324488014</c:v>
                </c:pt>
                <c:pt idx="4">
                  <c:v>44709.009752915437</c:v>
                </c:pt>
                <c:pt idx="5">
                  <c:v>37535.807115981501</c:v>
                </c:pt>
                <c:pt idx="6">
                  <c:v>170.41550796742862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32469.117894642724</c:v>
                </c:pt>
                <c:pt idx="1">
                  <c:v>13680.562486896197</c:v>
                </c:pt>
                <c:pt idx="2">
                  <c:v>421.92207020832183</c:v>
                </c:pt>
                <c:pt idx="3">
                  <c:v>4031.8136324488014</c:v>
                </c:pt>
                <c:pt idx="4">
                  <c:v>44709.009752915437</c:v>
                </c:pt>
                <c:pt idx="5">
                  <c:v>37535.807115981501</c:v>
                </c:pt>
                <c:pt idx="6">
                  <c:v>170.41550796742862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36008</v>
      </c>
      <c r="B6" s="416"/>
      <c r="C6" s="417"/>
    </row>
    <row r="7" spans="1:7" s="414" customFormat="1" ht="15.75" customHeight="1">
      <c r="A7" s="418" t="str">
        <f>txtMunicipality</f>
        <v>IZEGEM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11849</v>
      </c>
      <c r="C9" s="342">
        <v>12171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893</v>
      </c>
    </row>
    <row r="15" spans="1:6">
      <c r="A15" s="348" t="s">
        <v>184</v>
      </c>
      <c r="B15" s="334">
        <v>5</v>
      </c>
    </row>
    <row r="16" spans="1:6">
      <c r="A16" s="348" t="s">
        <v>6</v>
      </c>
      <c r="B16" s="334">
        <v>72</v>
      </c>
    </row>
    <row r="17" spans="1:6">
      <c r="A17" s="348" t="s">
        <v>7</v>
      </c>
      <c r="B17" s="334">
        <v>157</v>
      </c>
    </row>
    <row r="18" spans="1:6">
      <c r="A18" s="348" t="s">
        <v>8</v>
      </c>
      <c r="B18" s="334">
        <v>167</v>
      </c>
    </row>
    <row r="19" spans="1:6">
      <c r="A19" s="348" t="s">
        <v>9</v>
      </c>
      <c r="B19" s="334">
        <v>195</v>
      </c>
    </row>
    <row r="20" spans="1:6">
      <c r="A20" s="348" t="s">
        <v>10</v>
      </c>
      <c r="B20" s="334">
        <v>122</v>
      </c>
    </row>
    <row r="21" spans="1:6">
      <c r="A21" s="348" t="s">
        <v>11</v>
      </c>
      <c r="B21" s="334">
        <v>3398</v>
      </c>
    </row>
    <row r="22" spans="1:6">
      <c r="A22" s="348" t="s">
        <v>12</v>
      </c>
      <c r="B22" s="334">
        <v>16451</v>
      </c>
    </row>
    <row r="23" spans="1:6">
      <c r="A23" s="348" t="s">
        <v>13</v>
      </c>
      <c r="B23" s="334">
        <v>136</v>
      </c>
    </row>
    <row r="24" spans="1:6">
      <c r="A24" s="348" t="s">
        <v>14</v>
      </c>
      <c r="B24" s="334">
        <v>4</v>
      </c>
    </row>
    <row r="25" spans="1:6">
      <c r="A25" s="348" t="s">
        <v>15</v>
      </c>
      <c r="B25" s="334">
        <v>669</v>
      </c>
    </row>
    <row r="26" spans="1:6">
      <c r="A26" s="348" t="s">
        <v>16</v>
      </c>
      <c r="B26" s="334">
        <v>157</v>
      </c>
    </row>
    <row r="27" spans="1:6">
      <c r="A27" s="348" t="s">
        <v>17</v>
      </c>
      <c r="B27" s="334">
        <v>4</v>
      </c>
    </row>
    <row r="28" spans="1:6" s="356" customFormat="1">
      <c r="A28" s="355" t="s">
        <v>18</v>
      </c>
      <c r="B28" s="355">
        <v>72737</v>
      </c>
    </row>
    <row r="29" spans="1:6">
      <c r="A29" s="355" t="s">
        <v>865</v>
      </c>
      <c r="B29" s="355">
        <v>82</v>
      </c>
      <c r="C29" s="356"/>
      <c r="D29" s="356"/>
      <c r="E29" s="356"/>
      <c r="F29" s="356"/>
    </row>
    <row r="30" spans="1:6">
      <c r="A30" s="341" t="s">
        <v>866</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227623</v>
      </c>
    </row>
    <row r="37" spans="1:6">
      <c r="A37" s="348" t="s">
        <v>25</v>
      </c>
      <c r="B37" s="348" t="s">
        <v>28</v>
      </c>
      <c r="C37" s="334">
        <v>0</v>
      </c>
      <c r="D37" s="334">
        <v>0</v>
      </c>
      <c r="E37" s="334">
        <v>0</v>
      </c>
      <c r="F37" s="334">
        <v>0</v>
      </c>
    </row>
    <row r="38" spans="1:6">
      <c r="A38" s="348" t="s">
        <v>25</v>
      </c>
      <c r="B38" s="348" t="s">
        <v>29</v>
      </c>
      <c r="C38" s="334">
        <v>1</v>
      </c>
      <c r="D38" s="334">
        <v>71495.984681104499</v>
      </c>
      <c r="E38" s="334">
        <v>1</v>
      </c>
      <c r="F38" s="334">
        <v>15669</v>
      </c>
    </row>
    <row r="39" spans="1:6">
      <c r="A39" s="348" t="s">
        <v>30</v>
      </c>
      <c r="B39" s="348" t="s">
        <v>31</v>
      </c>
      <c r="C39" s="334">
        <v>9201</v>
      </c>
      <c r="D39" s="334">
        <v>129705846.299263</v>
      </c>
      <c r="E39" s="334">
        <v>11763</v>
      </c>
      <c r="F39" s="334">
        <v>38677918</v>
      </c>
    </row>
    <row r="40" spans="1:6">
      <c r="A40" s="348" t="s">
        <v>30</v>
      </c>
      <c r="B40" s="348" t="s">
        <v>29</v>
      </c>
      <c r="C40" s="334">
        <v>0</v>
      </c>
      <c r="D40" s="334">
        <v>0</v>
      </c>
      <c r="E40" s="334">
        <v>0</v>
      </c>
      <c r="F40" s="334">
        <v>0</v>
      </c>
    </row>
    <row r="41" spans="1:6">
      <c r="A41" s="348" t="s">
        <v>32</v>
      </c>
      <c r="B41" s="348" t="s">
        <v>33</v>
      </c>
      <c r="C41" s="334">
        <v>188</v>
      </c>
      <c r="D41" s="334">
        <v>8401771.5562015604</v>
      </c>
      <c r="E41" s="334">
        <v>399</v>
      </c>
      <c r="F41" s="334">
        <v>15361447</v>
      </c>
    </row>
    <row r="42" spans="1:6">
      <c r="A42" s="348" t="s">
        <v>32</v>
      </c>
      <c r="B42" s="348" t="s">
        <v>34</v>
      </c>
      <c r="C42" s="334">
        <v>0</v>
      </c>
      <c r="D42" s="334">
        <v>0</v>
      </c>
      <c r="E42" s="334">
        <v>3</v>
      </c>
      <c r="F42" s="334">
        <v>450731</v>
      </c>
    </row>
    <row r="43" spans="1:6">
      <c r="A43" s="348" t="s">
        <v>32</v>
      </c>
      <c r="B43" s="348" t="s">
        <v>35</v>
      </c>
      <c r="C43" s="334">
        <v>0</v>
      </c>
      <c r="D43" s="334">
        <v>0</v>
      </c>
      <c r="E43" s="334">
        <v>7</v>
      </c>
      <c r="F43" s="334">
        <v>232593</v>
      </c>
    </row>
    <row r="44" spans="1:6">
      <c r="A44" s="348" t="s">
        <v>32</v>
      </c>
      <c r="B44" s="348" t="s">
        <v>36</v>
      </c>
      <c r="C44" s="334">
        <v>10</v>
      </c>
      <c r="D44" s="334">
        <v>441455.55786805699</v>
      </c>
      <c r="E44" s="334">
        <v>83</v>
      </c>
      <c r="F44" s="334">
        <v>14777260</v>
      </c>
    </row>
    <row r="45" spans="1:6">
      <c r="A45" s="348" t="s">
        <v>32</v>
      </c>
      <c r="B45" s="348" t="s">
        <v>37</v>
      </c>
      <c r="C45" s="334">
        <v>0</v>
      </c>
      <c r="D45" s="334">
        <v>0</v>
      </c>
      <c r="E45" s="334">
        <v>5</v>
      </c>
      <c r="F45" s="334">
        <v>427819</v>
      </c>
    </row>
    <row r="46" spans="1:6">
      <c r="A46" s="348" t="s">
        <v>32</v>
      </c>
      <c r="B46" s="348" t="s">
        <v>38</v>
      </c>
      <c r="C46" s="334">
        <v>0</v>
      </c>
      <c r="D46" s="334">
        <v>0</v>
      </c>
      <c r="E46" s="334">
        <v>0</v>
      </c>
      <c r="F46" s="334">
        <v>0</v>
      </c>
    </row>
    <row r="47" spans="1:6">
      <c r="A47" s="348" t="s">
        <v>32</v>
      </c>
      <c r="B47" s="348" t="s">
        <v>39</v>
      </c>
      <c r="C47" s="334">
        <v>7</v>
      </c>
      <c r="D47" s="334">
        <v>431775.35542389099</v>
      </c>
      <c r="E47" s="334">
        <v>11</v>
      </c>
      <c r="F47" s="334">
        <v>1040892</v>
      </c>
    </row>
    <row r="48" spans="1:6">
      <c r="A48" s="348" t="s">
        <v>32</v>
      </c>
      <c r="B48" s="348" t="s">
        <v>29</v>
      </c>
      <c r="C48" s="334">
        <v>64</v>
      </c>
      <c r="D48" s="334">
        <v>34066925.213884301</v>
      </c>
      <c r="E48" s="334">
        <v>0</v>
      </c>
      <c r="F48" s="334">
        <v>0</v>
      </c>
    </row>
    <row r="49" spans="1:6">
      <c r="A49" s="348" t="s">
        <v>32</v>
      </c>
      <c r="B49" s="348" t="s">
        <v>40</v>
      </c>
      <c r="C49" s="334">
        <v>0</v>
      </c>
      <c r="D49" s="334">
        <v>0</v>
      </c>
      <c r="E49" s="334">
        <v>18</v>
      </c>
      <c r="F49" s="334">
        <v>5325543</v>
      </c>
    </row>
    <row r="50" spans="1:6">
      <c r="A50" s="348" t="s">
        <v>32</v>
      </c>
      <c r="B50" s="348" t="s">
        <v>41</v>
      </c>
      <c r="C50" s="334">
        <v>13</v>
      </c>
      <c r="D50" s="334">
        <v>1880745.4422822699</v>
      </c>
      <c r="E50" s="334">
        <v>39</v>
      </c>
      <c r="F50" s="334">
        <v>34716968.5</v>
      </c>
    </row>
    <row r="51" spans="1:6">
      <c r="A51" s="348" t="s">
        <v>42</v>
      </c>
      <c r="B51" s="348" t="s">
        <v>43</v>
      </c>
      <c r="C51" s="334">
        <v>17</v>
      </c>
      <c r="D51" s="334">
        <v>7019258.86462982</v>
      </c>
      <c r="E51" s="334">
        <v>85</v>
      </c>
      <c r="F51" s="334">
        <v>2073422</v>
      </c>
    </row>
    <row r="52" spans="1:6">
      <c r="A52" s="348" t="s">
        <v>42</v>
      </c>
      <c r="B52" s="348" t="s">
        <v>29</v>
      </c>
      <c r="C52" s="334">
        <v>5</v>
      </c>
      <c r="D52" s="334">
        <v>71525.886909954206</v>
      </c>
      <c r="E52" s="334">
        <v>0</v>
      </c>
      <c r="F52" s="334">
        <v>0</v>
      </c>
    </row>
    <row r="53" spans="1:6">
      <c r="A53" s="348" t="s">
        <v>44</v>
      </c>
      <c r="B53" s="348" t="s">
        <v>45</v>
      </c>
      <c r="C53" s="334">
        <v>206</v>
      </c>
      <c r="D53" s="334">
        <v>8721646.7007784806</v>
      </c>
      <c r="E53" s="334">
        <v>0</v>
      </c>
      <c r="F53" s="334">
        <v>0</v>
      </c>
    </row>
    <row r="54" spans="1:6">
      <c r="A54" s="348" t="s">
        <v>46</v>
      </c>
      <c r="B54" s="348" t="s">
        <v>47</v>
      </c>
      <c r="C54" s="334">
        <v>0</v>
      </c>
      <c r="D54" s="334">
        <v>0</v>
      </c>
      <c r="E54" s="334">
        <v>172</v>
      </c>
      <c r="F54" s="334">
        <v>2348643</v>
      </c>
    </row>
    <row r="55" spans="1:6">
      <c r="A55" s="348" t="s">
        <v>46</v>
      </c>
      <c r="B55" s="348" t="s">
        <v>29</v>
      </c>
      <c r="C55" s="334">
        <v>0</v>
      </c>
      <c r="D55" s="334">
        <v>0</v>
      </c>
      <c r="E55" s="334">
        <v>0</v>
      </c>
      <c r="F55" s="334">
        <v>0</v>
      </c>
    </row>
    <row r="56" spans="1:6">
      <c r="A56" s="348" t="s">
        <v>48</v>
      </c>
      <c r="B56" s="348" t="s">
        <v>29</v>
      </c>
      <c r="C56" s="334">
        <v>0</v>
      </c>
      <c r="D56" s="334">
        <v>0</v>
      </c>
      <c r="E56" s="334">
        <v>245</v>
      </c>
      <c r="F56" s="334">
        <v>1077229</v>
      </c>
    </row>
    <row r="57" spans="1:6">
      <c r="A57" s="348" t="s">
        <v>49</v>
      </c>
      <c r="B57" s="348" t="s">
        <v>50</v>
      </c>
      <c r="C57" s="334">
        <v>93</v>
      </c>
      <c r="D57" s="334">
        <v>4323969.6716578295</v>
      </c>
      <c r="E57" s="334">
        <v>142</v>
      </c>
      <c r="F57" s="334">
        <v>2470093</v>
      </c>
    </row>
    <row r="58" spans="1:6">
      <c r="A58" s="348" t="s">
        <v>49</v>
      </c>
      <c r="B58" s="348" t="s">
        <v>51</v>
      </c>
      <c r="C58" s="334">
        <v>51</v>
      </c>
      <c r="D58" s="334">
        <v>2927008.0305782799</v>
      </c>
      <c r="E58" s="334">
        <v>71</v>
      </c>
      <c r="F58" s="334">
        <v>5049304</v>
      </c>
    </row>
    <row r="59" spans="1:6">
      <c r="A59" s="348" t="s">
        <v>49</v>
      </c>
      <c r="B59" s="348" t="s">
        <v>52</v>
      </c>
      <c r="C59" s="334">
        <v>190</v>
      </c>
      <c r="D59" s="334">
        <v>6587650.7438596496</v>
      </c>
      <c r="E59" s="334">
        <v>453</v>
      </c>
      <c r="F59" s="334">
        <v>15773583</v>
      </c>
    </row>
    <row r="60" spans="1:6">
      <c r="A60" s="348" t="s">
        <v>49</v>
      </c>
      <c r="B60" s="348" t="s">
        <v>53</v>
      </c>
      <c r="C60" s="334">
        <v>93</v>
      </c>
      <c r="D60" s="334">
        <v>3471044.3661368899</v>
      </c>
      <c r="E60" s="334">
        <v>110</v>
      </c>
      <c r="F60" s="334">
        <v>2673929</v>
      </c>
    </row>
    <row r="61" spans="1:6">
      <c r="A61" s="348" t="s">
        <v>49</v>
      </c>
      <c r="B61" s="348" t="s">
        <v>54</v>
      </c>
      <c r="C61" s="334">
        <v>256</v>
      </c>
      <c r="D61" s="334">
        <v>7971129.8360012099</v>
      </c>
      <c r="E61" s="334">
        <v>576</v>
      </c>
      <c r="F61" s="334">
        <v>7931295.7450980395</v>
      </c>
    </row>
    <row r="62" spans="1:6">
      <c r="A62" s="348" t="s">
        <v>49</v>
      </c>
      <c r="B62" s="348" t="s">
        <v>55</v>
      </c>
      <c r="C62" s="334">
        <v>21</v>
      </c>
      <c r="D62" s="334">
        <v>3260229.5869831201</v>
      </c>
      <c r="E62" s="334">
        <v>23</v>
      </c>
      <c r="F62" s="334">
        <v>1027824</v>
      </c>
    </row>
    <row r="63" spans="1:6">
      <c r="A63" s="348" t="s">
        <v>49</v>
      </c>
      <c r="B63" s="348" t="s">
        <v>29</v>
      </c>
      <c r="C63" s="334">
        <v>92</v>
      </c>
      <c r="D63" s="334">
        <v>4459308.2935243798</v>
      </c>
      <c r="E63" s="334">
        <v>0</v>
      </c>
      <c r="F63" s="334">
        <v>0</v>
      </c>
    </row>
    <row r="64" spans="1:6">
      <c r="A64" s="348" t="s">
        <v>56</v>
      </c>
      <c r="B64" s="348" t="s">
        <v>57</v>
      </c>
      <c r="C64" s="334">
        <v>0</v>
      </c>
      <c r="D64" s="334">
        <v>0</v>
      </c>
      <c r="E64" s="334">
        <v>0</v>
      </c>
      <c r="F64" s="334">
        <v>0</v>
      </c>
    </row>
    <row r="65" spans="1:6">
      <c r="A65" s="348" t="s">
        <v>56</v>
      </c>
      <c r="B65" s="348" t="s">
        <v>29</v>
      </c>
      <c r="C65" s="334">
        <v>4</v>
      </c>
      <c r="D65" s="334">
        <v>201189.26693285001</v>
      </c>
      <c r="E65" s="334">
        <v>0</v>
      </c>
      <c r="F65" s="334">
        <v>0</v>
      </c>
    </row>
    <row r="66" spans="1:6">
      <c r="A66" s="348" t="s">
        <v>56</v>
      </c>
      <c r="B66" s="348" t="s">
        <v>58</v>
      </c>
      <c r="C66" s="334">
        <v>0</v>
      </c>
      <c r="D66" s="334">
        <v>0</v>
      </c>
      <c r="E66" s="334">
        <v>0</v>
      </c>
      <c r="F66" s="334">
        <v>0</v>
      </c>
    </row>
    <row r="67" spans="1:6">
      <c r="A67" s="355" t="s">
        <v>56</v>
      </c>
      <c r="B67" s="355" t="s">
        <v>59</v>
      </c>
      <c r="C67" s="334">
        <v>16</v>
      </c>
      <c r="D67" s="334">
        <v>2338439.5353262601</v>
      </c>
      <c r="E67" s="334">
        <v>0</v>
      </c>
      <c r="F67" s="334">
        <v>0</v>
      </c>
    </row>
    <row r="68" spans="1:6">
      <c r="A68" s="341" t="s">
        <v>56</v>
      </c>
      <c r="B68" s="341" t="s">
        <v>60</v>
      </c>
      <c r="C68" s="334">
        <v>11</v>
      </c>
      <c r="D68" s="334">
        <v>1109846.3148153899</v>
      </c>
      <c r="E68" s="334">
        <v>28</v>
      </c>
      <c r="F68" s="334">
        <v>659409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49435769</v>
      </c>
      <c r="E73" s="477">
        <v>47826191.951063886</v>
      </c>
    </row>
    <row r="74" spans="1:6">
      <c r="A74" s="348" t="s">
        <v>64</v>
      </c>
      <c r="B74" s="348" t="s">
        <v>714</v>
      </c>
      <c r="C74" s="1288" t="s">
        <v>716</v>
      </c>
      <c r="D74" s="477">
        <v>6783255.5767723937</v>
      </c>
      <c r="E74" s="477">
        <v>6593472.5585257467</v>
      </c>
    </row>
    <row r="75" spans="1:6">
      <c r="A75" s="348" t="s">
        <v>65</v>
      </c>
      <c r="B75" s="348" t="s">
        <v>713</v>
      </c>
      <c r="C75" s="1288" t="s">
        <v>717</v>
      </c>
      <c r="D75" s="477">
        <v>44891168</v>
      </c>
      <c r="E75" s="477">
        <v>43244483.073238611</v>
      </c>
    </row>
    <row r="76" spans="1:6">
      <c r="A76" s="348" t="s">
        <v>65</v>
      </c>
      <c r="B76" s="348" t="s">
        <v>714</v>
      </c>
      <c r="C76" s="1288" t="s">
        <v>718</v>
      </c>
      <c r="D76" s="477">
        <v>3921059.5767723941</v>
      </c>
      <c r="E76" s="477">
        <v>3803606.0859741108</v>
      </c>
    </row>
    <row r="77" spans="1:6">
      <c r="A77" s="348" t="s">
        <v>66</v>
      </c>
      <c r="B77" s="348" t="s">
        <v>713</v>
      </c>
      <c r="C77" s="1288" t="s">
        <v>719</v>
      </c>
      <c r="D77" s="477">
        <v>41719236</v>
      </c>
      <c r="E77" s="477">
        <v>47373994.179091685</v>
      </c>
    </row>
    <row r="78" spans="1:6">
      <c r="A78" s="341" t="s">
        <v>66</v>
      </c>
      <c r="B78" s="341" t="s">
        <v>714</v>
      </c>
      <c r="C78" s="341" t="s">
        <v>720</v>
      </c>
      <c r="D78" s="1284">
        <v>7543692</v>
      </c>
      <c r="E78" s="1284">
        <v>7890059.5638286248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180284.84645521207</v>
      </c>
      <c r="C83" s="477">
        <v>181823.84362397899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22074.451912400051</v>
      </c>
    </row>
    <row r="91" spans="1:6">
      <c r="A91" s="348" t="s">
        <v>68</v>
      </c>
      <c r="B91" s="334">
        <v>4464.8587364010864</v>
      </c>
    </row>
    <row r="92" spans="1:6">
      <c r="A92" s="341" t="s">
        <v>69</v>
      </c>
      <c r="B92" s="342">
        <v>2671.4582226712337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34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3</v>
      </c>
    </row>
    <row r="131" spans="1:6">
      <c r="A131" s="348" t="s">
        <v>296</v>
      </c>
      <c r="B131" s="334">
        <v>3</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154842.76958854034</v>
      </c>
      <c r="C3" s="43" t="s">
        <v>170</v>
      </c>
      <c r="D3" s="43"/>
      <c r="E3" s="154"/>
      <c r="F3" s="43"/>
      <c r="G3" s="43"/>
      <c r="H3" s="43"/>
      <c r="I3" s="43"/>
      <c r="J3" s="43"/>
      <c r="K3" s="96"/>
    </row>
    <row r="4" spans="1:11">
      <c r="A4" s="384" t="s">
        <v>171</v>
      </c>
      <c r="B4" s="49">
        <f>IF(ISERROR('SEAP template'!B69),0,'SEAP template'!B69)</f>
        <v>32338.26887147237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743.24117647058824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0.17964504192775224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1061.7731092436977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4467.8571428571431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2348.643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2348.643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0.17964504192775224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421.92207020832183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38677.917999999998</v>
      </c>
      <c r="C5" s="17">
        <f>IF(ISERROR('Eigen informatie GS &amp; warmtenet'!B57),0,'Eigen informatie GS &amp; warmtenet'!B57)</f>
        <v>0</v>
      </c>
      <c r="D5" s="30">
        <f>(SUM(HH_hh_gas_kWh,HH_rest_gas_kWh)/1000)*0.902</f>
        <v>116994.67336193523</v>
      </c>
      <c r="E5" s="17">
        <f>B46*B57</f>
        <v>4783.2948891690794</v>
      </c>
      <c r="F5" s="17">
        <f>B51*B62</f>
        <v>0</v>
      </c>
      <c r="G5" s="18"/>
      <c r="H5" s="17"/>
      <c r="I5" s="17"/>
      <c r="J5" s="17">
        <f>B50*B61+C50*C61</f>
        <v>0</v>
      </c>
      <c r="K5" s="17"/>
      <c r="L5" s="17"/>
      <c r="M5" s="17"/>
      <c r="N5" s="17">
        <f>B48*B59+C48*C59</f>
        <v>25983.609933394637</v>
      </c>
      <c r="O5" s="17">
        <f>B69*B70*B71</f>
        <v>462.74666666666667</v>
      </c>
      <c r="P5" s="17">
        <f>B77*B78*B79/1000-B77*B78*B79/1000/B80</f>
        <v>266.93333333333334</v>
      </c>
    </row>
    <row r="6" spans="1:16">
      <c r="A6" s="16" t="s">
        <v>631</v>
      </c>
      <c r="B6" s="844">
        <f>kWh_PV_kleiner_dan_10kW</f>
        <v>4464.8587364010864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43142.776736401087</v>
      </c>
      <c r="C8" s="21">
        <f>C5</f>
        <v>0</v>
      </c>
      <c r="D8" s="21">
        <f>D5</f>
        <v>116994.67336193523</v>
      </c>
      <c r="E8" s="21">
        <f>E5</f>
        <v>4783.2948891690794</v>
      </c>
      <c r="F8" s="21">
        <f>F5</f>
        <v>0</v>
      </c>
      <c r="G8" s="21"/>
      <c r="H8" s="21"/>
      <c r="I8" s="21"/>
      <c r="J8" s="21">
        <f>J5</f>
        <v>0</v>
      </c>
      <c r="K8" s="21"/>
      <c r="L8" s="21">
        <f>L5</f>
        <v>0</v>
      </c>
      <c r="M8" s="21">
        <f>M5</f>
        <v>0</v>
      </c>
      <c r="N8" s="21">
        <f>N5</f>
        <v>25983.609933394637</v>
      </c>
      <c r="O8" s="21">
        <f>O5</f>
        <v>462.74666666666667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0.17964504192775224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7750.3859356904277</v>
      </c>
      <c r="C12" s="23">
        <f ca="1">C10*C8</f>
        <v>0</v>
      </c>
      <c r="D12" s="23">
        <f>D8*D10</f>
        <v>23632.924019110917</v>
      </c>
      <c r="E12" s="23">
        <f>E10*E8</f>
        <v>1085.8079398413811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11849</v>
      </c>
      <c r="C28" s="36"/>
      <c r="D28" s="228"/>
    </row>
    <row r="29" spans="1:7" s="15" customFormat="1">
      <c r="A29" s="230" t="s">
        <v>741</v>
      </c>
      <c r="B29" s="37">
        <f>SUM(HH_hh_gas_aantal,HH_rest_gas_aantal)</f>
        <v>9201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9201</v>
      </c>
      <c r="C32" s="167">
        <f>IF(ISERROR(B32/SUM($B$32,$B$34,$B$35,$B$36,$B$38,$B$39)*100),0,B32/SUM($B$32,$B$34,$B$35,$B$36,$B$38,$B$39)*100)</f>
        <v>77.743979721166028</v>
      </c>
      <c r="D32" s="233"/>
      <c r="G32" s="15"/>
    </row>
    <row r="33" spans="1:7">
      <c r="A33" s="171" t="s">
        <v>72</v>
      </c>
      <c r="B33" s="34" t="s">
        <v>111</v>
      </c>
      <c r="C33" s="167"/>
      <c r="D33" s="233"/>
      <c r="G33" s="15"/>
    </row>
    <row r="34" spans="1:7">
      <c r="A34" s="171" t="s">
        <v>73</v>
      </c>
      <c r="B34" s="33">
        <f>IF((($B$28-$B$32-$B$39-$B$77-$B$38)*C20/100)&lt;0,0,($B$28-$B$32-$B$39-$B$77-$B$38)*C20/100)</f>
        <v>320.58552631578948</v>
      </c>
      <c r="C34" s="167">
        <f>IF(ISERROR(B34/SUM($B$32,$B$34,$B$35,$B$36,$B$38,$B$39)*100),0,B34/SUM($B$32,$B$34,$B$35,$B$36,$B$38,$B$39)*100)</f>
        <v>2.7087919418317652</v>
      </c>
      <c r="D34" s="233"/>
      <c r="G34" s="15"/>
    </row>
    <row r="35" spans="1:7">
      <c r="A35" s="171" t="s">
        <v>74</v>
      </c>
      <c r="B35" s="33">
        <f>IF((($B$28-$B$32-$B$39-$B$77-$B$38)*C21/100)&lt;0,0,($B$28-$B$32-$B$39-$B$77-$B$38)*C21/100)</f>
        <v>1854.1973684210525</v>
      </c>
      <c r="C35" s="167">
        <f>IF(ISERROR(B35/SUM($B$32,$B$34,$B$35,$B$36,$B$38,$B$39)*100),0,B35/SUM($B$32,$B$34,$B$35,$B$36,$B$38,$B$39)*100)</f>
        <v>15.667066906810751</v>
      </c>
      <c r="D35" s="233"/>
      <c r="G35" s="15"/>
    </row>
    <row r="36" spans="1:7">
      <c r="A36" s="171" t="s">
        <v>75</v>
      </c>
      <c r="B36" s="33">
        <f>IF((($B$28-$B$32-$B$39-$B$77-$B$38)*C22/100)&lt;0,0,($B$28-$B$32-$B$39-$B$77-$B$38)*C22/100)</f>
        <v>459.21710526315786</v>
      </c>
      <c r="C36" s="167">
        <f>IF(ISERROR(B36/SUM($B$32,$B$34,$B$35,$B$36,$B$38,$B$39)*100),0,B36/SUM($B$32,$B$34,$B$35,$B$36,$B$38,$B$39)*100)</f>
        <v>3.8801614301914471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9201</v>
      </c>
      <c r="C44" s="34" t="s">
        <v>111</v>
      </c>
      <c r="D44" s="174"/>
    </row>
    <row r="45" spans="1:7">
      <c r="A45" s="171" t="s">
        <v>72</v>
      </c>
      <c r="B45" s="33" t="str">
        <f t="shared" si="0"/>
        <v>-</v>
      </c>
      <c r="C45" s="34" t="s">
        <v>111</v>
      </c>
      <c r="D45" s="174"/>
    </row>
    <row r="46" spans="1:7">
      <c r="A46" s="171" t="s">
        <v>73</v>
      </c>
      <c r="B46" s="33">
        <f t="shared" si="0"/>
        <v>320.58552631578948</v>
      </c>
      <c r="C46" s="34" t="s">
        <v>111</v>
      </c>
      <c r="D46" s="174"/>
    </row>
    <row r="47" spans="1:7">
      <c r="A47" s="171" t="s">
        <v>74</v>
      </c>
      <c r="B47" s="33">
        <f t="shared" si="0"/>
        <v>1854.1973684210525</v>
      </c>
      <c r="C47" s="34" t="s">
        <v>111</v>
      </c>
      <c r="D47" s="174"/>
    </row>
    <row r="48" spans="1:7">
      <c r="A48" s="171" t="s">
        <v>75</v>
      </c>
      <c r="B48" s="33">
        <f t="shared" si="0"/>
        <v>459.21710526315786</v>
      </c>
      <c r="C48" s="33">
        <f>B48*10</f>
        <v>4592.1710526315783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34926.02874509804</v>
      </c>
      <c r="C5" s="17">
        <f>IF(ISERROR('Eigen informatie GS &amp; warmtenet'!B58),0,'Eigen informatie GS &amp; warmtenet'!B58)</f>
        <v>0</v>
      </c>
      <c r="D5" s="30">
        <f>SUM(D6:D12)</f>
        <v>29766.307156924708</v>
      </c>
      <c r="E5" s="17">
        <f>SUM(E6:E12)</f>
        <v>317.83881958360791</v>
      </c>
      <c r="F5" s="17">
        <f>SUM(F6:F12)</f>
        <v>4948.80573359142</v>
      </c>
      <c r="G5" s="18"/>
      <c r="H5" s="17"/>
      <c r="I5" s="17"/>
      <c r="J5" s="17">
        <f>SUM(J6:J12)</f>
        <v>0</v>
      </c>
      <c r="K5" s="17"/>
      <c r="L5" s="17"/>
      <c r="M5" s="17"/>
      <c r="N5" s="17">
        <f>SUM(N6:N12)</f>
        <v>1989.7886953486893</v>
      </c>
      <c r="O5" s="17">
        <f>B38*B39*B40</f>
        <v>4.6900000000000004</v>
      </c>
      <c r="P5" s="17">
        <f>B46*B47*B48/1000-B46*B47*B48/1000/B49</f>
        <v>57.2</v>
      </c>
      <c r="R5" s="32"/>
    </row>
    <row r="6" spans="1:18">
      <c r="A6" s="32" t="s">
        <v>54</v>
      </c>
      <c r="B6" s="37">
        <f>B26</f>
        <v>7931.2957450980393</v>
      </c>
      <c r="C6" s="33"/>
      <c r="D6" s="37">
        <f>IF(ISERROR(TER_kantoor_gas_kWh/1000),0,TER_kantoor_gas_kWh/1000)*0.902</f>
        <v>7189.9591120730911</v>
      </c>
      <c r="E6" s="33">
        <f>$C$26*'E Balans VL '!I12/100/3.6*1000000</f>
        <v>22.978127459636895</v>
      </c>
      <c r="F6" s="33">
        <f>$C$26*('E Balans VL '!L12+'E Balans VL '!N12)/100/3.6*1000000</f>
        <v>897.64793835183207</v>
      </c>
      <c r="G6" s="34"/>
      <c r="H6" s="33"/>
      <c r="I6" s="33"/>
      <c r="J6" s="33">
        <f>$C$26*('E Balans VL '!D12+'E Balans VL '!E12)/100/3.6*1000000</f>
        <v>0</v>
      </c>
      <c r="K6" s="33"/>
      <c r="L6" s="33"/>
      <c r="M6" s="33"/>
      <c r="N6" s="33">
        <f>$C$26*'E Balans VL '!Y12/100/3.6*1000000</f>
        <v>79.386426368797203</v>
      </c>
      <c r="O6" s="33"/>
      <c r="P6" s="33"/>
      <c r="R6" s="32"/>
    </row>
    <row r="7" spans="1:18">
      <c r="A7" s="32" t="s">
        <v>53</v>
      </c>
      <c r="B7" s="37">
        <f t="shared" ref="B7:B12" si="0">B27</f>
        <v>2673.9290000000001</v>
      </c>
      <c r="C7" s="33"/>
      <c r="D7" s="37">
        <f>IF(ISERROR(TER_horeca_gas_kWh/1000),0,TER_horeca_gas_kWh/1000)*0.902</f>
        <v>3130.882018255475</v>
      </c>
      <c r="E7" s="33">
        <f>$C$27*'E Balans VL '!I9/100/3.6*1000000</f>
        <v>112.24406861002588</v>
      </c>
      <c r="F7" s="33">
        <f>$C$27*('E Balans VL '!L9+'E Balans VL '!N9)/100/3.6*1000000</f>
        <v>574.54847972858022</v>
      </c>
      <c r="G7" s="34"/>
      <c r="H7" s="33"/>
      <c r="I7" s="33"/>
      <c r="J7" s="33">
        <f>$C$27*('E Balans VL '!D9+'E Balans VL '!E9)/100/3.6*1000000</f>
        <v>0</v>
      </c>
      <c r="K7" s="33"/>
      <c r="L7" s="33"/>
      <c r="M7" s="33"/>
      <c r="N7" s="33">
        <f>$C$27*'E Balans VL '!Y9/100/3.6*1000000</f>
        <v>0.68904811894257356</v>
      </c>
      <c r="O7" s="33"/>
      <c r="P7" s="33"/>
      <c r="R7" s="32"/>
    </row>
    <row r="8" spans="1:18">
      <c r="A8" s="6" t="s">
        <v>52</v>
      </c>
      <c r="B8" s="37">
        <f t="shared" si="0"/>
        <v>15773.583000000001</v>
      </c>
      <c r="C8" s="33"/>
      <c r="D8" s="37">
        <f>IF(ISERROR(TER_handel_gas_kWh/1000),0,TER_handel_gas_kWh/1000)*0.902</f>
        <v>5942.0609709614046</v>
      </c>
      <c r="E8" s="33">
        <f>$C$28*'E Balans VL '!I13/100/3.6*1000000</f>
        <v>169.42140939994721</v>
      </c>
      <c r="F8" s="33">
        <f>$C$28*('E Balans VL '!L13+'E Balans VL '!N13)/100/3.6*1000000</f>
        <v>2042.0205749132228</v>
      </c>
      <c r="G8" s="34"/>
      <c r="H8" s="33"/>
      <c r="I8" s="33"/>
      <c r="J8" s="33">
        <f>$C$28*('E Balans VL '!D13+'E Balans VL '!E13)/100/3.6*1000000</f>
        <v>0</v>
      </c>
      <c r="K8" s="33"/>
      <c r="L8" s="33"/>
      <c r="M8" s="33"/>
      <c r="N8" s="33">
        <f>$C$28*'E Balans VL '!Y13/100/3.6*1000000</f>
        <v>127.95616657107966</v>
      </c>
      <c r="O8" s="33"/>
      <c r="P8" s="33"/>
      <c r="R8" s="32"/>
    </row>
    <row r="9" spans="1:18">
      <c r="A9" s="32" t="s">
        <v>51</v>
      </c>
      <c r="B9" s="37">
        <f t="shared" si="0"/>
        <v>5049.3040000000001</v>
      </c>
      <c r="C9" s="33"/>
      <c r="D9" s="37">
        <f>IF(ISERROR(TER_gezond_gas_kWh/1000),0,TER_gezond_gas_kWh/1000)*0.902</f>
        <v>2640.1612435816087</v>
      </c>
      <c r="E9" s="33">
        <f>$C$29*'E Balans VL '!I10/100/3.6*1000000</f>
        <v>4.0195725642333766</v>
      </c>
      <c r="F9" s="33">
        <f>$C$29*('E Balans VL '!L10+'E Balans VL '!N10)/100/3.6*1000000</f>
        <v>613.81587021514872</v>
      </c>
      <c r="G9" s="34"/>
      <c r="H9" s="33"/>
      <c r="I9" s="33"/>
      <c r="J9" s="33">
        <f>$C$29*('E Balans VL '!D10+'E Balans VL '!E10)/100/3.6*1000000</f>
        <v>0</v>
      </c>
      <c r="K9" s="33"/>
      <c r="L9" s="33"/>
      <c r="M9" s="33"/>
      <c r="N9" s="33">
        <f>$C$29*'E Balans VL '!Y10/100/3.6*1000000</f>
        <v>40.786939986798707</v>
      </c>
      <c r="O9" s="33"/>
      <c r="P9" s="33"/>
      <c r="R9" s="32"/>
    </row>
    <row r="10" spans="1:18">
      <c r="A10" s="32" t="s">
        <v>50</v>
      </c>
      <c r="B10" s="37">
        <f t="shared" si="0"/>
        <v>2470.0929999999998</v>
      </c>
      <c r="C10" s="33"/>
      <c r="D10" s="37">
        <f>IF(ISERROR(TER_ander_gas_kWh/1000),0,TER_ander_gas_kWh/1000)*0.902</f>
        <v>3900.2206438353619</v>
      </c>
      <c r="E10" s="33">
        <f>$C$30*'E Balans VL '!I14/100/3.6*1000000</f>
        <v>8.4651384730525461</v>
      </c>
      <c r="F10" s="33">
        <f>$C$30*('E Balans VL '!L14+'E Balans VL '!N14)/100/3.6*1000000</f>
        <v>551.7184034440395</v>
      </c>
      <c r="G10" s="34"/>
      <c r="H10" s="33"/>
      <c r="I10" s="33"/>
      <c r="J10" s="33">
        <f>$C$30*('E Balans VL '!D14+'E Balans VL '!E14)/100/3.6*1000000</f>
        <v>0</v>
      </c>
      <c r="K10" s="33"/>
      <c r="L10" s="33"/>
      <c r="M10" s="33"/>
      <c r="N10" s="33">
        <f>$C$30*'E Balans VL '!Y14/100/3.6*1000000</f>
        <v>1739.9470030542902</v>
      </c>
      <c r="O10" s="33"/>
      <c r="P10" s="33"/>
      <c r="R10" s="32"/>
    </row>
    <row r="11" spans="1:18">
      <c r="A11" s="32" t="s">
        <v>55</v>
      </c>
      <c r="B11" s="37">
        <f t="shared" si="0"/>
        <v>1027.8240000000001</v>
      </c>
      <c r="C11" s="33"/>
      <c r="D11" s="37">
        <f>IF(ISERROR(TER_onderwijs_gas_kWh/1000),0,TER_onderwijs_gas_kWh/1000)*0.902</f>
        <v>2940.7270874587743</v>
      </c>
      <c r="E11" s="33">
        <f>$C$31*'E Balans VL '!I11/100/3.6*1000000</f>
        <v>0.7105030767120476</v>
      </c>
      <c r="F11" s="33">
        <f>$C$31*('E Balans VL '!L11+'E Balans VL '!N11)/100/3.6*1000000</f>
        <v>269.05446693859602</v>
      </c>
      <c r="G11" s="34"/>
      <c r="H11" s="33"/>
      <c r="I11" s="33"/>
      <c r="J11" s="33">
        <f>$C$31*('E Balans VL '!D11+'E Balans VL '!E11)/100/3.6*1000000</f>
        <v>0</v>
      </c>
      <c r="K11" s="33"/>
      <c r="L11" s="33"/>
      <c r="M11" s="33"/>
      <c r="N11" s="33">
        <f>$C$31*'E Balans VL '!Y11/100/3.6*1000000</f>
        <v>1.0231112487807745</v>
      </c>
      <c r="O11" s="33"/>
      <c r="P11" s="33"/>
      <c r="R11" s="32"/>
    </row>
    <row r="12" spans="1:18">
      <c r="A12" s="32" t="s">
        <v>260</v>
      </c>
      <c r="B12" s="37">
        <f t="shared" si="0"/>
        <v>0</v>
      </c>
      <c r="C12" s="33"/>
      <c r="D12" s="37">
        <f>IF(ISERROR(TER_rest_gas_kWh/1000),0,TER_rest_gas_kWh/1000)*0.902</f>
        <v>4022.2960807589911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34926.02874509804</v>
      </c>
      <c r="C16" s="21">
        <f t="shared" ca="1" si="1"/>
        <v>0</v>
      </c>
      <c r="D16" s="21">
        <f t="shared" ca="1" si="1"/>
        <v>29766.307156924708</v>
      </c>
      <c r="E16" s="21">
        <f t="shared" si="1"/>
        <v>317.83881958360791</v>
      </c>
      <c r="F16" s="21">
        <f t="shared" ca="1" si="1"/>
        <v>4948.80573359142</v>
      </c>
      <c r="G16" s="21">
        <f t="shared" si="1"/>
        <v>0</v>
      </c>
      <c r="H16" s="21">
        <f t="shared" si="1"/>
        <v>0</v>
      </c>
      <c r="I16" s="21">
        <f t="shared" si="1"/>
        <v>0</v>
      </c>
      <c r="J16" s="21">
        <f t="shared" si="1"/>
        <v>0</v>
      </c>
      <c r="K16" s="21">
        <f t="shared" si="1"/>
        <v>0</v>
      </c>
      <c r="L16" s="21">
        <f t="shared" ca="1" si="1"/>
        <v>0</v>
      </c>
      <c r="M16" s="21">
        <f t="shared" si="1"/>
        <v>0</v>
      </c>
      <c r="N16" s="21">
        <f t="shared" ca="1" si="1"/>
        <v>1989.7886953486893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0.17964504192775224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6274.2878982830171</v>
      </c>
      <c r="C20" s="23">
        <f t="shared" ref="C20:P20" ca="1" si="2">C16*C18</f>
        <v>0</v>
      </c>
      <c r="D20" s="23">
        <f t="shared" ca="1" si="2"/>
        <v>6012.7940456987917</v>
      </c>
      <c r="E20" s="23">
        <f t="shared" si="2"/>
        <v>72.149412045478996</v>
      </c>
      <c r="F20" s="23">
        <f t="shared" ca="1" si="2"/>
        <v>1321.3311308689092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7931.2957450980393</v>
      </c>
      <c r="C26" s="39">
        <f>IF(ISERROR(B26*3.6/1000000/'E Balans VL '!Z12*100),0,B26*3.6/1000000/'E Balans VL '!Z12*100)</f>
        <v>0.17422008053716781</v>
      </c>
      <c r="D26" s="237" t="s">
        <v>692</v>
      </c>
      <c r="F26" s="6"/>
    </row>
    <row r="27" spans="1:18">
      <c r="A27" s="231" t="s">
        <v>53</v>
      </c>
      <c r="B27" s="33">
        <f>IF(ISERROR(TER_horeca_ele_kWh/1000),0,TER_horeca_ele_kWh/1000)</f>
        <v>2673.9290000000001</v>
      </c>
      <c r="C27" s="39">
        <f>IF(ISERROR(B27*3.6/1000000/'E Balans VL '!Z9*100),0,B27*3.6/1000000/'E Balans VL '!Z9*100)</f>
        <v>0.21487684918908503</v>
      </c>
      <c r="D27" s="237" t="s">
        <v>692</v>
      </c>
      <c r="F27" s="6"/>
    </row>
    <row r="28" spans="1:18">
      <c r="A28" s="171" t="s">
        <v>52</v>
      </c>
      <c r="B28" s="33">
        <f>IF(ISERROR(TER_handel_ele_kWh/1000),0,TER_handel_ele_kWh/1000)</f>
        <v>15773.583000000001</v>
      </c>
      <c r="C28" s="39">
        <f>IF(ISERROR(B28*3.6/1000000/'E Balans VL '!Z13*100),0,B28*3.6/1000000/'E Balans VL '!Z13*100)</f>
        <v>0.46641382965354128</v>
      </c>
      <c r="D28" s="237" t="s">
        <v>692</v>
      </c>
      <c r="F28" s="6"/>
    </row>
    <row r="29" spans="1:18">
      <c r="A29" s="231" t="s">
        <v>51</v>
      </c>
      <c r="B29" s="33">
        <f>IF(ISERROR(TER_gezond_ele_kWh/1000),0,TER_gezond_ele_kWh/1000)</f>
        <v>5049.3040000000001</v>
      </c>
      <c r="C29" s="39">
        <f>IF(ISERROR(B29*3.6/1000000/'E Balans VL '!Z10*100),0,B29*3.6/1000000/'E Balans VL '!Z10*100)</f>
        <v>0.56892619926211863</v>
      </c>
      <c r="D29" s="237" t="s">
        <v>692</v>
      </c>
      <c r="F29" s="6"/>
    </row>
    <row r="30" spans="1:18">
      <c r="A30" s="231" t="s">
        <v>50</v>
      </c>
      <c r="B30" s="33">
        <f>IF(ISERROR(TER_ander_ele_kWh/1000),0,TER_ander_ele_kWh/1000)</f>
        <v>2470.0929999999998</v>
      </c>
      <c r="C30" s="39">
        <f>IF(ISERROR(B30*3.6/1000000/'E Balans VL '!Z14*100),0,B30*3.6/1000000/'E Balans VL '!Z14*100)</f>
        <v>0.18680891115674406</v>
      </c>
      <c r="D30" s="237" t="s">
        <v>692</v>
      </c>
      <c r="F30" s="6"/>
    </row>
    <row r="31" spans="1:18">
      <c r="A31" s="231" t="s">
        <v>55</v>
      </c>
      <c r="B31" s="33">
        <f>IF(ISERROR(TER_onderwijs_ele_kWh/1000),0,TER_onderwijs_ele_kWh/1000)</f>
        <v>1027.8240000000001</v>
      </c>
      <c r="C31" s="39">
        <f>IF(ISERROR(B31*3.6/1000000/'E Balans VL '!Z11*100),0,B31*3.6/1000000/'E Balans VL '!Z11*100)</f>
        <v>0.21335240249015608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72333.253500000021</v>
      </c>
      <c r="C5" s="17">
        <f>IF(ISERROR('Eigen informatie GS &amp; warmtenet'!B59),0,'Eigen informatie GS &amp; warmtenet'!B59)</f>
        <v>0</v>
      </c>
      <c r="D5" s="30">
        <f>SUM(D6:D15)</f>
        <v>40790.851159345388</v>
      </c>
      <c r="E5" s="17">
        <f>SUM(E6:E15)</f>
        <v>4966.7679277744892</v>
      </c>
      <c r="F5" s="17">
        <f>SUM(F6:F15)</f>
        <v>82595.997330949234</v>
      </c>
      <c r="G5" s="18"/>
      <c r="H5" s="17"/>
      <c r="I5" s="17"/>
      <c r="J5" s="17">
        <f>SUM(J6:J15)</f>
        <v>831.52501124629509</v>
      </c>
      <c r="K5" s="17"/>
      <c r="L5" s="17"/>
      <c r="M5" s="17"/>
      <c r="N5" s="17">
        <f>SUM(N6:N15)</f>
        <v>24141.394680997641</v>
      </c>
      <c r="O5" s="17">
        <f>B43*B44*B45</f>
        <v>0</v>
      </c>
      <c r="P5" s="17">
        <f>B51*B52*B53/1000-B51*B52*B53/1000/B54</f>
        <v>0</v>
      </c>
      <c r="R5" s="32"/>
    </row>
    <row r="6" spans="1:18">
      <c r="A6" s="6" t="s">
        <v>35</v>
      </c>
      <c r="B6" s="37">
        <f>IF( ISERROR(IND_ijzer_ele_kWh/1000),0,IND_ijzer_ele_kWh/1000)</f>
        <v>232.59299999999999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14777.26</v>
      </c>
      <c r="C8" s="33"/>
      <c r="D8" s="37">
        <f>IF( ISERROR(IND_metaal_Gas_kWH/1000),0,IND_metaal_Gas_kWH/1000)*0.902</f>
        <v>398.19291319698743</v>
      </c>
      <c r="E8" s="33">
        <f>C30*'E Balans VL '!I18/100/3.6*1000000</f>
        <v>369.82309849801379</v>
      </c>
      <c r="F8" s="33">
        <f>C30*'E Balans VL '!L18/100/3.6*1000000+C30*'E Balans VL '!N18/100/3.6*1000000</f>
        <v>4631.2667898714981</v>
      </c>
      <c r="G8" s="34"/>
      <c r="H8" s="33"/>
      <c r="I8" s="33"/>
      <c r="J8" s="40">
        <f>C30*'E Balans VL '!D18/100/3.6*1000000+C30*'E Balans VL '!E18/100/3.6*1000000</f>
        <v>0</v>
      </c>
      <c r="K8" s="33"/>
      <c r="L8" s="33"/>
      <c r="M8" s="33"/>
      <c r="N8" s="33">
        <f>C30*'E Balans VL '!Y18/100/3.6*1000000</f>
        <v>371.24312153387484</v>
      </c>
      <c r="O8" s="33"/>
      <c r="P8" s="33"/>
      <c r="R8" s="32"/>
    </row>
    <row r="9" spans="1:18">
      <c r="A9" s="6" t="s">
        <v>33</v>
      </c>
      <c r="B9" s="37">
        <f t="shared" si="0"/>
        <v>15361.447</v>
      </c>
      <c r="C9" s="33"/>
      <c r="D9" s="37">
        <f>IF( ISERROR(IND_andere_gas_kWh/1000),0,IND_andere_gas_kWh/1000)*0.902</f>
        <v>7578.3979436938071</v>
      </c>
      <c r="E9" s="33">
        <f>C31*'E Balans VL '!I19/100/3.6*1000000</f>
        <v>4223.7678743972883</v>
      </c>
      <c r="F9" s="33">
        <f>C31*'E Balans VL '!L19/100/3.6*1000000+C31*'E Balans VL '!N19/100/3.6*1000000</f>
        <v>12107.493319699957</v>
      </c>
      <c r="G9" s="34"/>
      <c r="H9" s="33"/>
      <c r="I9" s="33"/>
      <c r="J9" s="40">
        <f>C31*'E Balans VL '!D19/100/3.6*1000000+C31*'E Balans VL '!E19/100/3.6*1000000</f>
        <v>0</v>
      </c>
      <c r="K9" s="33"/>
      <c r="L9" s="33"/>
      <c r="M9" s="33"/>
      <c r="N9" s="33">
        <f>C31*'E Balans VL '!Y19/100/3.6*1000000</f>
        <v>4972.9058682490686</v>
      </c>
      <c r="O9" s="33"/>
      <c r="P9" s="33"/>
      <c r="R9" s="32"/>
    </row>
    <row r="10" spans="1:18">
      <c r="A10" s="6" t="s">
        <v>41</v>
      </c>
      <c r="B10" s="37">
        <f t="shared" si="0"/>
        <v>34716.968500000003</v>
      </c>
      <c r="C10" s="33"/>
      <c r="D10" s="37">
        <f>IF( ISERROR(IND_voed_gas_kWh/1000),0,IND_voed_gas_kWh/1000)*0.902</f>
        <v>1696.4323889386076</v>
      </c>
      <c r="E10" s="33">
        <f>C32*'E Balans VL '!I20/100/3.6*1000000</f>
        <v>353.9203681704218</v>
      </c>
      <c r="F10" s="33">
        <f>C32*'E Balans VL '!L20/100/3.6*1000000+C32*'E Balans VL '!N20/100/3.6*1000000</f>
        <v>65580.136362822159</v>
      </c>
      <c r="G10" s="34"/>
      <c r="H10" s="33"/>
      <c r="I10" s="33"/>
      <c r="J10" s="40">
        <f>C32*'E Balans VL '!D20/100/3.6*1000000+C32*'E Balans VL '!E20/100/3.6*1000000</f>
        <v>830.89065064021929</v>
      </c>
      <c r="K10" s="33"/>
      <c r="L10" s="33"/>
      <c r="M10" s="33"/>
      <c r="N10" s="33">
        <f>C32*'E Balans VL '!Y20/100/3.6*1000000</f>
        <v>18299.841303911282</v>
      </c>
      <c r="O10" s="33"/>
      <c r="P10" s="33"/>
      <c r="R10" s="32"/>
    </row>
    <row r="11" spans="1:18">
      <c r="A11" s="6" t="s">
        <v>40</v>
      </c>
      <c r="B11" s="37">
        <f t="shared" si="0"/>
        <v>5325.5429999999997</v>
      </c>
      <c r="C11" s="33"/>
      <c r="D11" s="37">
        <f>IF( ISERROR(IND_textiel_gas_kWh/1000),0,IND_textiel_gas_kWh/1000)*0.902</f>
        <v>0</v>
      </c>
      <c r="E11" s="33">
        <f>C33*'E Balans VL '!I21/100/3.6*1000000</f>
        <v>14.115294298845587</v>
      </c>
      <c r="F11" s="33">
        <f>C33*'E Balans VL '!L21/100/3.6*1000000+C33*'E Balans VL '!N21/100/3.6*1000000</f>
        <v>237.84424408667667</v>
      </c>
      <c r="G11" s="34"/>
      <c r="H11" s="33"/>
      <c r="I11" s="33"/>
      <c r="J11" s="40">
        <f>C33*'E Balans VL '!D21/100/3.6*1000000+C33*'E Balans VL '!E21/100/3.6*1000000</f>
        <v>0</v>
      </c>
      <c r="K11" s="33"/>
      <c r="L11" s="33"/>
      <c r="M11" s="33"/>
      <c r="N11" s="33">
        <f>C33*'E Balans VL '!Y21/100/3.6*1000000</f>
        <v>50.189435852601434</v>
      </c>
      <c r="O11" s="33"/>
      <c r="P11" s="33"/>
      <c r="R11" s="32"/>
    </row>
    <row r="12" spans="1:18">
      <c r="A12" s="6" t="s">
        <v>37</v>
      </c>
      <c r="B12" s="37">
        <f t="shared" si="0"/>
        <v>427.81900000000002</v>
      </c>
      <c r="C12" s="33"/>
      <c r="D12" s="37">
        <f>IF( ISERROR(IND_min_gas_kWh/1000),0,IND_min_gas_kWh/1000)*0.902</f>
        <v>0</v>
      </c>
      <c r="E12" s="33">
        <f>C34*'E Balans VL '!I22/100/3.6*1000000</f>
        <v>1.2956702258206123</v>
      </c>
      <c r="F12" s="33">
        <f>C34*'E Balans VL '!L22/100/3.6*1000000+C34*'E Balans VL '!N22/100/3.6*1000000</f>
        <v>13.369711561440702</v>
      </c>
      <c r="G12" s="34"/>
      <c r="H12" s="33"/>
      <c r="I12" s="33"/>
      <c r="J12" s="40">
        <f>C34*'E Balans VL '!D22/100/3.6*1000000+C34*'E Balans VL '!E22/100/3.6*1000000</f>
        <v>0.63436060607575984</v>
      </c>
      <c r="K12" s="33"/>
      <c r="L12" s="33"/>
      <c r="M12" s="33"/>
      <c r="N12" s="33">
        <f>C34*'E Balans VL '!Y22/100/3.6*1000000</f>
        <v>0</v>
      </c>
      <c r="O12" s="33"/>
      <c r="P12" s="33"/>
      <c r="R12" s="32"/>
    </row>
    <row r="13" spans="1:18">
      <c r="A13" s="6" t="s">
        <v>39</v>
      </c>
      <c r="B13" s="37">
        <f t="shared" si="0"/>
        <v>1040.8920000000001</v>
      </c>
      <c r="C13" s="33"/>
      <c r="D13" s="37">
        <f>IF( ISERROR(IND_papier_gas_kWh/1000),0,IND_papier_gas_kWh/1000)*0.902</f>
        <v>389.46137059234968</v>
      </c>
      <c r="E13" s="33">
        <f>C35*'E Balans VL '!I23/100/3.6*1000000</f>
        <v>2.1557575905182049</v>
      </c>
      <c r="F13" s="33">
        <f>C35*'E Balans VL '!L23/100/3.6*1000000+C35*'E Balans VL '!N23/100/3.6*1000000</f>
        <v>20.643119855087029</v>
      </c>
      <c r="G13" s="34"/>
      <c r="H13" s="33"/>
      <c r="I13" s="33"/>
      <c r="J13" s="40">
        <f>C35*'E Balans VL '!D23/100/3.6*1000000+C35*'E Balans VL '!E23/100/3.6*1000000</f>
        <v>0</v>
      </c>
      <c r="K13" s="33"/>
      <c r="L13" s="33"/>
      <c r="M13" s="33"/>
      <c r="N13" s="33">
        <f>C35*'E Balans VL '!Y23/100/3.6*1000000</f>
        <v>439.51442863041666</v>
      </c>
      <c r="O13" s="33"/>
      <c r="P13" s="33"/>
      <c r="R13" s="32"/>
    </row>
    <row r="14" spans="1:18">
      <c r="A14" s="6" t="s">
        <v>34</v>
      </c>
      <c r="B14" s="37">
        <f t="shared" si="0"/>
        <v>450.73099999999999</v>
      </c>
      <c r="C14" s="33"/>
      <c r="D14" s="37">
        <f>IF( ISERROR(IND_chemie_gas_kWh/1000),0,IND_chemie_gas_kWh/1000)*0.902</f>
        <v>0</v>
      </c>
      <c r="E14" s="33">
        <f>C36*'E Balans VL '!I24/100/3.6*1000000</f>
        <v>1.6898645935803296</v>
      </c>
      <c r="F14" s="33">
        <f>C36*'E Balans VL '!L24/100/3.6*1000000+C36*'E Balans VL '!N24/100/3.6*1000000</f>
        <v>5.2437830524075331</v>
      </c>
      <c r="G14" s="34"/>
      <c r="H14" s="33"/>
      <c r="I14" s="33"/>
      <c r="J14" s="40">
        <f>C36*'E Balans VL '!D24/100/3.6*1000000+C36*'E Balans VL '!E24/100/3.6*1000000</f>
        <v>0</v>
      </c>
      <c r="K14" s="33"/>
      <c r="L14" s="33"/>
      <c r="M14" s="33"/>
      <c r="N14" s="33">
        <f>C36*'E Balans VL '!Y24/100/3.6*1000000</f>
        <v>7.7005228204008782</v>
      </c>
      <c r="O14" s="33"/>
      <c r="P14" s="33"/>
      <c r="R14" s="32"/>
    </row>
    <row r="15" spans="1:18">
      <c r="A15" s="6" t="s">
        <v>270</v>
      </c>
      <c r="B15" s="37">
        <f t="shared" si="0"/>
        <v>0</v>
      </c>
      <c r="C15" s="33"/>
      <c r="D15" s="37">
        <f>IF( ISERROR(IND_rest_gas_kWh/1000),0,IND_rest_gas_kWh/1000)*0.902</f>
        <v>30728.366542923639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72333.253500000021</v>
      </c>
      <c r="C18" s="21">
        <f>C5+C16</f>
        <v>0</v>
      </c>
      <c r="D18" s="21">
        <f>MAX((D5+D16),0)</f>
        <v>40790.851159345388</v>
      </c>
      <c r="E18" s="21">
        <f>MAX((E5+E16),0)</f>
        <v>4966.7679277744892</v>
      </c>
      <c r="F18" s="21">
        <f>MAX((F5+F16),0)</f>
        <v>82595.997330949234</v>
      </c>
      <c r="G18" s="21"/>
      <c r="H18" s="21"/>
      <c r="I18" s="21"/>
      <c r="J18" s="21">
        <f>MAX((J5+J16),0)</f>
        <v>831.52501124629509</v>
      </c>
      <c r="K18" s="21"/>
      <c r="L18" s="21">
        <f>MAX((L5+L16),0)</f>
        <v>0</v>
      </c>
      <c r="M18" s="21"/>
      <c r="N18" s="21">
        <f>MAX((N5+N16),0)</f>
        <v>24141.394680997641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0.17964504192775224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12994.310357778235</v>
      </c>
      <c r="C22" s="23">
        <f ca="1">C18*C20</f>
        <v>0</v>
      </c>
      <c r="D22" s="23">
        <f>D18*D20</f>
        <v>8239.7519341877687</v>
      </c>
      <c r="E22" s="23">
        <f>E18*E20</f>
        <v>1127.4563196048091</v>
      </c>
      <c r="F22" s="23">
        <f>F18*F20</f>
        <v>22053.131287363445</v>
      </c>
      <c r="G22" s="23"/>
      <c r="H22" s="23"/>
      <c r="I22" s="23"/>
      <c r="J22" s="23">
        <f>J18*J20</f>
        <v>294.35985398118845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14777.26</v>
      </c>
      <c r="C30" s="39">
        <f>IF(ISERROR(B30*3.6/1000000/'E Balans VL '!Z18*100),0,B30*3.6/1000000/'E Balans VL '!Z18*100)</f>
        <v>2.0683239423701703</v>
      </c>
      <c r="D30" s="237" t="s">
        <v>692</v>
      </c>
    </row>
    <row r="31" spans="1:18">
      <c r="A31" s="6" t="s">
        <v>33</v>
      </c>
      <c r="B31" s="37">
        <f>IF( ISERROR(IND_ander_ele_kWh/1000),0,IND_ander_ele_kWh/1000)</f>
        <v>15361.447</v>
      </c>
      <c r="C31" s="39">
        <f>IF(ISERROR(B31*3.6/1000000/'E Balans VL '!Z19*100),0,B31*3.6/1000000/'E Balans VL '!Z19*100)</f>
        <v>0.67236804320925014</v>
      </c>
      <c r="D31" s="237" t="s">
        <v>692</v>
      </c>
    </row>
    <row r="32" spans="1:18">
      <c r="A32" s="171" t="s">
        <v>41</v>
      </c>
      <c r="B32" s="37">
        <f>IF( ISERROR(IND_voed_ele_kWh/1000),0,IND_voed_ele_kWh/1000)</f>
        <v>34716.968500000003</v>
      </c>
      <c r="C32" s="39">
        <f>IF(ISERROR(B32*3.6/1000000/'E Balans VL '!Z20*100),0,B32*3.6/1000000/'E Balans VL '!Z20*100)</f>
        <v>8.594768506943149</v>
      </c>
      <c r="D32" s="237" t="s">
        <v>692</v>
      </c>
    </row>
    <row r="33" spans="1:5">
      <c r="A33" s="171" t="s">
        <v>40</v>
      </c>
      <c r="B33" s="37">
        <f>IF( ISERROR(IND_textiel_ele_kWh/1000),0,IND_textiel_ele_kWh/1000)</f>
        <v>5325.5429999999997</v>
      </c>
      <c r="C33" s="39">
        <f>IF(ISERROR(B33*3.6/1000000/'E Balans VL '!Z21*100),0,B33*3.6/1000000/'E Balans VL '!Z21*100)</f>
        <v>0.60009488579577852</v>
      </c>
      <c r="D33" s="237" t="s">
        <v>692</v>
      </c>
    </row>
    <row r="34" spans="1:5">
      <c r="A34" s="171" t="s">
        <v>37</v>
      </c>
      <c r="B34" s="37">
        <f>IF( ISERROR(IND_min_ele_kWh/1000),0,IND_min_ele_kWh/1000)</f>
        <v>427.81900000000002</v>
      </c>
      <c r="C34" s="39">
        <f>IF(ISERROR(B34*3.6/1000000/'E Balans VL '!Z22*100),0,B34*3.6/1000000/'E Balans VL '!Z22*100)</f>
        <v>1.2139757812285986E-2</v>
      </c>
      <c r="D34" s="237" t="s">
        <v>692</v>
      </c>
    </row>
    <row r="35" spans="1:5">
      <c r="A35" s="171" t="s">
        <v>39</v>
      </c>
      <c r="B35" s="37">
        <f>IF( ISERROR(IND_papier_ele_kWh/1000),0,IND_papier_ele_kWh/1000)</f>
        <v>1040.8920000000001</v>
      </c>
      <c r="C35" s="39">
        <f>IF(ISERROR(B35*3.6/1000000/'E Balans VL '!Z22*100),0,B35*3.6/1000000/'E Balans VL '!Z22*100)</f>
        <v>2.9536268348871807E-2</v>
      </c>
      <c r="D35" s="237" t="s">
        <v>692</v>
      </c>
    </row>
    <row r="36" spans="1:5">
      <c r="A36" s="171" t="s">
        <v>34</v>
      </c>
      <c r="B36" s="37">
        <f>IF( ISERROR(IND_chemie_ele_kWh/1000),0,IND_chemie_ele_kWh/1000)</f>
        <v>450.73099999999999</v>
      </c>
      <c r="C36" s="39">
        <f>IF(ISERROR(B36*3.6/1000000/'E Balans VL '!Z24*100),0,B36*3.6/1000000/'E Balans VL '!Z24*100)</f>
        <v>1.1492952532634184E-2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2073.422</v>
      </c>
      <c r="C5" s="17">
        <f>'Eigen informatie GS &amp; warmtenet'!B60</f>
        <v>0</v>
      </c>
      <c r="D5" s="30">
        <f>IF(ISERROR(SUM(LB_lb_gas_kWh,LB_rest_gas_kWh,onbekend_gas_kWh)/1000),0,SUM(LB_lb_gas_kWh,LB_rest_gas_kWh,onbekend_gas_kWh)/1000)*0.902</f>
        <v>14262.813169991066</v>
      </c>
      <c r="E5" s="17">
        <f>B17*'E Balans VL '!I25/3.6*1000000/100</f>
        <v>19.204902992961262</v>
      </c>
      <c r="F5" s="17">
        <f>B17*('E Balans VL '!L25/3.6*1000000+'E Balans VL '!N25/3.6*1000000)/100</f>
        <v>5260.666600485657</v>
      </c>
      <c r="G5" s="18"/>
      <c r="H5" s="17"/>
      <c r="I5" s="17"/>
      <c r="J5" s="17">
        <f>('E Balans VL '!D25+'E Balans VL '!E25)/3.6*1000000*landbouw!B17/100</f>
        <v>317.87873205705472</v>
      </c>
      <c r="K5" s="17"/>
      <c r="L5" s="17">
        <f>L6*(-1)</f>
        <v>0</v>
      </c>
      <c r="M5" s="17"/>
      <c r="N5" s="17">
        <f>N6*(-1)</f>
        <v>0</v>
      </c>
      <c r="O5" s="17"/>
      <c r="P5" s="17"/>
      <c r="R5" s="32"/>
    </row>
    <row r="6" spans="1:18">
      <c r="A6" s="16" t="s">
        <v>494</v>
      </c>
      <c r="B6" s="17" t="s">
        <v>211</v>
      </c>
      <c r="C6" s="17">
        <f>'lokale energieproductie'!O91+'lokale energieproductie'!O60</f>
        <v>4467.8571428571431</v>
      </c>
      <c r="D6" s="310">
        <f>('lokale energieproductie'!P60+'lokale energieproductie'!P91)*(-1)</f>
        <v>-8935.7142857142862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2073.422</v>
      </c>
      <c r="C8" s="21">
        <f>C5+C6</f>
        <v>4467.8571428571431</v>
      </c>
      <c r="D8" s="21">
        <f>MAX((D5+D6),0)</f>
        <v>5327.0988842767802</v>
      </c>
      <c r="E8" s="21">
        <f>MAX((E5+E6),0)</f>
        <v>19.204902992961262</v>
      </c>
      <c r="F8" s="21">
        <f>MAX((F5+F6),0)</f>
        <v>5260.666600485657</v>
      </c>
      <c r="G8" s="21"/>
      <c r="H8" s="21"/>
      <c r="I8" s="21"/>
      <c r="J8" s="21">
        <f>MAX((J5+J6),0)</f>
        <v>317.87873205705472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0.17964504192775224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372.47998212392389</v>
      </c>
      <c r="C12" s="23">
        <f ca="1">C8*C10</f>
        <v>1061.7731092436977</v>
      </c>
      <c r="D12" s="23">
        <f>D8*D10</f>
        <v>1076.0739746239096</v>
      </c>
      <c r="E12" s="23">
        <f>E8*E10</f>
        <v>4.3595129794022069</v>
      </c>
      <c r="F12" s="23">
        <f>F8*F10</f>
        <v>1404.5979823296705</v>
      </c>
      <c r="G12" s="23"/>
      <c r="H12" s="23"/>
      <c r="I12" s="23"/>
      <c r="J12" s="23">
        <f>J8*J10</f>
        <v>112.52907114819736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0.29479664425443836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79.14443384895192</v>
      </c>
      <c r="C26" s="247">
        <f>B26*'GWP N2O_CH4'!B5</f>
        <v>1662.0331108279904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101.43360247997038</v>
      </c>
      <c r="C27" s="247">
        <f>B27*'GWP N2O_CH4'!B5</f>
        <v>2130.1056520793777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1.3763079482412142</v>
      </c>
      <c r="C28" s="247">
        <f>B28*'GWP N2O_CH4'!B4</f>
        <v>426.65546395477639</v>
      </c>
      <c r="D28" s="50"/>
    </row>
    <row r="29" spans="1:4">
      <c r="A29" s="41" t="s">
        <v>277</v>
      </c>
      <c r="B29" s="247">
        <f>B34*'ha_N2O bodem landbouw'!B4</f>
        <v>5.9114699227973144</v>
      </c>
      <c r="C29" s="247">
        <f>B29*'GWP N2O_CH4'!B4</f>
        <v>1832.5556760671675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1.3258385594830864E-3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6.7124185348333093E-5</v>
      </c>
      <c r="C5" s="464" t="s">
        <v>211</v>
      </c>
      <c r="D5" s="449">
        <f>SUM(D6:D11)</f>
        <v>1.9695824022775637E-4</v>
      </c>
      <c r="E5" s="449">
        <f>SUM(E6:E11)</f>
        <v>1.3171866919583521E-3</v>
      </c>
      <c r="F5" s="462" t="s">
        <v>211</v>
      </c>
      <c r="G5" s="449">
        <f>SUM(G6:G11)</f>
        <v>0.43501489609027993</v>
      </c>
      <c r="H5" s="449">
        <f>SUM(H6:H11)</f>
        <v>7.4815593938702157E-2</v>
      </c>
      <c r="I5" s="464" t="s">
        <v>211</v>
      </c>
      <c r="J5" s="464" t="s">
        <v>211</v>
      </c>
      <c r="K5" s="464" t="s">
        <v>211</v>
      </c>
      <c r="L5" s="464" t="s">
        <v>211</v>
      </c>
      <c r="M5" s="449">
        <f>SUM(M6:M11)</f>
        <v>2.7466721402271362E-2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2.4391246354231361E-5</v>
      </c>
      <c r="C6" s="450"/>
      <c r="D6" s="963">
        <f>vkm_2011_GW_PW*SUMIFS(TableVerdeelsleutelVkm[CNG],TableVerdeelsleutelVkm[Voertuigtype],"Lichte voertuigen")*SUMIFS(TableECFTransport[EnergieConsumptieFactor (PJ per km)],TableECFTransport[Index],CONCATENATE($A6,"_CNG_CNG"))</f>
        <v>5.6419638182320327E-5</v>
      </c>
      <c r="E6" s="963">
        <f>vkm_2011_GW_PW*SUMIFS(TableVerdeelsleutelVkm[LPG],TableVerdeelsleutelVkm[Voertuigtype],"Lichte voertuigen")*SUMIFS(TableECFTransport[EnergieConsumptieFactor (PJ per km)],TableECFTransport[Index],CONCATENATE($A6,"_LPG_LPG"))</f>
        <v>3.6737061297812009E-4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7.6318526939251993E-2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2.1512615574694364E-2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5.0769291465027769E-3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6.327993627447992E-2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2.1640588988696224E-5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3.6611030004351616E-3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2.2148973505746165E-5</v>
      </c>
      <c r="C8" s="450"/>
      <c r="D8" s="452">
        <f>vkm_2011_NGW_PW*SUMIFS(TableVerdeelsleutelVkm[CNG],TableVerdeelsleutelVkm[Voertuigtype],"Lichte voertuigen")*SUMIFS(TableECFTransport[EnergieConsumptieFactor (PJ per km)],TableECFTransport[Index],CONCATENATE($A8,"_CNG_CNG"))</f>
        <v>9.0616229616545166E-5</v>
      </c>
      <c r="E8" s="452">
        <f>vkm_2011_NGW_PW*SUMIFS(TableVerdeelsleutelVkm[LPG],TableVerdeelsleutelVkm[Voertuigtype],"Lichte voertuigen")*SUMIFS(TableECFTransport[EnergieConsumptieFactor (PJ per km)],TableECFTransport[Index],CONCATENATE($A8,"_LPG_LPG"))</f>
        <v>5.4454384054540539E-4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0.10574961386387979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3.3409016018735888E-2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7.1456092672839248E-3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4.6665130345741296E-2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1.5100292592490858E-5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2.6998158763413545E-3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2.0583965488355564E-5</v>
      </c>
      <c r="C10" s="450"/>
      <c r="D10" s="452">
        <f>vkm_2011_SW_PW*SUMIFS(TableVerdeelsleutelVkm[CNG],TableVerdeelsleutelVkm[Voertuigtype],"Lichte voertuigen")*SUMIFS(TableECFTransport[EnergieConsumptieFactor (PJ per km)],TableECFTransport[Index],CONCATENATE($A10,"_CNG_CNG"))</f>
        <v>4.9922372428890882E-5</v>
      </c>
      <c r="E10" s="452">
        <f>vkm_2011_SW_PW*SUMIFS(TableVerdeelsleutelVkm[LPG],TableVerdeelsleutelVkm[Voertuigtype],"Lichte voertuigen")*SUMIFS(TableECFTransport[EnergieConsumptieFactor (PJ per km)],TableECFTransport[Index],CONCATENATE($A10,"_LPG_LPG"))</f>
        <v>4.0527223843482655E-4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7.5797544960342383E-2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1.9832452552425328E-2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4.995068475600487E-3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6.7204143706584493E-2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2.4768911265389543E-5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3.8881956361076562E-3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18.645607041203636</v>
      </c>
      <c r="C14" s="21"/>
      <c r="D14" s="21">
        <f t="shared" ref="D14:M14" si="0">((D5)*10^9/3600)+D12</f>
        <v>54.710622285487887</v>
      </c>
      <c r="E14" s="21">
        <f t="shared" si="0"/>
        <v>365.88519221065332</v>
      </c>
      <c r="F14" s="21"/>
      <c r="G14" s="21">
        <f t="shared" si="0"/>
        <v>120837.47113618888</v>
      </c>
      <c r="H14" s="21">
        <f t="shared" si="0"/>
        <v>20782.109427417265</v>
      </c>
      <c r="I14" s="21"/>
      <c r="J14" s="21"/>
      <c r="K14" s="21"/>
      <c r="L14" s="21"/>
      <c r="M14" s="21">
        <f t="shared" si="0"/>
        <v>7629.6448339642666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0.17964504192775224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3.3495908586854197</v>
      </c>
      <c r="C18" s="23"/>
      <c r="D18" s="23">
        <f t="shared" ref="D18:M18" si="1">D14*D16</f>
        <v>11.051545701668553</v>
      </c>
      <c r="E18" s="23">
        <f t="shared" si="1"/>
        <v>83.055938631818307</v>
      </c>
      <c r="F18" s="23"/>
      <c r="G18" s="23">
        <f t="shared" si="1"/>
        <v>32263.604793362432</v>
      </c>
      <c r="H18" s="23">
        <f t="shared" si="1"/>
        <v>5174.7452474268985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2.2977371860776895E-3</v>
      </c>
      <c r="H50" s="321">
        <f t="shared" si="2"/>
        <v>0</v>
      </c>
      <c r="I50" s="321">
        <f t="shared" si="2"/>
        <v>0</v>
      </c>
      <c r="J50" s="321">
        <f t="shared" si="2"/>
        <v>0</v>
      </c>
      <c r="K50" s="321">
        <f t="shared" si="2"/>
        <v>0</v>
      </c>
      <c r="L50" s="321">
        <f t="shared" si="2"/>
        <v>0</v>
      </c>
      <c r="M50" s="321">
        <f t="shared" si="2"/>
        <v>1.3103325345627462E-4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2.2977371860776895E-3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1.3103325345627462E-4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638.26032946602481</v>
      </c>
      <c r="H54" s="21">
        <f t="shared" si="3"/>
        <v>0</v>
      </c>
      <c r="I54" s="21">
        <f t="shared" si="3"/>
        <v>0</v>
      </c>
      <c r="J54" s="21">
        <f t="shared" si="3"/>
        <v>0</v>
      </c>
      <c r="K54" s="21">
        <f t="shared" si="3"/>
        <v>0</v>
      </c>
      <c r="L54" s="21">
        <f t="shared" si="3"/>
        <v>0</v>
      </c>
      <c r="M54" s="21">
        <f t="shared" si="3"/>
        <v>36.398125960076285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0.17964504192775224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170.41550796742862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22074.451912400051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7136.3169590723201</v>
      </c>
      <c r="C6" s="1223"/>
      <c r="D6" s="1226"/>
      <c r="E6" s="1226"/>
      <c r="F6" s="1229"/>
      <c r="G6" s="1232"/>
      <c r="H6" s="1220"/>
      <c r="I6" s="1226"/>
      <c r="J6" s="1226"/>
      <c r="K6" s="1226"/>
      <c r="L6" s="1256"/>
      <c r="M6" s="576"/>
      <c r="N6" s="1268"/>
      <c r="O6" s="1269"/>
      <c r="Q6" s="574"/>
      <c r="R6" s="1253"/>
      <c r="S6" s="1253"/>
    </row>
    <row r="7" spans="1:19" s="564" customFormat="1">
      <c r="A7" s="577" t="s">
        <v>252</v>
      </c>
      <c r="B7" s="578">
        <f>N57</f>
        <v>3127.5</v>
      </c>
      <c r="C7" s="579">
        <f>B100</f>
        <v>3679.4117647058824</v>
      </c>
      <c r="D7" s="580"/>
      <c r="E7" s="580">
        <f>E100</f>
        <v>0</v>
      </c>
      <c r="F7" s="581"/>
      <c r="G7" s="582"/>
      <c r="H7" s="580">
        <f>I100</f>
        <v>0</v>
      </c>
      <c r="I7" s="580">
        <f>G100+F100</f>
        <v>0</v>
      </c>
      <c r="J7" s="580">
        <f>H100+D100+C100</f>
        <v>0</v>
      </c>
      <c r="K7" s="580"/>
      <c r="L7" s="583"/>
      <c r="M7" s="584">
        <f>C7*$C$11+D7*$D$11+E7*$E$11+F7*$F$11+G7*$G$11+H7*$H$11+I7*$I$11+J7*$J$11</f>
        <v>743.24117647058824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32338.26887147237</v>
      </c>
      <c r="C9" s="595">
        <f t="shared" ref="C9:L9" si="0">SUM(C7:C8)</f>
        <v>3679.4117647058824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743.24117647058824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4467.8571428571431</v>
      </c>
      <c r="C16" s="611">
        <f>B101</f>
        <v>5256.3025210084043</v>
      </c>
      <c r="D16" s="612"/>
      <c r="E16" s="612">
        <f>E101</f>
        <v>0</v>
      </c>
      <c r="F16" s="613"/>
      <c r="G16" s="614"/>
      <c r="H16" s="611">
        <f>I101</f>
        <v>0</v>
      </c>
      <c r="I16" s="612">
        <f>G101+F101</f>
        <v>0</v>
      </c>
      <c r="J16" s="612">
        <f>H101+D101+C101</f>
        <v>0</v>
      </c>
      <c r="K16" s="612"/>
      <c r="L16" s="615"/>
      <c r="M16" s="616">
        <f>C16*$C$21+E16*$E$21+H16*$H$21+I16*$I$21+J16*$J$21+D16*$D$21+F16*$F$21+G16*$G$21+K16*$K$21+L16*$L$21</f>
        <v>1061.7731092436977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4467.8571428571431</v>
      </c>
      <c r="C19" s="594">
        <f>SUM(C16:C18)</f>
        <v>5256.3025210084043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1061.7731092436977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36008</v>
      </c>
      <c r="C27" s="852">
        <v>8870</v>
      </c>
      <c r="D27" s="673" t="s">
        <v>871</v>
      </c>
      <c r="E27" s="672" t="s">
        <v>872</v>
      </c>
      <c r="F27" s="672" t="s">
        <v>873</v>
      </c>
      <c r="G27" s="672" t="s">
        <v>874</v>
      </c>
      <c r="H27" s="672" t="s">
        <v>875</v>
      </c>
      <c r="I27" s="672" t="s">
        <v>876</v>
      </c>
      <c r="J27" s="851">
        <v>41264</v>
      </c>
      <c r="K27" s="851">
        <v>41689</v>
      </c>
      <c r="L27" s="672" t="s">
        <v>877</v>
      </c>
      <c r="M27" s="672">
        <v>834</v>
      </c>
      <c r="N27" s="672">
        <v>3127.5</v>
      </c>
      <c r="O27" s="672">
        <v>4467.8571428571431</v>
      </c>
      <c r="P27" s="672">
        <v>8935.7142857142862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834</v>
      </c>
      <c r="N57" s="630">
        <f>SUM(N27:N56)</f>
        <v>3127.5</v>
      </c>
      <c r="O57" s="630">
        <f t="shared" ref="O57:W57" si="2">SUM(O27:O56)</f>
        <v>4467.8571428571431</v>
      </c>
      <c r="P57" s="630">
        <f t="shared" si="2"/>
        <v>8935.7142857142862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834</v>
      </c>
      <c r="N60" s="635">
        <f t="shared" ref="N60:W60" si="4">SUMIF($Z$27:$Z$56,"landbouw",N27:N56)</f>
        <v>3127.5</v>
      </c>
      <c r="O60" s="635">
        <f t="shared" si="4"/>
        <v>4467.8571428571431</v>
      </c>
      <c r="P60" s="635">
        <f t="shared" si="4"/>
        <v>8935.7142857142862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3679.4117647058824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5256.3025210084043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37274.671745098036</v>
      </c>
      <c r="D10" s="719">
        <f ca="1">tertiair!C16</f>
        <v>0</v>
      </c>
      <c r="E10" s="719">
        <f ca="1">tertiair!D16</f>
        <v>29766.307156924708</v>
      </c>
      <c r="F10" s="719">
        <f>tertiair!E16</f>
        <v>317.83881958360791</v>
      </c>
      <c r="G10" s="719">
        <f ca="1">tertiair!F16</f>
        <v>4948.80573359142</v>
      </c>
      <c r="H10" s="719">
        <f>tertiair!G16</f>
        <v>0</v>
      </c>
      <c r="I10" s="719">
        <f>tertiair!H16</f>
        <v>0</v>
      </c>
      <c r="J10" s="719">
        <f>tertiair!I16</f>
        <v>0</v>
      </c>
      <c r="K10" s="719">
        <f>tertiair!J16</f>
        <v>0</v>
      </c>
      <c r="L10" s="719">
        <f>tertiair!K16</f>
        <v>0</v>
      </c>
      <c r="M10" s="719">
        <f ca="1">tertiair!L16</f>
        <v>0</v>
      </c>
      <c r="N10" s="719">
        <f>tertiair!M16</f>
        <v>0</v>
      </c>
      <c r="O10" s="719">
        <f ca="1">tertiair!N16</f>
        <v>1989.7886953486893</v>
      </c>
      <c r="P10" s="719">
        <f>tertiair!O16</f>
        <v>4.6900000000000004</v>
      </c>
      <c r="Q10" s="720">
        <f>tertiair!P16</f>
        <v>57.2</v>
      </c>
      <c r="R10" s="722">
        <f ca="1">SUM(C10:Q10)</f>
        <v>74359.302150546457</v>
      </c>
      <c r="S10" s="67"/>
    </row>
    <row r="11" spans="1:19" s="475" customFormat="1">
      <c r="A11" s="871" t="s">
        <v>225</v>
      </c>
      <c r="B11" s="876"/>
      <c r="C11" s="719">
        <f>huishoudens!B8</f>
        <v>43142.776736401087</v>
      </c>
      <c r="D11" s="719">
        <f>huishoudens!C8</f>
        <v>0</v>
      </c>
      <c r="E11" s="719">
        <f>huishoudens!D8</f>
        <v>116994.67336193523</v>
      </c>
      <c r="F11" s="719">
        <f>huishoudens!E8</f>
        <v>4783.2948891690794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25983.609933394637</v>
      </c>
      <c r="P11" s="719">
        <f>huishoudens!O8</f>
        <v>462.74666666666667</v>
      </c>
      <c r="Q11" s="720">
        <f>huishoudens!P8</f>
        <v>266.93333333333334</v>
      </c>
      <c r="R11" s="722">
        <f>SUM(C11:Q11)</f>
        <v>191634.03492090004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72333.253500000021</v>
      </c>
      <c r="D13" s="719">
        <f>industrie!C18</f>
        <v>0</v>
      </c>
      <c r="E13" s="719">
        <f>industrie!D18</f>
        <v>40790.851159345388</v>
      </c>
      <c r="F13" s="719">
        <f>industrie!E18</f>
        <v>4966.7679277744892</v>
      </c>
      <c r="G13" s="719">
        <f>industrie!F18</f>
        <v>82595.997330949234</v>
      </c>
      <c r="H13" s="719">
        <f>industrie!G18</f>
        <v>0</v>
      </c>
      <c r="I13" s="719">
        <f>industrie!H18</f>
        <v>0</v>
      </c>
      <c r="J13" s="719">
        <f>industrie!I18</f>
        <v>0</v>
      </c>
      <c r="K13" s="719">
        <f>industrie!J18</f>
        <v>831.52501124629509</v>
      </c>
      <c r="L13" s="719">
        <f>industrie!K18</f>
        <v>0</v>
      </c>
      <c r="M13" s="719">
        <f>industrie!L18</f>
        <v>0</v>
      </c>
      <c r="N13" s="719">
        <f>industrie!M18</f>
        <v>0</v>
      </c>
      <c r="O13" s="719">
        <f>industrie!N18</f>
        <v>24141.394680997641</v>
      </c>
      <c r="P13" s="719">
        <f>industrie!O18</f>
        <v>0</v>
      </c>
      <c r="Q13" s="720">
        <f>industrie!P18</f>
        <v>0</v>
      </c>
      <c r="R13" s="722">
        <f>SUM(C13:Q13)</f>
        <v>225659.78961031308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152750.70198149915</v>
      </c>
      <c r="D15" s="724">
        <f t="shared" ref="D15:Q15" ca="1" si="0">SUM(D9:D14)</f>
        <v>0</v>
      </c>
      <c r="E15" s="724">
        <f t="shared" ca="1" si="0"/>
        <v>187551.83167820532</v>
      </c>
      <c r="F15" s="724">
        <f t="shared" si="0"/>
        <v>10067.901636527176</v>
      </c>
      <c r="G15" s="724">
        <f t="shared" ca="1" si="0"/>
        <v>87544.803064540654</v>
      </c>
      <c r="H15" s="724">
        <f t="shared" si="0"/>
        <v>0</v>
      </c>
      <c r="I15" s="724">
        <f t="shared" si="0"/>
        <v>0</v>
      </c>
      <c r="J15" s="724">
        <f t="shared" si="0"/>
        <v>0</v>
      </c>
      <c r="K15" s="724">
        <f t="shared" si="0"/>
        <v>831.52501124629509</v>
      </c>
      <c r="L15" s="724">
        <f t="shared" si="0"/>
        <v>0</v>
      </c>
      <c r="M15" s="724">
        <f t="shared" ca="1" si="0"/>
        <v>0</v>
      </c>
      <c r="N15" s="724">
        <f t="shared" si="0"/>
        <v>0</v>
      </c>
      <c r="O15" s="724">
        <f t="shared" ca="1" si="0"/>
        <v>52114.79330974097</v>
      </c>
      <c r="P15" s="724">
        <f t="shared" si="0"/>
        <v>467.43666666666667</v>
      </c>
      <c r="Q15" s="725">
        <f t="shared" si="0"/>
        <v>324.13333333333333</v>
      </c>
      <c r="R15" s="726">
        <f ca="1">SUM(R9:R14)</f>
        <v>491653.12668175955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638.26032946602481</v>
      </c>
      <c r="I18" s="719">
        <f>transport!H54</f>
        <v>0</v>
      </c>
      <c r="J18" s="719">
        <f>transport!I54</f>
        <v>0</v>
      </c>
      <c r="K18" s="719">
        <f>transport!J54</f>
        <v>0</v>
      </c>
      <c r="L18" s="719">
        <f>transport!K54</f>
        <v>0</v>
      </c>
      <c r="M18" s="719">
        <f>transport!L54</f>
        <v>0</v>
      </c>
      <c r="N18" s="719">
        <f>transport!M54</f>
        <v>36.398125960076285</v>
      </c>
      <c r="O18" s="719">
        <f>transport!N54</f>
        <v>0</v>
      </c>
      <c r="P18" s="719">
        <f>transport!O54</f>
        <v>0</v>
      </c>
      <c r="Q18" s="720">
        <f>transport!P54</f>
        <v>0</v>
      </c>
      <c r="R18" s="722">
        <f>SUM(C18:Q18)</f>
        <v>674.65845542610111</v>
      </c>
      <c r="S18" s="67"/>
    </row>
    <row r="19" spans="1:19" s="475" customFormat="1" ht="15" thickBot="1">
      <c r="A19" s="871" t="s">
        <v>307</v>
      </c>
      <c r="B19" s="876"/>
      <c r="C19" s="728">
        <f>transport!B14</f>
        <v>18.645607041203636</v>
      </c>
      <c r="D19" s="728">
        <f>transport!C14</f>
        <v>0</v>
      </c>
      <c r="E19" s="728">
        <f>transport!D14</f>
        <v>54.710622285487887</v>
      </c>
      <c r="F19" s="728">
        <f>transport!E14</f>
        <v>365.88519221065332</v>
      </c>
      <c r="G19" s="728">
        <f>transport!F14</f>
        <v>0</v>
      </c>
      <c r="H19" s="728">
        <f>transport!G14</f>
        <v>120837.47113618888</v>
      </c>
      <c r="I19" s="728">
        <f>transport!H14</f>
        <v>20782.109427417265</v>
      </c>
      <c r="J19" s="728">
        <f>transport!I14</f>
        <v>0</v>
      </c>
      <c r="K19" s="728">
        <f>transport!J14</f>
        <v>0</v>
      </c>
      <c r="L19" s="728">
        <f>transport!K14</f>
        <v>0</v>
      </c>
      <c r="M19" s="728">
        <f>transport!L14</f>
        <v>0</v>
      </c>
      <c r="N19" s="728">
        <f>transport!M14</f>
        <v>7629.6448339642666</v>
      </c>
      <c r="O19" s="728">
        <f>transport!N14</f>
        <v>0</v>
      </c>
      <c r="P19" s="728">
        <f>transport!O14</f>
        <v>0</v>
      </c>
      <c r="Q19" s="729">
        <f>transport!P14</f>
        <v>0</v>
      </c>
      <c r="R19" s="730">
        <f>SUM(C19:Q19)</f>
        <v>149688.46681910774</v>
      </c>
      <c r="S19" s="67"/>
    </row>
    <row r="20" spans="1:19" s="475" customFormat="1" ht="15.75" thickBot="1">
      <c r="A20" s="731" t="s">
        <v>230</v>
      </c>
      <c r="B20" s="879"/>
      <c r="C20" s="874">
        <f>SUM(C17:C19)</f>
        <v>18.645607041203636</v>
      </c>
      <c r="D20" s="732">
        <f t="shared" ref="D20:R20" si="1">SUM(D17:D19)</f>
        <v>0</v>
      </c>
      <c r="E20" s="732">
        <f t="shared" si="1"/>
        <v>54.710622285487887</v>
      </c>
      <c r="F20" s="732">
        <f t="shared" si="1"/>
        <v>365.88519221065332</v>
      </c>
      <c r="G20" s="732">
        <f t="shared" si="1"/>
        <v>0</v>
      </c>
      <c r="H20" s="732">
        <f t="shared" si="1"/>
        <v>121475.7314656549</v>
      </c>
      <c r="I20" s="732">
        <f t="shared" si="1"/>
        <v>20782.109427417265</v>
      </c>
      <c r="J20" s="732">
        <f t="shared" si="1"/>
        <v>0</v>
      </c>
      <c r="K20" s="732">
        <f t="shared" si="1"/>
        <v>0</v>
      </c>
      <c r="L20" s="732">
        <f t="shared" si="1"/>
        <v>0</v>
      </c>
      <c r="M20" s="732">
        <f t="shared" si="1"/>
        <v>0</v>
      </c>
      <c r="N20" s="732">
        <f t="shared" si="1"/>
        <v>7666.0429599243425</v>
      </c>
      <c r="O20" s="732">
        <f t="shared" si="1"/>
        <v>0</v>
      </c>
      <c r="P20" s="732">
        <f t="shared" si="1"/>
        <v>0</v>
      </c>
      <c r="Q20" s="733">
        <f t="shared" si="1"/>
        <v>0</v>
      </c>
      <c r="R20" s="734">
        <f t="shared" si="1"/>
        <v>150363.12527453384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2073.422</v>
      </c>
      <c r="D22" s="728">
        <f>+landbouw!C8</f>
        <v>4467.8571428571431</v>
      </c>
      <c r="E22" s="728">
        <f>+landbouw!D8</f>
        <v>5327.0988842767802</v>
      </c>
      <c r="F22" s="728">
        <f>+landbouw!E8</f>
        <v>19.204902992961262</v>
      </c>
      <c r="G22" s="728">
        <f>+landbouw!F8</f>
        <v>5260.666600485657</v>
      </c>
      <c r="H22" s="728">
        <f>+landbouw!G8</f>
        <v>0</v>
      </c>
      <c r="I22" s="728">
        <f>+landbouw!H8</f>
        <v>0</v>
      </c>
      <c r="J22" s="728">
        <f>+landbouw!I8</f>
        <v>0</v>
      </c>
      <c r="K22" s="728">
        <f>+landbouw!J8</f>
        <v>317.87873205705472</v>
      </c>
      <c r="L22" s="728">
        <f>+landbouw!K8</f>
        <v>0</v>
      </c>
      <c r="M22" s="728">
        <f>+landbouw!L8</f>
        <v>0</v>
      </c>
      <c r="N22" s="728">
        <f>+landbouw!M8</f>
        <v>0</v>
      </c>
      <c r="O22" s="728">
        <f>+landbouw!N8</f>
        <v>0</v>
      </c>
      <c r="P22" s="728">
        <f>+landbouw!O8</f>
        <v>0</v>
      </c>
      <c r="Q22" s="729">
        <f>+landbouw!P8</f>
        <v>0</v>
      </c>
      <c r="R22" s="730">
        <f>SUM(C22:Q22)</f>
        <v>17466.128262669597</v>
      </c>
      <c r="S22" s="67"/>
    </row>
    <row r="23" spans="1:19" s="475" customFormat="1" ht="17.25" thickTop="1" thickBot="1">
      <c r="A23" s="735" t="s">
        <v>116</v>
      </c>
      <c r="B23" s="865"/>
      <c r="C23" s="736">
        <f ca="1">C20+C15+C22</f>
        <v>154842.76958854034</v>
      </c>
      <c r="D23" s="736">
        <f t="shared" ref="D23:Q23" ca="1" si="2">D20+D15+D22</f>
        <v>4467.8571428571431</v>
      </c>
      <c r="E23" s="736">
        <f t="shared" ca="1" si="2"/>
        <v>192933.64118476759</v>
      </c>
      <c r="F23" s="736">
        <f t="shared" si="2"/>
        <v>10452.991731730792</v>
      </c>
      <c r="G23" s="736">
        <f t="shared" ca="1" si="2"/>
        <v>92805.469665026307</v>
      </c>
      <c r="H23" s="736">
        <f t="shared" si="2"/>
        <v>121475.7314656549</v>
      </c>
      <c r="I23" s="736">
        <f t="shared" si="2"/>
        <v>20782.109427417265</v>
      </c>
      <c r="J23" s="736">
        <f t="shared" si="2"/>
        <v>0</v>
      </c>
      <c r="K23" s="736">
        <f t="shared" si="2"/>
        <v>1149.4037433033498</v>
      </c>
      <c r="L23" s="736">
        <f t="shared" si="2"/>
        <v>0</v>
      </c>
      <c r="M23" s="736">
        <f t="shared" ca="1" si="2"/>
        <v>0</v>
      </c>
      <c r="N23" s="736">
        <f t="shared" si="2"/>
        <v>7666.0429599243425</v>
      </c>
      <c r="O23" s="736">
        <f t="shared" ca="1" si="2"/>
        <v>52114.79330974097</v>
      </c>
      <c r="P23" s="736">
        <f t="shared" si="2"/>
        <v>467.43666666666667</v>
      </c>
      <c r="Q23" s="737">
        <f t="shared" si="2"/>
        <v>324.13333333333333</v>
      </c>
      <c r="R23" s="738">
        <f ca="1">R20+R15+R22</f>
        <v>659482.38021896291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6696.2099684913392</v>
      </c>
      <c r="D36" s="719">
        <f ca="1">tertiair!C20</f>
        <v>0</v>
      </c>
      <c r="E36" s="719">
        <f ca="1">tertiair!D20</f>
        <v>6012.7940456987917</v>
      </c>
      <c r="F36" s="719">
        <f>tertiair!E20</f>
        <v>72.149412045478996</v>
      </c>
      <c r="G36" s="719">
        <f ca="1">tertiair!F20</f>
        <v>1321.3311308689092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14102.484557104519</v>
      </c>
    </row>
    <row r="37" spans="1:18">
      <c r="A37" s="886" t="s">
        <v>225</v>
      </c>
      <c r="B37" s="893"/>
      <c r="C37" s="719">
        <f ca="1">huishoudens!B12</f>
        <v>7750.3859356904277</v>
      </c>
      <c r="D37" s="719">
        <f ca="1">huishoudens!C12</f>
        <v>0</v>
      </c>
      <c r="E37" s="719">
        <f>huishoudens!D12</f>
        <v>23632.924019110917</v>
      </c>
      <c r="F37" s="719">
        <f>huishoudens!E12</f>
        <v>1085.8079398413811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32469.117894642724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12994.310357778235</v>
      </c>
      <c r="D39" s="719">
        <f ca="1">industrie!C22</f>
        <v>0</v>
      </c>
      <c r="E39" s="719">
        <f>industrie!D22</f>
        <v>8239.7519341877687</v>
      </c>
      <c r="F39" s="719">
        <f>industrie!E22</f>
        <v>1127.4563196048091</v>
      </c>
      <c r="G39" s="719">
        <f>industrie!F22</f>
        <v>22053.131287363445</v>
      </c>
      <c r="H39" s="719">
        <f>industrie!G22</f>
        <v>0</v>
      </c>
      <c r="I39" s="719">
        <f>industrie!H22</f>
        <v>0</v>
      </c>
      <c r="J39" s="719">
        <f>industrie!I22</f>
        <v>0</v>
      </c>
      <c r="K39" s="719">
        <f>industrie!J22</f>
        <v>294.35985398118845</v>
      </c>
      <c r="L39" s="719">
        <f>industrie!K22</f>
        <v>0</v>
      </c>
      <c r="M39" s="719">
        <f>industrie!L22</f>
        <v>0</v>
      </c>
      <c r="N39" s="719">
        <f>industrie!M22</f>
        <v>0</v>
      </c>
      <c r="O39" s="719">
        <f>industrie!N22</f>
        <v>0</v>
      </c>
      <c r="P39" s="719">
        <f>industrie!O22</f>
        <v>0</v>
      </c>
      <c r="Q39" s="829">
        <f>industrie!P22</f>
        <v>0</v>
      </c>
      <c r="R39" s="919">
        <f ca="1">SUM(C39:Q39)</f>
        <v>44709.009752915437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27440.906261960001</v>
      </c>
      <c r="D41" s="764">
        <f t="shared" ref="D41:R41" ca="1" si="4">SUM(D35:D40)</f>
        <v>0</v>
      </c>
      <c r="E41" s="764">
        <f t="shared" ca="1" si="4"/>
        <v>37885.469998997476</v>
      </c>
      <c r="F41" s="764">
        <f t="shared" si="4"/>
        <v>2285.4136714916694</v>
      </c>
      <c r="G41" s="764">
        <f t="shared" ca="1" si="4"/>
        <v>23374.462418232353</v>
      </c>
      <c r="H41" s="764">
        <f t="shared" si="4"/>
        <v>0</v>
      </c>
      <c r="I41" s="764">
        <f t="shared" si="4"/>
        <v>0</v>
      </c>
      <c r="J41" s="764">
        <f t="shared" si="4"/>
        <v>0</v>
      </c>
      <c r="K41" s="764">
        <f t="shared" si="4"/>
        <v>294.35985398118845</v>
      </c>
      <c r="L41" s="764">
        <f t="shared" si="4"/>
        <v>0</v>
      </c>
      <c r="M41" s="764">
        <f t="shared" ca="1" si="4"/>
        <v>0</v>
      </c>
      <c r="N41" s="764">
        <f t="shared" si="4"/>
        <v>0</v>
      </c>
      <c r="O41" s="764">
        <f t="shared" ca="1" si="4"/>
        <v>0</v>
      </c>
      <c r="P41" s="764">
        <f t="shared" si="4"/>
        <v>0</v>
      </c>
      <c r="Q41" s="765">
        <f t="shared" si="4"/>
        <v>0</v>
      </c>
      <c r="R41" s="766">
        <f t="shared" ca="1" si="4"/>
        <v>91280.61220466267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170.41550796742862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170.41550796742862</v>
      </c>
    </row>
    <row r="45" spans="1:18" ht="15" thickBot="1">
      <c r="A45" s="889" t="s">
        <v>307</v>
      </c>
      <c r="B45" s="899"/>
      <c r="C45" s="728">
        <f ca="1">transport!B18</f>
        <v>3.3495908586854197</v>
      </c>
      <c r="D45" s="728">
        <f>transport!C18</f>
        <v>0</v>
      </c>
      <c r="E45" s="728">
        <f>transport!D18</f>
        <v>11.051545701668553</v>
      </c>
      <c r="F45" s="728">
        <f>transport!E18</f>
        <v>83.055938631818307</v>
      </c>
      <c r="G45" s="728">
        <f>transport!F18</f>
        <v>0</v>
      </c>
      <c r="H45" s="728">
        <f>transport!G18</f>
        <v>32263.604793362432</v>
      </c>
      <c r="I45" s="728">
        <f>transport!H18</f>
        <v>5174.7452474268985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37535.807115981501</v>
      </c>
    </row>
    <row r="46" spans="1:18" ht="15.75" thickBot="1">
      <c r="A46" s="887" t="s">
        <v>230</v>
      </c>
      <c r="B46" s="900"/>
      <c r="C46" s="764">
        <f t="shared" ref="C46:R46" ca="1" si="5">SUM(C43:C45)</f>
        <v>3.3495908586854197</v>
      </c>
      <c r="D46" s="764">
        <f t="shared" ca="1" si="5"/>
        <v>0</v>
      </c>
      <c r="E46" s="764">
        <f t="shared" si="5"/>
        <v>11.051545701668553</v>
      </c>
      <c r="F46" s="764">
        <f t="shared" si="5"/>
        <v>83.055938631818307</v>
      </c>
      <c r="G46" s="764">
        <f t="shared" si="5"/>
        <v>0</v>
      </c>
      <c r="H46" s="764">
        <f t="shared" si="5"/>
        <v>32434.02030132986</v>
      </c>
      <c r="I46" s="764">
        <f t="shared" si="5"/>
        <v>5174.7452474268985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37706.222623948932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372.47998212392389</v>
      </c>
      <c r="D48" s="719">
        <f ca="1">+landbouw!C12</f>
        <v>1061.7731092436977</v>
      </c>
      <c r="E48" s="719">
        <f>+landbouw!D12</f>
        <v>1076.0739746239096</v>
      </c>
      <c r="F48" s="719">
        <f>+landbouw!E12</f>
        <v>4.3595129794022069</v>
      </c>
      <c r="G48" s="719">
        <f>+landbouw!F12</f>
        <v>1404.5979823296705</v>
      </c>
      <c r="H48" s="719">
        <f>+landbouw!G12</f>
        <v>0</v>
      </c>
      <c r="I48" s="719">
        <f>+landbouw!H12</f>
        <v>0</v>
      </c>
      <c r="J48" s="719">
        <f>+landbouw!I12</f>
        <v>0</v>
      </c>
      <c r="K48" s="719">
        <f>+landbouw!J12</f>
        <v>112.52907114819736</v>
      </c>
      <c r="L48" s="719">
        <f>+landbouw!K12</f>
        <v>0</v>
      </c>
      <c r="M48" s="719">
        <f>+landbouw!L12</f>
        <v>0</v>
      </c>
      <c r="N48" s="719">
        <f>+landbouw!M12</f>
        <v>0</v>
      </c>
      <c r="O48" s="719">
        <f>+landbouw!N12</f>
        <v>0</v>
      </c>
      <c r="P48" s="719">
        <f>+landbouw!O12</f>
        <v>0</v>
      </c>
      <c r="Q48" s="720">
        <f>+landbouw!P12</f>
        <v>0</v>
      </c>
      <c r="R48" s="762">
        <f ca="1">SUM(C48:Q48)</f>
        <v>4031.8136324488014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27816.73583494261</v>
      </c>
      <c r="D53" s="774">
        <f t="shared" ref="D53:Q53" ca="1" si="6">D41+D46+D48</f>
        <v>1061.7731092436977</v>
      </c>
      <c r="E53" s="774">
        <f t="shared" ca="1" si="6"/>
        <v>38972.595519323055</v>
      </c>
      <c r="F53" s="774">
        <f t="shared" si="6"/>
        <v>2372.8291231028898</v>
      </c>
      <c r="G53" s="774">
        <f t="shared" ca="1" si="6"/>
        <v>24779.060400562023</v>
      </c>
      <c r="H53" s="774">
        <f t="shared" si="6"/>
        <v>32434.02030132986</v>
      </c>
      <c r="I53" s="774">
        <f t="shared" si="6"/>
        <v>5174.7452474268985</v>
      </c>
      <c r="J53" s="774">
        <f t="shared" si="6"/>
        <v>0</v>
      </c>
      <c r="K53" s="774">
        <f t="shared" si="6"/>
        <v>406.88892512938583</v>
      </c>
      <c r="L53" s="774">
        <f t="shared" si="6"/>
        <v>0</v>
      </c>
      <c r="M53" s="774">
        <f t="shared" ca="1" si="6"/>
        <v>0</v>
      </c>
      <c r="N53" s="774">
        <f t="shared" si="6"/>
        <v>0</v>
      </c>
      <c r="O53" s="774">
        <f t="shared" ca="1" si="6"/>
        <v>0</v>
      </c>
      <c r="P53" s="774">
        <f>P41+P46+P48</f>
        <v>0</v>
      </c>
      <c r="Q53" s="775">
        <f t="shared" si="6"/>
        <v>0</v>
      </c>
      <c r="R53" s="776">
        <f ca="1">R41+R46+R48</f>
        <v>133018.64846106042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0.17964504192775224</v>
      </c>
      <c r="D55" s="837">
        <f t="shared" ca="1" si="7"/>
        <v>0.23764705882352946</v>
      </c>
      <c r="E55" s="837">
        <f t="shared" ca="1" si="7"/>
        <v>0.20200000000000001</v>
      </c>
      <c r="F55" s="837">
        <f t="shared" si="7"/>
        <v>0.22700000000000001</v>
      </c>
      <c r="G55" s="837">
        <f t="shared" ca="1" si="7"/>
        <v>0.26699999999999996</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22074.451912400051</v>
      </c>
      <c r="C64" s="796">
        <f>'lokale energieproductie'!B4</f>
        <v>22074.451912400051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7136.3169590723201</v>
      </c>
      <c r="C66" s="796">
        <f>'lokale energieproductie'!B6</f>
        <v>7136.3169590723201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3127.5</v>
      </c>
      <c r="C67" s="795">
        <f>B67*IFERROR(SUM(J67:L67)/SUM(D67:M67),0)</f>
        <v>0</v>
      </c>
      <c r="D67" s="827">
        <f>'lokale energieproductie'!C7</f>
        <v>3679.4117647058824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743.24117647058824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32338.26887147237</v>
      </c>
      <c r="C69" s="804">
        <f>SUM(C64:C68)</f>
        <v>29210.76887147237</v>
      </c>
      <c r="D69" s="805">
        <f t="shared" ref="D69:M69" si="8">SUM(D67:D68)</f>
        <v>3679.4117647058824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743.24117647058824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4467.8571428571431</v>
      </c>
      <c r="C78" s="818">
        <f>B78*IFERROR(SUM(I78:L78)/SUM(D78:M78),0)</f>
        <v>0</v>
      </c>
      <c r="D78" s="833">
        <f>'lokale energieproductie'!C16</f>
        <v>5256.3025210084043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1061.7731092436977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4467.8571428571431</v>
      </c>
      <c r="C81" s="804">
        <f>SUM(C78:C80)</f>
        <v>0</v>
      </c>
      <c r="D81" s="804">
        <f t="shared" ref="D81:P81" si="9">SUM(D78:D80)</f>
        <v>5256.3025210084043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1061.7731092436977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43142.776736401087</v>
      </c>
      <c r="C4" s="479">
        <f>huishoudens!C8</f>
        <v>0</v>
      </c>
      <c r="D4" s="479">
        <f>huishoudens!D8</f>
        <v>116994.67336193523</v>
      </c>
      <c r="E4" s="479">
        <f>huishoudens!E8</f>
        <v>4783.2948891690794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25983.609933394637</v>
      </c>
      <c r="O4" s="479">
        <f>huishoudens!O8</f>
        <v>462.74666666666667</v>
      </c>
      <c r="P4" s="480">
        <f>huishoudens!P8</f>
        <v>266.93333333333334</v>
      </c>
      <c r="Q4" s="481">
        <f>SUM(B4:P4)</f>
        <v>191634.03492090004</v>
      </c>
    </row>
    <row r="5" spans="1:17">
      <c r="A5" s="478" t="s">
        <v>156</v>
      </c>
      <c r="B5" s="479">
        <f ca="1">tertiair!B16</f>
        <v>34926.02874509804</v>
      </c>
      <c r="C5" s="479">
        <f ca="1">tertiair!C16</f>
        <v>0</v>
      </c>
      <c r="D5" s="479">
        <f ca="1">tertiair!D16</f>
        <v>29766.307156924708</v>
      </c>
      <c r="E5" s="479">
        <f>tertiair!E16</f>
        <v>317.83881958360791</v>
      </c>
      <c r="F5" s="479">
        <f ca="1">tertiair!F16</f>
        <v>4948.80573359142</v>
      </c>
      <c r="G5" s="479">
        <f>tertiair!G16</f>
        <v>0</v>
      </c>
      <c r="H5" s="479">
        <f>tertiair!H16</f>
        <v>0</v>
      </c>
      <c r="I5" s="479">
        <f>tertiair!I16</f>
        <v>0</v>
      </c>
      <c r="J5" s="479">
        <f>tertiair!J16</f>
        <v>0</v>
      </c>
      <c r="K5" s="479">
        <f>tertiair!K16</f>
        <v>0</v>
      </c>
      <c r="L5" s="479">
        <f ca="1">tertiair!L16</f>
        <v>0</v>
      </c>
      <c r="M5" s="479">
        <f>tertiair!M16</f>
        <v>0</v>
      </c>
      <c r="N5" s="479">
        <f ca="1">tertiair!N16</f>
        <v>1989.7886953486893</v>
      </c>
      <c r="O5" s="479">
        <f>tertiair!O16</f>
        <v>4.6900000000000004</v>
      </c>
      <c r="P5" s="480">
        <f>tertiair!P16</f>
        <v>57.2</v>
      </c>
      <c r="Q5" s="478">
        <f t="shared" ref="Q5:Q13" ca="1" si="0">SUM(B5:P5)</f>
        <v>72010.65915054646</v>
      </c>
    </row>
    <row r="6" spans="1:17">
      <c r="A6" s="478" t="s">
        <v>194</v>
      </c>
      <c r="B6" s="479">
        <f>'openbare verlichting'!B8</f>
        <v>2348.643</v>
      </c>
      <c r="C6" s="479"/>
      <c r="D6" s="479"/>
      <c r="E6" s="479"/>
      <c r="F6" s="479"/>
      <c r="G6" s="479"/>
      <c r="H6" s="479"/>
      <c r="I6" s="479"/>
      <c r="J6" s="479"/>
      <c r="K6" s="479"/>
      <c r="L6" s="479"/>
      <c r="M6" s="479"/>
      <c r="N6" s="479"/>
      <c r="O6" s="479"/>
      <c r="P6" s="480"/>
      <c r="Q6" s="478">
        <f t="shared" si="0"/>
        <v>2348.643</v>
      </c>
    </row>
    <row r="7" spans="1:17">
      <c r="A7" s="478" t="s">
        <v>112</v>
      </c>
      <c r="B7" s="479">
        <f>landbouw!B8</f>
        <v>2073.422</v>
      </c>
      <c r="C7" s="479">
        <f>landbouw!C8</f>
        <v>4467.8571428571431</v>
      </c>
      <c r="D7" s="479">
        <f>landbouw!D8</f>
        <v>5327.0988842767802</v>
      </c>
      <c r="E7" s="479">
        <f>landbouw!E8</f>
        <v>19.204902992961262</v>
      </c>
      <c r="F7" s="479">
        <f>landbouw!F8</f>
        <v>5260.666600485657</v>
      </c>
      <c r="G7" s="479">
        <f>landbouw!G8</f>
        <v>0</v>
      </c>
      <c r="H7" s="479">
        <f>landbouw!H8</f>
        <v>0</v>
      </c>
      <c r="I7" s="479">
        <f>landbouw!I8</f>
        <v>0</v>
      </c>
      <c r="J7" s="479">
        <f>landbouw!J8</f>
        <v>317.87873205705472</v>
      </c>
      <c r="K7" s="479">
        <f>landbouw!K8</f>
        <v>0</v>
      </c>
      <c r="L7" s="479">
        <f>landbouw!L8</f>
        <v>0</v>
      </c>
      <c r="M7" s="479">
        <f>landbouw!M8</f>
        <v>0</v>
      </c>
      <c r="N7" s="479">
        <f>landbouw!N8</f>
        <v>0</v>
      </c>
      <c r="O7" s="479">
        <f>landbouw!O8</f>
        <v>0</v>
      </c>
      <c r="P7" s="480">
        <f>landbouw!P8</f>
        <v>0</v>
      </c>
      <c r="Q7" s="478">
        <f t="shared" si="0"/>
        <v>17466.128262669597</v>
      </c>
    </row>
    <row r="8" spans="1:17">
      <c r="A8" s="478" t="s">
        <v>650</v>
      </c>
      <c r="B8" s="479">
        <f>industrie!B18</f>
        <v>72333.253500000021</v>
      </c>
      <c r="C8" s="479">
        <f>industrie!C18</f>
        <v>0</v>
      </c>
      <c r="D8" s="479">
        <f>industrie!D18</f>
        <v>40790.851159345388</v>
      </c>
      <c r="E8" s="479">
        <f>industrie!E18</f>
        <v>4966.7679277744892</v>
      </c>
      <c r="F8" s="479">
        <f>industrie!F18</f>
        <v>82595.997330949234</v>
      </c>
      <c r="G8" s="479">
        <f>industrie!G18</f>
        <v>0</v>
      </c>
      <c r="H8" s="479">
        <f>industrie!H18</f>
        <v>0</v>
      </c>
      <c r="I8" s="479">
        <f>industrie!I18</f>
        <v>0</v>
      </c>
      <c r="J8" s="479">
        <f>industrie!J18</f>
        <v>831.52501124629509</v>
      </c>
      <c r="K8" s="479">
        <f>industrie!K18</f>
        <v>0</v>
      </c>
      <c r="L8" s="479">
        <f>industrie!L18</f>
        <v>0</v>
      </c>
      <c r="M8" s="479">
        <f>industrie!M18</f>
        <v>0</v>
      </c>
      <c r="N8" s="479">
        <f>industrie!N18</f>
        <v>24141.394680997641</v>
      </c>
      <c r="O8" s="479">
        <f>industrie!O18</f>
        <v>0</v>
      </c>
      <c r="P8" s="480">
        <f>industrie!P18</f>
        <v>0</v>
      </c>
      <c r="Q8" s="478">
        <f t="shared" si="0"/>
        <v>225659.78961031308</v>
      </c>
    </row>
    <row r="9" spans="1:17" s="484" customFormat="1">
      <c r="A9" s="482" t="s">
        <v>571</v>
      </c>
      <c r="B9" s="483">
        <f>transport!B14</f>
        <v>18.645607041203636</v>
      </c>
      <c r="C9" s="483"/>
      <c r="D9" s="483">
        <f>transport!D14</f>
        <v>54.710622285487887</v>
      </c>
      <c r="E9" s="483">
        <f>transport!E14</f>
        <v>365.88519221065332</v>
      </c>
      <c r="F9" s="483"/>
      <c r="G9" s="483">
        <f>transport!G14</f>
        <v>120837.47113618888</v>
      </c>
      <c r="H9" s="483">
        <f>transport!H14</f>
        <v>20782.109427417265</v>
      </c>
      <c r="I9" s="483"/>
      <c r="J9" s="483"/>
      <c r="K9" s="483"/>
      <c r="L9" s="483"/>
      <c r="M9" s="483">
        <f>transport!M14</f>
        <v>7629.6448339642666</v>
      </c>
      <c r="N9" s="483"/>
      <c r="O9" s="483"/>
      <c r="P9" s="483"/>
      <c r="Q9" s="482">
        <f>SUM(B9:P9)</f>
        <v>149688.46681910774</v>
      </c>
    </row>
    <row r="10" spans="1:17">
      <c r="A10" s="478" t="s">
        <v>561</v>
      </c>
      <c r="B10" s="479">
        <f>transport!B54</f>
        <v>0</v>
      </c>
      <c r="C10" s="479"/>
      <c r="D10" s="479">
        <f>transport!D54</f>
        <v>0</v>
      </c>
      <c r="E10" s="479"/>
      <c r="F10" s="479"/>
      <c r="G10" s="479">
        <f>transport!G54</f>
        <v>638.26032946602481</v>
      </c>
      <c r="H10" s="479"/>
      <c r="I10" s="479"/>
      <c r="J10" s="479"/>
      <c r="K10" s="479"/>
      <c r="L10" s="479"/>
      <c r="M10" s="479">
        <f>transport!M54</f>
        <v>36.398125960076285</v>
      </c>
      <c r="N10" s="479"/>
      <c r="O10" s="479"/>
      <c r="P10" s="480"/>
      <c r="Q10" s="478">
        <f t="shared" si="0"/>
        <v>674.65845542610111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154842.76958854034</v>
      </c>
      <c r="C14" s="489">
        <f t="shared" ref="C14:Q14" ca="1" si="1">SUM(C4:C13)</f>
        <v>4467.8571428571431</v>
      </c>
      <c r="D14" s="489">
        <f t="shared" ca="1" si="1"/>
        <v>192933.64118476759</v>
      </c>
      <c r="E14" s="489">
        <f t="shared" si="1"/>
        <v>10452.99173173079</v>
      </c>
      <c r="F14" s="489">
        <f t="shared" ca="1" si="1"/>
        <v>92805.469665026307</v>
      </c>
      <c r="G14" s="489">
        <f t="shared" si="1"/>
        <v>121475.7314656549</v>
      </c>
      <c r="H14" s="489">
        <f t="shared" si="1"/>
        <v>20782.109427417265</v>
      </c>
      <c r="I14" s="489">
        <f t="shared" si="1"/>
        <v>0</v>
      </c>
      <c r="J14" s="489">
        <f t="shared" si="1"/>
        <v>1149.4037433033498</v>
      </c>
      <c r="K14" s="489">
        <f t="shared" si="1"/>
        <v>0</v>
      </c>
      <c r="L14" s="489">
        <f t="shared" ca="1" si="1"/>
        <v>0</v>
      </c>
      <c r="M14" s="489">
        <f t="shared" si="1"/>
        <v>7666.0429599243425</v>
      </c>
      <c r="N14" s="489">
        <f t="shared" ca="1" si="1"/>
        <v>52114.79330974097</v>
      </c>
      <c r="O14" s="489">
        <f t="shared" si="1"/>
        <v>467.43666666666667</v>
      </c>
      <c r="P14" s="490">
        <f t="shared" si="1"/>
        <v>324.13333333333333</v>
      </c>
      <c r="Q14" s="490">
        <f t="shared" ca="1" si="1"/>
        <v>659482.38021896302</v>
      </c>
    </row>
    <row r="16" spans="1:17">
      <c r="A16" s="492" t="s">
        <v>566</v>
      </c>
      <c r="B16" s="842">
        <f ca="1">huishoudens!B10</f>
        <v>0.17964504192775224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7750.3859356904277</v>
      </c>
      <c r="C21" s="479">
        <f t="shared" ref="C21:C28" ca="1" si="3">C4*$C$16</f>
        <v>0</v>
      </c>
      <c r="D21" s="479">
        <f t="shared" ref="D21:D30" si="4">D4*$D$16</f>
        <v>23632.924019110917</v>
      </c>
      <c r="E21" s="479">
        <f t="shared" ref="E21:E30" si="5">E4*$E$16</f>
        <v>1085.8079398413811</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32469.117894642724</v>
      </c>
    </row>
    <row r="22" spans="1:17">
      <c r="A22" s="478" t="s">
        <v>156</v>
      </c>
      <c r="B22" s="479">
        <f t="shared" ca="1" si="2"/>
        <v>6274.2878982830171</v>
      </c>
      <c r="C22" s="479">
        <f t="shared" ca="1" si="3"/>
        <v>0</v>
      </c>
      <c r="D22" s="479">
        <f t="shared" ca="1" si="4"/>
        <v>6012.7940456987917</v>
      </c>
      <c r="E22" s="479">
        <f t="shared" si="5"/>
        <v>72.149412045478996</v>
      </c>
      <c r="F22" s="479">
        <f t="shared" ca="1" si="6"/>
        <v>1321.3311308689092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13680.562486896197</v>
      </c>
    </row>
    <row r="23" spans="1:17">
      <c r="A23" s="478" t="s">
        <v>194</v>
      </c>
      <c r="B23" s="479">
        <f t="shared" ca="1" si="2"/>
        <v>421.92207020832183</v>
      </c>
      <c r="C23" s="479"/>
      <c r="D23" s="479"/>
      <c r="E23" s="479"/>
      <c r="F23" s="479"/>
      <c r="G23" s="479"/>
      <c r="H23" s="479"/>
      <c r="I23" s="479"/>
      <c r="J23" s="479"/>
      <c r="K23" s="479"/>
      <c r="L23" s="479"/>
      <c r="M23" s="479"/>
      <c r="N23" s="479"/>
      <c r="O23" s="479"/>
      <c r="P23" s="480"/>
      <c r="Q23" s="478">
        <f t="shared" ca="1" si="17"/>
        <v>421.92207020832183</v>
      </c>
    </row>
    <row r="24" spans="1:17">
      <c r="A24" s="478" t="s">
        <v>112</v>
      </c>
      <c r="B24" s="479">
        <f t="shared" ca="1" si="2"/>
        <v>372.47998212392389</v>
      </c>
      <c r="C24" s="479">
        <f t="shared" ca="1" si="3"/>
        <v>1061.7731092436977</v>
      </c>
      <c r="D24" s="479">
        <f t="shared" si="4"/>
        <v>1076.0739746239096</v>
      </c>
      <c r="E24" s="479">
        <f t="shared" si="5"/>
        <v>4.3595129794022069</v>
      </c>
      <c r="F24" s="479">
        <f t="shared" si="6"/>
        <v>1404.5979823296705</v>
      </c>
      <c r="G24" s="479">
        <f t="shared" si="7"/>
        <v>0</v>
      </c>
      <c r="H24" s="479">
        <f t="shared" si="8"/>
        <v>0</v>
      </c>
      <c r="I24" s="479">
        <f t="shared" si="9"/>
        <v>0</v>
      </c>
      <c r="J24" s="479">
        <f t="shared" si="10"/>
        <v>112.52907114819736</v>
      </c>
      <c r="K24" s="479">
        <f t="shared" si="11"/>
        <v>0</v>
      </c>
      <c r="L24" s="479">
        <f t="shared" si="12"/>
        <v>0</v>
      </c>
      <c r="M24" s="479">
        <f t="shared" si="13"/>
        <v>0</v>
      </c>
      <c r="N24" s="479">
        <f t="shared" si="14"/>
        <v>0</v>
      </c>
      <c r="O24" s="479">
        <f t="shared" si="15"/>
        <v>0</v>
      </c>
      <c r="P24" s="480">
        <f t="shared" si="16"/>
        <v>0</v>
      </c>
      <c r="Q24" s="478">
        <f t="shared" ca="1" si="17"/>
        <v>4031.8136324488014</v>
      </c>
    </row>
    <row r="25" spans="1:17">
      <c r="A25" s="478" t="s">
        <v>650</v>
      </c>
      <c r="B25" s="479">
        <f t="shared" ca="1" si="2"/>
        <v>12994.310357778235</v>
      </c>
      <c r="C25" s="479">
        <f t="shared" ca="1" si="3"/>
        <v>0</v>
      </c>
      <c r="D25" s="479">
        <f t="shared" si="4"/>
        <v>8239.7519341877687</v>
      </c>
      <c r="E25" s="479">
        <f t="shared" si="5"/>
        <v>1127.4563196048091</v>
      </c>
      <c r="F25" s="479">
        <f t="shared" si="6"/>
        <v>22053.131287363445</v>
      </c>
      <c r="G25" s="479">
        <f t="shared" si="7"/>
        <v>0</v>
      </c>
      <c r="H25" s="479">
        <f t="shared" si="8"/>
        <v>0</v>
      </c>
      <c r="I25" s="479">
        <f t="shared" si="9"/>
        <v>0</v>
      </c>
      <c r="J25" s="479">
        <f t="shared" si="10"/>
        <v>294.35985398118845</v>
      </c>
      <c r="K25" s="479">
        <f t="shared" si="11"/>
        <v>0</v>
      </c>
      <c r="L25" s="479">
        <f t="shared" si="12"/>
        <v>0</v>
      </c>
      <c r="M25" s="479">
        <f t="shared" si="13"/>
        <v>0</v>
      </c>
      <c r="N25" s="479">
        <f t="shared" si="14"/>
        <v>0</v>
      </c>
      <c r="O25" s="479">
        <f t="shared" si="15"/>
        <v>0</v>
      </c>
      <c r="P25" s="480">
        <f t="shared" si="16"/>
        <v>0</v>
      </c>
      <c r="Q25" s="478">
        <f t="shared" ca="1" si="17"/>
        <v>44709.009752915437</v>
      </c>
    </row>
    <row r="26" spans="1:17" s="484" customFormat="1">
      <c r="A26" s="482" t="s">
        <v>571</v>
      </c>
      <c r="B26" s="836">
        <f t="shared" ca="1" si="2"/>
        <v>3.3495908586854197</v>
      </c>
      <c r="C26" s="483"/>
      <c r="D26" s="483">
        <f t="shared" si="4"/>
        <v>11.051545701668553</v>
      </c>
      <c r="E26" s="483">
        <f t="shared" si="5"/>
        <v>83.055938631818307</v>
      </c>
      <c r="F26" s="483"/>
      <c r="G26" s="483">
        <f t="shared" si="7"/>
        <v>32263.604793362432</v>
      </c>
      <c r="H26" s="483">
        <f t="shared" si="8"/>
        <v>5174.7452474268985</v>
      </c>
      <c r="I26" s="483"/>
      <c r="J26" s="483"/>
      <c r="K26" s="483"/>
      <c r="L26" s="483"/>
      <c r="M26" s="483">
        <f t="shared" si="13"/>
        <v>0</v>
      </c>
      <c r="N26" s="483"/>
      <c r="O26" s="483"/>
      <c r="P26" s="494"/>
      <c r="Q26" s="482">
        <f t="shared" ca="1" si="17"/>
        <v>37535.807115981501</v>
      </c>
    </row>
    <row r="27" spans="1:17">
      <c r="A27" s="478" t="s">
        <v>561</v>
      </c>
      <c r="B27" s="479">
        <f t="shared" ca="1" si="2"/>
        <v>0</v>
      </c>
      <c r="C27" s="479"/>
      <c r="D27" s="483">
        <f t="shared" si="4"/>
        <v>0</v>
      </c>
      <c r="E27" s="479"/>
      <c r="F27" s="479"/>
      <c r="G27" s="479">
        <f t="shared" si="7"/>
        <v>170.41550796742862</v>
      </c>
      <c r="H27" s="479"/>
      <c r="I27" s="479"/>
      <c r="J27" s="479"/>
      <c r="K27" s="479"/>
      <c r="L27" s="479"/>
      <c r="M27" s="479">
        <f t="shared" si="13"/>
        <v>0</v>
      </c>
      <c r="N27" s="479"/>
      <c r="O27" s="479"/>
      <c r="P27" s="480"/>
      <c r="Q27" s="478">
        <f t="shared" ca="1" si="17"/>
        <v>170.41550796742862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27816.735834942607</v>
      </c>
      <c r="C31" s="489">
        <f t="shared" ca="1" si="18"/>
        <v>1061.7731092436977</v>
      </c>
      <c r="D31" s="489">
        <f t="shared" ca="1" si="18"/>
        <v>38972.595519323055</v>
      </c>
      <c r="E31" s="489">
        <f t="shared" si="18"/>
        <v>2372.8291231028898</v>
      </c>
      <c r="F31" s="489">
        <f t="shared" ca="1" si="18"/>
        <v>24779.060400562026</v>
      </c>
      <c r="G31" s="489">
        <f t="shared" si="18"/>
        <v>32434.02030132986</v>
      </c>
      <c r="H31" s="489">
        <f t="shared" si="18"/>
        <v>5174.7452474268985</v>
      </c>
      <c r="I31" s="489">
        <f t="shared" si="18"/>
        <v>0</v>
      </c>
      <c r="J31" s="489">
        <f t="shared" si="18"/>
        <v>406.88892512938583</v>
      </c>
      <c r="K31" s="489">
        <f t="shared" si="18"/>
        <v>0</v>
      </c>
      <c r="L31" s="489">
        <f t="shared" ca="1" si="18"/>
        <v>0</v>
      </c>
      <c r="M31" s="489">
        <f t="shared" si="18"/>
        <v>0</v>
      </c>
      <c r="N31" s="489">
        <f t="shared" ca="1" si="18"/>
        <v>0</v>
      </c>
      <c r="O31" s="489">
        <f t="shared" si="18"/>
        <v>0</v>
      </c>
      <c r="P31" s="490">
        <f t="shared" si="18"/>
        <v>0</v>
      </c>
      <c r="Q31" s="490">
        <f t="shared" ca="1" si="18"/>
        <v>133018.64846106042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0.17964504192775224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0.17964504192775224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0.17964504192775224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2019-01-01T21:32:43Z</dcterms:modified>
</cp:coreProperties>
</file>