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L6" i="17" s="1"/>
  <c r="L5" s="1"/>
  <c r="S60" i="18"/>
  <c r="F6" i="17" s="1"/>
  <c r="R60" i="18"/>
  <c r="Q60"/>
  <c r="P60"/>
  <c r="D6" i="17" s="1"/>
  <c r="D8" s="1"/>
  <c r="O60" i="18"/>
  <c r="N60"/>
  <c r="M60"/>
  <c r="W59"/>
  <c r="V59"/>
  <c r="U59"/>
  <c r="T59"/>
  <c r="S59"/>
  <c r="R59"/>
  <c r="Q59"/>
  <c r="P59"/>
  <c r="D13" i="15" s="1"/>
  <c r="O59" i="18"/>
  <c r="C13" i="15" s="1"/>
  <c r="N59" i="18"/>
  <c r="B13" i="15" s="1"/>
  <c r="M59" i="18"/>
  <c r="W58"/>
  <c r="V58"/>
  <c r="U58"/>
  <c r="T58"/>
  <c r="L16" i="16" s="1"/>
  <c r="L18" s="1"/>
  <c r="S58" i="1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I5" i="48"/>
  <c r="I22" s="1"/>
  <c r="J15" i="14"/>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J67" i="14" s="1"/>
  <c r="F22"/>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I9" i="18" l="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8" l="1"/>
  <c r="J25" s="1"/>
  <c r="N25"/>
  <c r="N14"/>
  <c r="N31"/>
  <c r="K41" i="14"/>
  <c r="K53" s="1"/>
  <c r="K55" s="1"/>
  <c r="E14" i="48"/>
  <c r="K15" i="14"/>
  <c r="K23" s="1"/>
  <c r="H55"/>
  <c r="E55"/>
  <c r="C78"/>
  <c r="C81" s="1"/>
  <c r="J31" i="48"/>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<sst xmlns="http://schemas.openxmlformats.org/spreadsheetml/2006/main" count="2137" uniqueCount="871">
  <si>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</si>
  <si>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</si>
  <si>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</si>
  <si>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</si>
  <si>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</si>
  <si>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</si>
  <si>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</si>
  <si>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</si>
  <si>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</si>
  <si>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</si>
  <si>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</si>
  <si>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</si>
  <si>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</si>
  <si>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</si>
  <si>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</si>
  <si>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</si>
  <si>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</si>
  <si>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</si>
  <si>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</si>
  <si>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</si>
  <si>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</si>
  <si>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</si>
  <si>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</si>
  <si>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</si>
  <si>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</si>
  <si>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</si>
  <si>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</si>
  <si>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</si>
  <si>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</si>
  <si>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</si>
  <si>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</si>
  <si>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</si>
  <si>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</si>
  <si>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</si>
  <si>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</si>
  <si>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</si>
  <si>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</si>
  <si>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</si>
  <si>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</si>
  <si>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</si>
  <si>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</si>
  <si>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</si>
  <si>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</si>
  <si>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</si>
  <si>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</si>
  <si>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</si>
  <si>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</si>
  <si>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</si>
  <si>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</si>
  <si>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</si>
  <si>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</si>
  <si>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</si>
  <si>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</si>
  <si>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</si>
  <si>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</si>
  <si>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</si>
  <si>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</si>
  <si>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</si>
  <si>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</si>
  <si>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</si>
  <si>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</si>
  <si>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</si>
  <si>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</si>
  <si>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</si>
  <si>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</si>
  <si>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</si>
  <si>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</si>
  <si>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</si>
  <si>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</si>
  <si>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</si>
  <si>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</si>
  <si>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</si>
  <si>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</si>
  <si>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</si>
  <si>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</si>
  <si>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</si>
  <si>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</si>
  <si>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</si>
  <si>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</si>
  <si>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</si>
  <si>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</si>
  <si>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</si>
  <si>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</si>
  <si>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</si>
  <si>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</si>
  <si>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</si>
  <si>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</si>
  <si>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</si>
  <si>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</si>
  <si>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</si>
  <si>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</si>
  <si>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</si>
  <si>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</si>
  <si>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</si>
  <si>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</si>
  <si>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</si>
  <si>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</si>
  <si>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</si>
  <si>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</si>
  <si>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</si>
  <si>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</si>
  <si>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</si>
  <si>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</si>
  <si>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</si>
  <si>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</si>
  <si>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</si>
  <si>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</si>
  <si>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</si>
  <si>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</si>
  <si>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</si>
  <si>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</si>
  <si>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</si>
  <si>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</si>
  <si>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</si>
  <si>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</si>
  <si>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</si>
  <si>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</si>
  <si>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</si>
  <si>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</si>
  <si>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</si>
  <si>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</si>
  <si>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</si>
  <si>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</si>
  <si>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</si>
  <si>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</si>
  <si>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</si>
  <si>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</si>
  <si>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</si>
  <si>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</si>
  <si>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</si>
  <si>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</si>
  <si>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</si>
  <si>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</si>
  <si>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</si>
  <si>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</si>
  <si>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</si>
  <si>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</si>
  <si>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</si>
  <si>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</si>
  <si>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</si>
  <si>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</si>
  <si>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</si>
  <si>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</si>
  <si>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</si>
  <si>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</si>
  <si>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</si>
  <si>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</si>
  <si>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</si>
  <si>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</si>
  <si>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</si>
  <si>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</si>
  <si>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</si>
  <si>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</si>
  <si>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</si>
  <si>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</si>
  <si>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</si>
  <si>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</si>
  <si>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</si>
  <si>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</si>
  <si>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</si>
  <si>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</si>
  <si>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</si>
  <si>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</si>
  <si>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</si>
  <si>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</si>
  <si>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</si>
  <si>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</si>
  <si>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</si>
  <si>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</si>
  <si>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</si>
  <si>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</si>
  <si>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</si>
  <si>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</si>
  <si>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</si>
  <si>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</si>
  <si>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</si>
  <si>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</si>
  <si>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</si>
  <si>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</si>
  <si>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</si>
  <si>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</si>
  <si>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</si>
  <si>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</si>
  <si>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</si>
  <si>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</si>
  <si>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</si>
  <si>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</si>
  <si>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</si>
  <si>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</si>
  <si>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</si>
  <si>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</si>
  <si>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</si>
  <si>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</si>
  <si>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</si>
  <si>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</si>
  <si>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</si>
  <si>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</si>
  <si>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</si>
  <si>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</si>
  <si>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</si>
  <si>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</si>
  <si>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</si>
  <si>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</si>
  <si>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</si>
  <si>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</si>
  <si>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</si>
  <si>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</si>
  <si>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</si>
  <si>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</si>
  <si>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</si>
  <si>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</si>
  <si>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</si>
  <si>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</si>
  <si>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</si>
  <si>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</si>
  <si>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</si>
  <si>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</si>
  <si>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</si>
  <si>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</si>
  <si>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</si>
  <si>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</si>
  <si>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</si>
  <si>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</si>
  <si>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</si>
  <si>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</si>
  <si>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</si>
  <si>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</si>
  <si>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</si>
  <si>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</si>
  <si>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</si>
  <si>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</si>
  <si>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</si>
  <si>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</si>
  <si>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</si>
  <si>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</si>
  <si>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</si>
  <si>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</si>
  <si>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</si>
  <si>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</si>
  <si>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</si>
  <si>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</si>
  <si>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</si>
  <si>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</si>
  <si>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</si>
  <si>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</si>
  <si>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</si>
  <si>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</si>
  <si>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</si>
  <si>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</si>
  <si>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</si>
  <si>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</si>
  <si>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</si>
  <si>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</si>
  <si>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</si>
  <si>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</si>
  <si>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</si>
  <si>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</si>
  <si>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</si>
  <si>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</si>
  <si>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</si>
  <si>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</si>
  <si>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</si>
  <si>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</si>
  <si>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</si>
  <si>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</si>
  <si>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</si>
  <si>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</si>
  <si>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</si>
  <si>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</si>
  <si>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</si>
  <si>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</si>
  <si>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</si>
  <si>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</si>
  <si>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</si>
  <si>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</si>
  <si>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</si>
  <si>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</si>
  <si>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</si>
  <si>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</si>
  <si>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</si>
  <si>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</si>
  <si>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</si>
  <si>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</si>
  <si>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</si>
  <si>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</si>
  <si>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</si>
  <si>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</si>
  <si>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</si>
  <si>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</si>
  <si>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</si>
  <si>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</si>
  <si>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</si>
  <si>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</si>
  <si>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</si>
  <si>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</si>
  <si>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</si>
  <si>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</si>
  <si>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</si>
  <si>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</si>
  <si>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</si>
  <si>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</si>
  <si>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</si>
  <si>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</si>
  <si>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</si>
  <si>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</si>
  <si>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</si>
  <si>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</si>
  <si>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</si>
  <si>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</si>
  <si>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</si>
  <si>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</si>
  <si>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</si>
  <si>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</si>
  <si>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</si>
  <si>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</si>
  <si>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</si>
  <si>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</si>
  <si>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</si>
  <si>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</si>
  <si>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</si>
  <si>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</si>
  <si>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</si>
  <si>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</si>
  <si>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</si>
  <si>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</si>
  <si>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</si>
  <si>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</si>
  <si>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</si>
  <si>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</si>
  <si>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</si>
  <si>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</si>
  <si>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</si>
  <si>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</si>
  <si>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</si>
  <si>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</si>
  <si>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</si>
  <si>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</si>
  <si>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</si>
  <si>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</si>
  <si>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</si>
  <si>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</si>
  <si>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</si>
  <si>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</si>
  <si>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</si>
  <si>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</si>
  <si>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</si>
  <si>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</si>
  <si>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</si>
  <si>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</si>
  <si>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</si>
  <si>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</si>
  <si>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</si>
  <si>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</si>
  <si>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</si>
  <si>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</si>
  <si>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</si>
  <si>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</si>
  <si>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</si>
  <si>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</si>
  <si>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</si>
  <si>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</si>
  <si>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</si>
  <si>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</si>
  <si>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</si>
  <si>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</si>
  <si>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</si>
  <si>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</si>
  <si>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</si>
  <si>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</si>
  <si>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</si>
  <si>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</si>
  <si>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</si>
  <si>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</si>
  <si>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</si>
  <si>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</si>
  <si>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</si>
  <si>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</si>
  <si>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</si>
  <si>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</si>
  <si>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</si>
  <si>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</si>
  <si>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</si>
  <si>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</si>
  <si>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</si>
  <si>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</si>
  <si>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</si>
  <si>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</si>
  <si>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</si>
  <si>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</si>
  <si>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</si>
  <si>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</si>
  <si>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</si>
  <si>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</si>
  <si>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</si>
  <si>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</si>
  <si>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</si>
  <si>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</si>
  <si>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</si>
  <si>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</si>
  <si>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</si>
  <si>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</si>
  <si>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</si>
  <si>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</si>
  <si>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</si>
  <si>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</si>
  <si>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</si>
  <si>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</si>
  <si>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</si>
  <si>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</si>
  <si>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</si>
  <si>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</si>
  <si>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</si>
  <si>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</si>
  <si>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</si>
  <si>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</si>
  <si>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</si>
  <si>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</si>
  <si>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</si>
  <si>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</si>
  <si>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</si>
  <si>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</si>
  <si>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</si>
  <si>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</si>
  <si>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</si>
  <si>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</si>
  <si>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</si>
  <si>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</si>
  <si>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</si>
  <si>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</si>
  <si>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</si>
  <si>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</si>
  <si>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</si>
  <si>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</si>
  <si>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</si>
  <si>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</si>
  <si>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</si>
  <si>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</si>
  <si>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</si>
  <si>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</si>
  <si>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</si>
  <si>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</si>
  <si>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</si>
  <si>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</si>
  <si>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</si>
  <si>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</si>
  <si>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</si>
  <si>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</si>
  <si>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</si>
  <si>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</si>
  <si>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</si>
  <si>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</si>
  <si>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</si>
  <si>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</si>
  <si>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</si>
  <si>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</si>
  <si>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</si>
  <si>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</si>
  <si>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</si>
  <si>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</si>
  <si>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</si>
  <si>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</si>
  <si>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</si>
  <si>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</si>
  <si>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</si>
  <si>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</si>
  <si>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</si>
  <si>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</si>
  <si>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</si>
  <si>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</si>
  <si>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</si>
  <si>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</si>
  <si>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</si>
  <si>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</si>
  <si>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</si>
  <si>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</si>
  <si>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</si>
  <si>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</si>
  <si>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</si>
  <si>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</si>
  <si>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</si>
  <si>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</si>
  <si>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</si>
  <si>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</si>
  <si>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</si>
  <si>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</si>
  <si>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</si>
  <si>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</si>
  <si>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</si>
  <si>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</si>
  <si>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</si>
  <si>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</si>
  <si>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</si>
  <si>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</si>
  <si>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</si>
  <si>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</si>
  <si>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</si>
  <si>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</si>
  <si>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</si>
  <si>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</si>
  <si>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</si>
  <si>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</si>
  <si>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</si>
  <si>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</si>
  <si>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</si>
  <si>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</si>
  <si>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</si>
  <si>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</si>
  <si>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</si>
  <si>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</si>
  <si>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</si>
  <si>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</si>
  <si>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</si>
  <si>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</si>
  <si>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</si>
  <si>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</si>
  <si>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</si>
  <si>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</si>
  <si>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</si>
  <si>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</si>
  <si>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</si>
  <si>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</si>
  <si>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</si>
  <si>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</si>
  <si>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</si>
  <si>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</si>
  <si>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</si>
  <si>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</si>
  <si>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</si>
  <si>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</si>
  <si>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</si>
  <si>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</si>
  <si>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</si>
  <si>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</si>
  <si>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</si>
  <si>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</si>
  <si>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</si>
  <si>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</si>
  <si>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</si>
  <si>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</si>
  <si>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</si>
  <si>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</si>
  <si>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</si>
  <si>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</si>
  <si>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</si>
  <si>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</si>
  <si>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</si>
  <si>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</si>
  <si>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</si>
  <si>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</si>
  <si>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</si>
  <si>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</si>
  <si>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</si>
  <si>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</si>
  <si>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</si>
  <si>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</si>
  <si>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</si>
  <si>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</si>
  <si>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</si>
  <si>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</si>
  <si>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</si>
  <si>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</si>
  <si>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</si>
  <si>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</si>
  <si>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</si>
  <si>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</si>
  <si>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</si>
  <si>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</si>
  <si>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</si>
  <si>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</si>
  <si>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</si>
  <si>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</si>
  <si>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</si>
  <si>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</si>
  <si>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</si>
  <si>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</si>
  <si>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</si>
  <si>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</si>
  <si>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</si>
  <si>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</si>
  <si>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</si>
  <si>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</si>
  <si>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</si>
  <si>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</si>
  <si>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</si>
  <si>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</si>
  <si>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</si>
  <si>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</si>
  <si>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</si>
  <si>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</si>
  <si>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</si>
  <si>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</si>
  <si>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</si>
  <si>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</si>
  <si>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</si>
  <si>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</si>
  <si>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</si>
  <si>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</si>
  <si>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</si>
  <si>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</si>
  <si>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</si>
  <si>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</si>
  <si>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</si>
  <si>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</si>
  <si>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</si>
  <si>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</si>
  <si>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</si>
  <si>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</si>
  <si>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</si>
  <si>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</si>
  <si>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</si>
  <si>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</si>
  <si>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</si>
  <si>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</si>
  <si>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</si>
  <si>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</si>
  <si>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</si>
  <si>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</si>
  <si>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</si>
  <si>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</si>
  <si>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</si>
  <si>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</si>
  <si>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</si>
  <si>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</si>
  <si>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</si>
  <si>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</si>
  <si>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</si>
  <si>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</si>
  <si>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</si>
  <si>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</si>
  <si>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</si>
  <si>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</si>
  <si>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</si>
  <si>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</si>
  <si>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</si>
  <si>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</si>
  <si>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</si>
  <si>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</si>
  <si>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</si>
  <si>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</si>
  <si>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</si>
  <si>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</si>
  <si>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</si>
  <si>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</si>
  <si>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</si>
  <si>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</si>
  <si>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</si>
  <si>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</si>
  <si>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</si>
  <si>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</si>
  <si>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</si>
  <si>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</si>
  <si>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</si>
  <si>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</si>
  <si>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</si>
  <si>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</si>
  <si>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</si>
  <si>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</si>
  <si>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</si>
  <si>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</si>
  <si>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</si>
  <si>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</si>
  <si>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</si>
  <si>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</si>
  <si>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</si>
  <si>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</si>
  <si>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</si>
  <si>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</si>
  <si>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</si>
  <si>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</si>
  <si>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</si>
  <si>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</si>
  <si>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</si>
  <si>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</si>
  <si>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</si>
  <si>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</si>
  <si>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</si>
  <si>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</si>
  <si>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</si>
  <si>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</si>
  <si>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</si>
  <si>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</si>
  <si>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</si>
  <si>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</si>
  <si>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</si>
  <si>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</si>
  <si>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</si>
  <si>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</si>
  <si>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</si>
  <si>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</si>
  <si>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</si>
  <si>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</si>
  <si>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</si>
  <si>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</si>
  <si>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</si>
  <si>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</si>
  <si>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</si>
  <si>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</si>
  <si>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</si>
  <si>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</si>
  <si>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</si>
  <si>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</si>
  <si>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</si>
  <si>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</si>
  <si>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</si>
  <si>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</si>
  <si>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</si>
  <si>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</si>
  <si>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</si>
  <si>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</si>
  <si>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</si>
  <si>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</si>
  <si>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</si>
  <si>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</si>
  <si>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</si>
  <si>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</si>
  <si>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</si>
  <si>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</si>
  <si>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</si>
  <si>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</si>
  <si>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</si>
  <si>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</si>
  <si>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</si>
  <si>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</si>
  <si>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</si>
  <si>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</si>
  <si>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</si>
  <si>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</si>
  <si>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</si>
  <si>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</si>
  <si>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</si>
  <si>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</si>
  <si>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</si>
  <si>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</si>
  <si>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</si>
  <si>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</si>
  <si>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</si>
  <si>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</si>
  <si>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</si>
  <si>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</si>
  <si>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</si>
  <si>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</si>
  <si>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</si>
  <si>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</si>
  <si>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</si>
  <si>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</si>
  <si>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</si>
  <si>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</si>
  <si>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</si>
  <si>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</si>
  <si>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</si>
  <si>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</si>
  <si>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</si>
  <si>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</si>
  <si>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</si>
  <si>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</si>
  <si>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</si>
  <si>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</si>
  <si>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</si>
  <si>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</si>
  <si>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</si>
  <si>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</si>
  <si>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</si>
  <si>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</si>
  <si>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</si>
  <si>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</si>
  <si>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</si>
  <si>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</si>
  <si>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</si>
  <si>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</si>
  <si>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</si>
  <si>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</si>
  <si>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</si>
  <si>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</si>
  <si>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</si>
  <si>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</si>
  <si>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</si>
  <si>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</si>
  <si>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</si>
  <si>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</si>
  <si>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</si>
  <si>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</si>
  <si>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</si>
  <si>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</si>
  <si>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</si>
  <si>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</si>
  <si>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</si>
  <si>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</si>
  <si>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</si>
  <si>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</si>
  <si>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</si>
  <si>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</si>
  <si>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</si>
  <si>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</si>
  <si>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</si>
  <si>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</si>
  <si>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</si>
  <si>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</si>
  <si>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</si>
  <si>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</si>
  <si>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</si>
  <si>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</si>
  <si>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</si>
  <si>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</si>
  <si>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</si>
  <si>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</si>
  <si>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</si>
  <si>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</si>
  <si>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</si>
  <si>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</si>
  <si>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</si>
  <si>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</si>
  <si>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</si>
  <si>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</si>
  <si>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</si>
  <si>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</si>
  <si>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</si>
  <si>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</si>
  <si>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</si>
  <si>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</si>
  <si>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</si>
  <si>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</si>
  <si>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</si>
  <si>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</si>
  <si>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</si>
  <si>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</si>
  <si>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</si>
  <si>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</si>
  <si>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</si>
  <si>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</si>
  <si>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</si>
  <si>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</si>
  <si>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</si>
  <si>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</si>
  <si>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</si>
  <si>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</si>
  <si>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</si>
  <si>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</si>
  <si>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</si>
  <si>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</si>
  <si>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</si>
  <si>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</si>
  <si>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</si>
  <si>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</si>
  <si>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</si>
  <si>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</si>
  <si>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</si>
  <si>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</si>
  <si>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</si>
  <si>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</si>
  <si>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</si>
  <si>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</si>
  <si>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</si>
  <si>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</si>
  <si>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</si>
  <si>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</si>
  <si>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</si>
  <si>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</si>
  <si>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</si>
  <si>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</si>
  <si>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</si>
  <si>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</si>
  <si>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</si>
  <si>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</si>
  <si>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35011</t>
  </si>
  <si>
    <t>MIDDELKERKE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</si>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</sst>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135363.41038600681</c:v>
                </c:pt>
                <c:pt idx="1">
                  <c:v>75506.672757368142</c:v>
                </c:pt>
                <c:pt idx="2">
                  <c:v>2011.1389999999999</c:v>
                </c:pt>
                <c:pt idx="3">
                  <c:v>10375.006524982175</c:v>
                </c:pt>
                <c:pt idx="4">
                  <c:v>11030.9516181702</c:v>
                </c:pt>
                <c:pt idx="5">
                  <c:v>171101.63529363141</c:v>
                </c:pt>
                <c:pt idx="6">
                  <c:v>3236.453629533165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135363.41038600681</c:v>
                </c:pt>
                <c:pt idx="1">
                  <c:v>75506.672757368142</c:v>
                </c:pt>
                <c:pt idx="2">
                  <c:v>2011.1389999999999</c:v>
                </c:pt>
                <c:pt idx="3">
                  <c:v>10375.006524982175</c:v>
                </c:pt>
                <c:pt idx="4">
                  <c:v>11030.9516181702</c:v>
                </c:pt>
                <c:pt idx="5">
                  <c:v>171101.63529363141</c:v>
                </c:pt>
                <c:pt idx="6">
                  <c:v>3236.453629533165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26628.272190260301</c:v>
                </c:pt>
                <c:pt idx="1">
                  <c:v>15001.214795003698</c:v>
                </c:pt>
                <c:pt idx="2">
                  <c:v>401.62270423564684</c:v>
                </c:pt>
                <c:pt idx="3">
                  <c:v>2610.5549714502881</c:v>
                </c:pt>
                <c:pt idx="4">
                  <c:v>2223.3464981793204</c:v>
                </c:pt>
                <c:pt idx="5">
                  <c:v>42954.5179712139</c:v>
                </c:pt>
                <c:pt idx="6">
                  <c:v>730.00095689070201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26628.272190260301</c:v>
                </c:pt>
                <c:pt idx="1">
                  <c:v>15001.214795003698</c:v>
                </c:pt>
                <c:pt idx="2">
                  <c:v>401.62270423564684</c:v>
                </c:pt>
                <c:pt idx="3">
                  <c:v>2610.5549714502881</c:v>
                </c:pt>
                <c:pt idx="4">
                  <c:v>2223.3464981793204</c:v>
                </c:pt>
                <c:pt idx="5">
                  <c:v>42954.5179712139</c:v>
                </c:pt>
                <c:pt idx="6">
                  <c:v>730.00095689070201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35011</v>
      </c>
      <c r="B6" s="416"/>
      <c r="C6" s="417"/>
    </row>
    <row r="7" spans="1:7" s="414" customFormat="1" ht="15.75" customHeight="1">
      <c r="A7" s="418" t="str">
        <f>txtMunicipality</f>
        <v>MIDDELKERKE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9664</v>
      </c>
      <c r="C9" s="342">
        <v>10329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5781</v>
      </c>
    </row>
    <row r="15" spans="1:6">
      <c r="A15" s="348" t="s">
        <v>184</v>
      </c>
      <c r="B15" s="334">
        <v>41</v>
      </c>
    </row>
    <row r="16" spans="1:6">
      <c r="A16" s="348" t="s">
        <v>6</v>
      </c>
      <c r="B16" s="334">
        <v>1748</v>
      </c>
    </row>
    <row r="17" spans="1:6">
      <c r="A17" s="348" t="s">
        <v>7</v>
      </c>
      <c r="B17" s="334">
        <v>1668</v>
      </c>
    </row>
    <row r="18" spans="1:6">
      <c r="A18" s="348" t="s">
        <v>8</v>
      </c>
      <c r="B18" s="334">
        <v>2244</v>
      </c>
    </row>
    <row r="19" spans="1:6">
      <c r="A19" s="348" t="s">
        <v>9</v>
      </c>
      <c r="B19" s="334">
        <v>2090</v>
      </c>
    </row>
    <row r="20" spans="1:6">
      <c r="A20" s="348" t="s">
        <v>10</v>
      </c>
      <c r="B20" s="334">
        <v>1405</v>
      </c>
    </row>
    <row r="21" spans="1:6">
      <c r="A21" s="348" t="s">
        <v>11</v>
      </c>
      <c r="B21" s="334">
        <v>13908</v>
      </c>
    </row>
    <row r="22" spans="1:6">
      <c r="A22" s="348" t="s">
        <v>12</v>
      </c>
      <c r="B22" s="334">
        <v>28549</v>
      </c>
    </row>
    <row r="23" spans="1:6">
      <c r="A23" s="348" t="s">
        <v>13</v>
      </c>
      <c r="B23" s="334">
        <v>498</v>
      </c>
    </row>
    <row r="24" spans="1:6">
      <c r="A24" s="348" t="s">
        <v>14</v>
      </c>
      <c r="B24" s="334">
        <v>203</v>
      </c>
    </row>
    <row r="25" spans="1:6">
      <c r="A25" s="348" t="s">
        <v>15</v>
      </c>
      <c r="B25" s="334">
        <v>3591</v>
      </c>
    </row>
    <row r="26" spans="1:6">
      <c r="A26" s="348" t="s">
        <v>16</v>
      </c>
      <c r="B26" s="334">
        <v>375</v>
      </c>
    </row>
    <row r="27" spans="1:6">
      <c r="A27" s="348" t="s">
        <v>17</v>
      </c>
      <c r="B27" s="334">
        <v>49</v>
      </c>
    </row>
    <row r="28" spans="1:6" s="356" customFormat="1">
      <c r="A28" s="355" t="s">
        <v>18</v>
      </c>
      <c r="B28" s="355">
        <v>52376</v>
      </c>
    </row>
    <row r="29" spans="1:6">
      <c r="A29" s="355" t="s">
        <v>865</v>
      </c>
      <c r="B29" s="355">
        <v>247</v>
      </c>
      <c r="C29" s="356"/>
      <c r="D29" s="356"/>
      <c r="E29" s="356"/>
      <c r="F29" s="356"/>
    </row>
    <row r="30" spans="1:6">
      <c r="A30" s="341" t="s">
        <v>866</v>
      </c>
      <c r="B30" s="341">
        <v>63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14</v>
      </c>
      <c r="F36" s="334">
        <v>57718</v>
      </c>
    </row>
    <row r="37" spans="1:6">
      <c r="A37" s="348" t="s">
        <v>25</v>
      </c>
      <c r="B37" s="348" t="s">
        <v>28</v>
      </c>
      <c r="C37" s="334">
        <v>0</v>
      </c>
      <c r="D37" s="334">
        <v>0</v>
      </c>
      <c r="E37" s="334">
        <v>0</v>
      </c>
      <c r="F37" s="334">
        <v>0</v>
      </c>
    </row>
    <row r="38" spans="1:6">
      <c r="A38" s="348" t="s">
        <v>25</v>
      </c>
      <c r="B38" s="348" t="s">
        <v>29</v>
      </c>
      <c r="C38" s="334">
        <v>2</v>
      </c>
      <c r="D38" s="334">
        <v>994380</v>
      </c>
      <c r="E38" s="334">
        <v>2</v>
      </c>
      <c r="F38" s="334">
        <v>15770</v>
      </c>
    </row>
    <row r="39" spans="1:6">
      <c r="A39" s="348" t="s">
        <v>30</v>
      </c>
      <c r="B39" s="348" t="s">
        <v>31</v>
      </c>
      <c r="C39" s="334">
        <v>8618</v>
      </c>
      <c r="D39" s="334">
        <v>87253145</v>
      </c>
      <c r="E39" s="334">
        <v>22912</v>
      </c>
      <c r="F39" s="334">
        <v>49978723</v>
      </c>
    </row>
    <row r="40" spans="1:6">
      <c r="A40" s="348" t="s">
        <v>30</v>
      </c>
      <c r="B40" s="348" t="s">
        <v>29</v>
      </c>
      <c r="C40" s="334">
        <v>0</v>
      </c>
      <c r="D40" s="334">
        <v>0</v>
      </c>
      <c r="E40" s="334">
        <v>0</v>
      </c>
      <c r="F40" s="334">
        <v>0</v>
      </c>
    </row>
    <row r="41" spans="1:6">
      <c r="A41" s="348" t="s">
        <v>32</v>
      </c>
      <c r="B41" s="348" t="s">
        <v>33</v>
      </c>
      <c r="C41" s="334">
        <v>100</v>
      </c>
      <c r="D41" s="334">
        <v>2061578</v>
      </c>
      <c r="E41" s="334">
        <v>329</v>
      </c>
      <c r="F41" s="334">
        <v>1746193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120270</v>
      </c>
      <c r="E44" s="334">
        <v>11</v>
      </c>
      <c r="F44" s="334">
        <v>91304</v>
      </c>
    </row>
    <row r="45" spans="1:6">
      <c r="A45" s="348" t="s">
        <v>32</v>
      </c>
      <c r="B45" s="348" t="s">
        <v>37</v>
      </c>
      <c r="C45" s="334">
        <v>0</v>
      </c>
      <c r="D45" s="334">
        <v>0</v>
      </c>
      <c r="E45" s="334">
        <v>4</v>
      </c>
      <c r="F45" s="334">
        <v>7740</v>
      </c>
    </row>
    <row r="46" spans="1:6">
      <c r="A46" s="348" t="s">
        <v>32</v>
      </c>
      <c r="B46" s="348" t="s">
        <v>38</v>
      </c>
      <c r="C46" s="334">
        <v>0</v>
      </c>
      <c r="D46" s="334">
        <v>0</v>
      </c>
      <c r="E46" s="334">
        <v>0</v>
      </c>
      <c r="F46" s="334">
        <v>0</v>
      </c>
    </row>
    <row r="47" spans="1:6">
      <c r="A47" s="348" t="s">
        <v>32</v>
      </c>
      <c r="B47" s="348" t="s">
        <v>39</v>
      </c>
      <c r="C47" s="334">
        <v>4</v>
      </c>
      <c r="D47" s="334">
        <v>59448</v>
      </c>
      <c r="E47" s="334">
        <v>6</v>
      </c>
      <c r="F47" s="334">
        <v>39674</v>
      </c>
    </row>
    <row r="48" spans="1:6">
      <c r="A48" s="348" t="s">
        <v>32</v>
      </c>
      <c r="B48" s="348" t="s">
        <v>29</v>
      </c>
      <c r="C48" s="334">
        <v>4</v>
      </c>
      <c r="D48" s="334">
        <v>385939</v>
      </c>
      <c r="E48" s="334">
        <v>1</v>
      </c>
      <c r="F48" s="334">
        <v>103622</v>
      </c>
    </row>
    <row r="49" spans="1:6">
      <c r="A49" s="348" t="s">
        <v>32</v>
      </c>
      <c r="B49" s="348" t="s">
        <v>40</v>
      </c>
      <c r="C49" s="334">
        <v>0</v>
      </c>
      <c r="D49" s="334">
        <v>0</v>
      </c>
      <c r="E49" s="334">
        <v>0</v>
      </c>
      <c r="F49" s="334">
        <v>0</v>
      </c>
    </row>
    <row r="50" spans="1:6">
      <c r="A50" s="348" t="s">
        <v>32</v>
      </c>
      <c r="B50" s="348" t="s">
        <v>41</v>
      </c>
      <c r="C50" s="334">
        <v>16</v>
      </c>
      <c r="D50" s="334">
        <v>1085899</v>
      </c>
      <c r="E50" s="334">
        <v>40</v>
      </c>
      <c r="F50" s="334">
        <v>919230</v>
      </c>
    </row>
    <row r="51" spans="1:6">
      <c r="A51" s="348" t="s">
        <v>42</v>
      </c>
      <c r="B51" s="348" t="s">
        <v>43</v>
      </c>
      <c r="C51" s="334">
        <v>9</v>
      </c>
      <c r="D51" s="334">
        <v>158834</v>
      </c>
      <c r="E51" s="334">
        <v>176</v>
      </c>
      <c r="F51" s="334">
        <v>2765511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97</v>
      </c>
      <c r="F54" s="334">
        <v>2011139</v>
      </c>
    </row>
    <row r="55" spans="1:6">
      <c r="A55" s="348" t="s">
        <v>46</v>
      </c>
      <c r="B55" s="348" t="s">
        <v>29</v>
      </c>
      <c r="C55" s="334">
        <v>0</v>
      </c>
      <c r="D55" s="334">
        <v>0</v>
      </c>
      <c r="E55" s="334">
        <v>0</v>
      </c>
      <c r="F55" s="334">
        <v>0</v>
      </c>
    </row>
    <row r="56" spans="1:6">
      <c r="A56" s="348" t="s">
        <v>48</v>
      </c>
      <c r="B56" s="348" t="s">
        <v>29</v>
      </c>
      <c r="C56" s="334">
        <v>438</v>
      </c>
      <c r="D56" s="334">
        <v>6910180</v>
      </c>
      <c r="E56" s="334">
        <v>1659</v>
      </c>
      <c r="F56" s="334">
        <v>5125683</v>
      </c>
    </row>
    <row r="57" spans="1:6">
      <c r="A57" s="348" t="s">
        <v>49</v>
      </c>
      <c r="B57" s="348" t="s">
        <v>50</v>
      </c>
      <c r="C57" s="334">
        <v>48</v>
      </c>
      <c r="D57" s="334">
        <v>3640371</v>
      </c>
      <c r="E57" s="334">
        <v>138</v>
      </c>
      <c r="F57" s="334">
        <v>3627513</v>
      </c>
    </row>
    <row r="58" spans="1:6">
      <c r="A58" s="348" t="s">
        <v>49</v>
      </c>
      <c r="B58" s="348" t="s">
        <v>51</v>
      </c>
      <c r="C58" s="334">
        <v>23</v>
      </c>
      <c r="D58" s="334">
        <v>1627279</v>
      </c>
      <c r="E58" s="334">
        <v>75</v>
      </c>
      <c r="F58" s="334">
        <v>1434266</v>
      </c>
    </row>
    <row r="59" spans="1:6">
      <c r="A59" s="348" t="s">
        <v>49</v>
      </c>
      <c r="B59" s="348" t="s">
        <v>52</v>
      </c>
      <c r="C59" s="334">
        <v>158</v>
      </c>
      <c r="D59" s="334">
        <v>4931481</v>
      </c>
      <c r="E59" s="334">
        <v>445</v>
      </c>
      <c r="F59" s="334">
        <v>10349040.642857142</v>
      </c>
    </row>
    <row r="60" spans="1:6">
      <c r="A60" s="348" t="s">
        <v>49</v>
      </c>
      <c r="B60" s="348" t="s">
        <v>53</v>
      </c>
      <c r="C60" s="334">
        <v>191</v>
      </c>
      <c r="D60" s="334">
        <v>10019368</v>
      </c>
      <c r="E60" s="334">
        <v>345</v>
      </c>
      <c r="F60" s="334">
        <v>11470216</v>
      </c>
    </row>
    <row r="61" spans="1:6">
      <c r="A61" s="348" t="s">
        <v>49</v>
      </c>
      <c r="B61" s="348" t="s">
        <v>54</v>
      </c>
      <c r="C61" s="334">
        <v>225</v>
      </c>
      <c r="D61" s="334">
        <v>14357729</v>
      </c>
      <c r="E61" s="334">
        <v>1126</v>
      </c>
      <c r="F61" s="334">
        <v>7750569.3865546221</v>
      </c>
    </row>
    <row r="62" spans="1:6">
      <c r="A62" s="348" t="s">
        <v>49</v>
      </c>
      <c r="B62" s="348" t="s">
        <v>55</v>
      </c>
      <c r="C62" s="334">
        <v>5</v>
      </c>
      <c r="D62" s="334">
        <v>444010</v>
      </c>
      <c r="E62" s="334">
        <v>9</v>
      </c>
      <c r="F62" s="334">
        <v>181318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28377</v>
      </c>
      <c r="E65" s="334">
        <v>1</v>
      </c>
      <c r="F65" s="334">
        <v>969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27</v>
      </c>
      <c r="F68" s="334">
        <v>1901708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72942142</v>
      </c>
      <c r="E73" s="477">
        <v>87910118.316652894</v>
      </c>
    </row>
    <row r="74" spans="1:6">
      <c r="A74" s="348" t="s">
        <v>64</v>
      </c>
      <c r="B74" s="348" t="s">
        <v>714</v>
      </c>
      <c r="C74" s="1288" t="s">
        <v>716</v>
      </c>
      <c r="D74" s="477">
        <v>8024866.9651365392</v>
      </c>
      <c r="E74" s="477">
        <v>10601994.8892051</v>
      </c>
    </row>
    <row r="75" spans="1:6">
      <c r="A75" s="348" t="s">
        <v>65</v>
      </c>
      <c r="B75" s="348" t="s">
        <v>713</v>
      </c>
      <c r="C75" s="1288" t="s">
        <v>717</v>
      </c>
      <c r="D75" s="477">
        <v>5674545</v>
      </c>
      <c r="E75" s="477">
        <v>7383244.6820991067</v>
      </c>
    </row>
    <row r="76" spans="1:6">
      <c r="A76" s="348" t="s">
        <v>65</v>
      </c>
      <c r="B76" s="348" t="s">
        <v>714</v>
      </c>
      <c r="C76" s="1288" t="s">
        <v>718</v>
      </c>
      <c r="D76" s="477">
        <v>171774.96513653905</v>
      </c>
      <c r="E76" s="477">
        <v>298231.48913777003</v>
      </c>
    </row>
    <row r="77" spans="1:6">
      <c r="A77" s="348" t="s">
        <v>66</v>
      </c>
      <c r="B77" s="348" t="s">
        <v>713</v>
      </c>
      <c r="C77" s="1288" t="s">
        <v>719</v>
      </c>
      <c r="D77" s="477">
        <v>72366205</v>
      </c>
      <c r="E77" s="477">
        <v>79000057.514706835</v>
      </c>
    </row>
    <row r="78" spans="1:6">
      <c r="A78" s="341" t="s">
        <v>66</v>
      </c>
      <c r="B78" s="341" t="s">
        <v>714</v>
      </c>
      <c r="C78" s="341" t="s">
        <v>720</v>
      </c>
      <c r="D78" s="1284">
        <v>19956286</v>
      </c>
      <c r="E78" s="1284">
        <v>22086963.994549084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422760.06972692191</v>
      </c>
      <c r="C83" s="477">
        <v>426368.95069040911</v>
      </c>
    </row>
    <row r="84" spans="1:6">
      <c r="A84" s="341" t="s">
        <v>337</v>
      </c>
      <c r="B84" s="1284">
        <v>469335.91400361323</v>
      </c>
      <c r="C84" s="1284">
        <v>473660.0340676721</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4134.5798820050904</v>
      </c>
    </row>
    <row r="91" spans="1:6">
      <c r="A91" s="348" t="s">
        <v>68</v>
      </c>
      <c r="B91" s="334">
        <v>2677.7234261055</v>
      </c>
    </row>
    <row r="92" spans="1:6">
      <c r="A92" s="341" t="s">
        <v>69</v>
      </c>
      <c r="B92" s="342">
        <v>2520.4554568517292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3729</v>
      </c>
    </row>
    <row r="98" spans="1:6">
      <c r="A98" s="348" t="s">
        <v>72</v>
      </c>
      <c r="B98" s="334">
        <v>1</v>
      </c>
    </row>
    <row r="99" spans="1:6">
      <c r="A99" s="348" t="s">
        <v>73</v>
      </c>
      <c r="B99" s="334">
        <v>109</v>
      </c>
    </row>
    <row r="100" spans="1:6">
      <c r="A100" s="348" t="s">
        <v>74</v>
      </c>
      <c r="B100" s="334">
        <v>1582</v>
      </c>
    </row>
    <row r="101" spans="1:6">
      <c r="A101" s="348" t="s">
        <v>75</v>
      </c>
      <c r="B101" s="334">
        <v>78</v>
      </c>
    </row>
    <row r="102" spans="1:6">
      <c r="A102" s="348" t="s">
        <v>76</v>
      </c>
      <c r="B102" s="334">
        <v>201</v>
      </c>
    </row>
    <row r="103" spans="1:6">
      <c r="A103" s="348" t="s">
        <v>77</v>
      </c>
      <c r="B103" s="334">
        <v>138</v>
      </c>
    </row>
    <row r="104" spans="1:6">
      <c r="A104" s="348" t="s">
        <v>78</v>
      </c>
      <c r="B104" s="334">
        <v>1599</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8</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96828.884289353766</v>
      </c>
      <c r="C3" s="43" t="s">
        <v>170</v>
      </c>
      <c r="D3" s="43"/>
      <c r="E3" s="154"/>
      <c r="F3" s="43"/>
      <c r="G3" s="43"/>
      <c r="H3" s="43"/>
      <c r="I3" s="43"/>
      <c r="J3" s="43"/>
      <c r="K3" s="96"/>
    </row>
    <row r="4" spans="1:11">
      <c r="A4" s="384" t="s">
        <v>171</v>
      </c>
      <c r="B4" s="49">
        <f>IF(ISERROR('SEAP template'!B69),0,'SEAP template'!B69)</f>
        <v>9332.7587649623201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0.19969912782539986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2011.1389999999999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2011.1389999999999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0.19969912782539986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401.62270423564684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49978.722999999998</v>
      </c>
      <c r="C5" s="17">
        <f>IF(ISERROR('Eigen informatie GS &amp; warmtenet'!B57),0,'Eigen informatie GS &amp; warmtenet'!B57)</f>
        <v>0</v>
      </c>
      <c r="D5" s="30">
        <f>(SUM(HH_hh_gas_kWh,HH_rest_gas_kWh)/1000)*0.902</f>
        <v>78702.336790000001</v>
      </c>
      <c r="E5" s="17">
        <f>B46*B57</f>
        <v>946.93274450280694</v>
      </c>
      <c r="F5" s="17">
        <f>B51*B62</f>
        <v>0</v>
      </c>
      <c r="G5" s="18"/>
      <c r="H5" s="17"/>
      <c r="I5" s="17"/>
      <c r="J5" s="17">
        <f>B50*B61+C50*C61</f>
        <v>0</v>
      </c>
      <c r="K5" s="17"/>
      <c r="L5" s="17"/>
      <c r="M5" s="17"/>
      <c r="N5" s="17">
        <f>B48*B59+C48*C59</f>
        <v>2569.717758731816</v>
      </c>
      <c r="O5" s="17">
        <f>B69*B70*B71</f>
        <v>182.91000000000003</v>
      </c>
      <c r="P5" s="17">
        <f>B77*B78*B79/1000-B77*B78*B79/1000/B80</f>
        <v>305.06666666666666</v>
      </c>
    </row>
    <row r="6" spans="1:16">
      <c r="A6" s="16" t="s">
        <v>631</v>
      </c>
      <c r="B6" s="844">
        <f>kWh_PV_kleiner_dan_10kW</f>
        <v>2677.7234261055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52656.446426105496</v>
      </c>
      <c r="C8" s="21">
        <f>C5</f>
        <v>0</v>
      </c>
      <c r="D8" s="21">
        <f>D5</f>
        <v>78702.336790000001</v>
      </c>
      <c r="E8" s="21">
        <f>E5</f>
        <v>946.93274450280694</v>
      </c>
      <c r="F8" s="21">
        <f>F5</f>
        <v>0</v>
      </c>
      <c r="G8" s="21"/>
      <c r="H8" s="21"/>
      <c r="I8" s="21"/>
      <c r="J8" s="21">
        <f>J5</f>
        <v>0</v>
      </c>
      <c r="K8" s="21"/>
      <c r="L8" s="21">
        <f>L5</f>
        <v>0</v>
      </c>
      <c r="M8" s="21">
        <f>M5</f>
        <v>0</v>
      </c>
      <c r="N8" s="21">
        <f>N5</f>
        <v>2569.717758731816</v>
      </c>
      <c r="O8" s="21">
        <f>O5</f>
        <v>182.91000000000003</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0.19969912782539986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10515.446425678161</v>
      </c>
      <c r="C12" s="23">
        <f ca="1">C10*C8</f>
        <v>0</v>
      </c>
      <c r="D12" s="23">
        <f>D8*D10</f>
        <v>15897.872031580002</v>
      </c>
      <c r="E12" s="23">
        <f>E10*E8</f>
        <v>214.95373300213717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3729</v>
      </c>
      <c r="C18" s="166" t="s">
        <v>111</v>
      </c>
      <c r="D18" s="228"/>
      <c r="E18" s="15"/>
    </row>
    <row r="19" spans="1:7">
      <c r="A19" s="171" t="s">
        <v>72</v>
      </c>
      <c r="B19" s="37">
        <f>aantalw2001_ander</f>
        <v>1</v>
      </c>
      <c r="C19" s="166" t="s">
        <v>111</v>
      </c>
      <c r="D19" s="229"/>
      <c r="E19" s="15"/>
    </row>
    <row r="20" spans="1:7">
      <c r="A20" s="171" t="s">
        <v>73</v>
      </c>
      <c r="B20" s="37">
        <f>aantalw2001_propaan</f>
        <v>109</v>
      </c>
      <c r="C20" s="167">
        <f>IF(ISERROR(B20/SUM($B$20,$B$21,$B$22)*100),0,B20/SUM($B$20,$B$21,$B$22)*100)</f>
        <v>6.1616732617297911</v>
      </c>
      <c r="D20" s="229"/>
      <c r="E20" s="15"/>
    </row>
    <row r="21" spans="1:7">
      <c r="A21" s="171" t="s">
        <v>74</v>
      </c>
      <c r="B21" s="37">
        <f>aantalw2001_elektriciteit</f>
        <v>1582</v>
      </c>
      <c r="C21" s="167">
        <f>IF(ISERROR(B21/SUM($B$20,$B$21,$B$22)*100),0,B21/SUM($B$20,$B$21,$B$22)*100)</f>
        <v>89.429055963821369</v>
      </c>
      <c r="D21" s="229"/>
      <c r="E21" s="15"/>
    </row>
    <row r="22" spans="1:7">
      <c r="A22" s="171" t="s">
        <v>75</v>
      </c>
      <c r="B22" s="37">
        <f>aantalw2001_hout</f>
        <v>78</v>
      </c>
      <c r="C22" s="167">
        <f>IF(ISERROR(B22/SUM($B$20,$B$21,$B$22)*100),0,B22/SUM($B$20,$B$21,$B$22)*100)</f>
        <v>4.4092707744488413</v>
      </c>
      <c r="D22" s="229"/>
      <c r="E22" s="15"/>
    </row>
    <row r="23" spans="1:7">
      <c r="A23" s="171" t="s">
        <v>76</v>
      </c>
      <c r="B23" s="37">
        <f>aantalw2001_niet_gespec</f>
        <v>201</v>
      </c>
      <c r="C23" s="166" t="s">
        <v>111</v>
      </c>
      <c r="D23" s="228"/>
      <c r="E23" s="15"/>
    </row>
    <row r="24" spans="1:7">
      <c r="A24" s="171" t="s">
        <v>77</v>
      </c>
      <c r="B24" s="37">
        <f>aantalw2001_steenkool</f>
        <v>138</v>
      </c>
      <c r="C24" s="166" t="s">
        <v>111</v>
      </c>
      <c r="D24" s="229"/>
      <c r="E24" s="15"/>
    </row>
    <row r="25" spans="1:7">
      <c r="A25" s="171" t="s">
        <v>78</v>
      </c>
      <c r="B25" s="37">
        <f>aantalw2001_stookolie</f>
        <v>1599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9664</v>
      </c>
      <c r="C28" s="36"/>
      <c r="D28" s="228"/>
    </row>
    <row r="29" spans="1:7" s="15" customFormat="1">
      <c r="A29" s="230" t="s">
        <v>741</v>
      </c>
      <c r="B29" s="37">
        <f>SUM(HH_hh_gas_aantal,HH_rest_gas_aantal)</f>
        <v>8618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8618</v>
      </c>
      <c r="C32" s="167">
        <f>IF(ISERROR(B32/SUM($B$32,$B$34,$B$35,$B$36,$B$38,$B$39)*100),0,B32/SUM($B$32,$B$34,$B$35,$B$36,$B$38,$B$39)*100)</f>
        <v>89.324212271973465</v>
      </c>
      <c r="D32" s="233"/>
      <c r="G32" s="15"/>
    </row>
    <row r="33" spans="1:7">
      <c r="A33" s="171" t="s">
        <v>72</v>
      </c>
      <c r="B33" s="34" t="s">
        <v>111</v>
      </c>
      <c r="C33" s="167"/>
      <c r="D33" s="233"/>
      <c r="G33" s="15"/>
    </row>
    <row r="34" spans="1:7">
      <c r="A34" s="171" t="s">
        <v>73</v>
      </c>
      <c r="B34" s="33">
        <f>IF((($B$28-$B$32-$B$39-$B$77-$B$38)*C20/100)&lt;0,0,($B$28-$B$32-$B$39-$B$77-$B$38)*C20/100)</f>
        <v>63.465234595816845</v>
      </c>
      <c r="C34" s="167">
        <f>IF(ISERROR(B34/SUM($B$32,$B$34,$B$35,$B$36,$B$38,$B$39)*100),0,B34/SUM($B$32,$B$34,$B$35,$B$36,$B$38,$B$39)*100)</f>
        <v>0.65780715791684119</v>
      </c>
      <c r="D34" s="233"/>
      <c r="G34" s="15"/>
    </row>
    <row r="35" spans="1:7">
      <c r="A35" s="171" t="s">
        <v>74</v>
      </c>
      <c r="B35" s="33">
        <f>IF((($B$28-$B$32-$B$39-$B$77-$B$38)*C21/100)&lt;0,0,($B$28-$B$32-$B$39-$B$77-$B$38)*C21/100)</f>
        <v>921.11927642736021</v>
      </c>
      <c r="C35" s="167">
        <f>IF(ISERROR(B35/SUM($B$32,$B$34,$B$35,$B$36,$B$38,$B$39)*100),0,B35/SUM($B$32,$B$34,$B$35,$B$36,$B$38,$B$39)*100)</f>
        <v>9.5472561818756247</v>
      </c>
      <c r="D35" s="233"/>
      <c r="G35" s="15"/>
    </row>
    <row r="36" spans="1:7">
      <c r="A36" s="171" t="s">
        <v>75</v>
      </c>
      <c r="B36" s="33">
        <f>IF((($B$28-$B$32-$B$39-$B$77-$B$38)*C22/100)&lt;0,0,($B$28-$B$32-$B$39-$B$77-$B$38)*C22/100)</f>
        <v>45.415488976823063</v>
      </c>
      <c r="C36" s="167">
        <f>IF(ISERROR(B36/SUM($B$32,$B$34,$B$35,$B$36,$B$38,$B$39)*100),0,B36/SUM($B$32,$B$34,$B$35,$B$36,$B$38,$B$39)*100)</f>
        <v>0.47072438823406987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8618</v>
      </c>
      <c r="C44" s="34" t="s">
        <v>111</v>
      </c>
      <c r="D44" s="174"/>
    </row>
    <row r="45" spans="1:7">
      <c r="A45" s="171" t="s">
        <v>72</v>
      </c>
      <c r="B45" s="33" t="str">
        <f t="shared" si="0"/>
        <v>-</v>
      </c>
      <c r="C45" s="34" t="s">
        <v>111</v>
      </c>
      <c r="D45" s="174"/>
    </row>
    <row r="46" spans="1:7">
      <c r="A46" s="171" t="s">
        <v>73</v>
      </c>
      <c r="B46" s="33">
        <f t="shared" si="0"/>
        <v>63.465234595816845</v>
      </c>
      <c r="C46" s="34" t="s">
        <v>111</v>
      </c>
      <c r="D46" s="174"/>
    </row>
    <row r="47" spans="1:7">
      <c r="A47" s="171" t="s">
        <v>74</v>
      </c>
      <c r="B47" s="33">
        <f t="shared" si="0"/>
        <v>921.11927642736021</v>
      </c>
      <c r="C47" s="34" t="s">
        <v>111</v>
      </c>
      <c r="D47" s="174"/>
    </row>
    <row r="48" spans="1:7">
      <c r="A48" s="171" t="s">
        <v>75</v>
      </c>
      <c r="B48" s="33">
        <f t="shared" si="0"/>
        <v>45.415488976823063</v>
      </c>
      <c r="C48" s="33">
        <f>B48*10</f>
        <v>454.15488976823065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34812.923029411766</v>
      </c>
      <c r="C5" s="17">
        <f>IF(ISERROR('Eigen informatie GS &amp; warmtenet'!B58),0,'Eigen informatie GS &amp; warmtenet'!B58)</f>
        <v>0</v>
      </c>
      <c r="D5" s="30">
        <f>SUM(D6:D12)</f>
        <v>31588.254676000004</v>
      </c>
      <c r="E5" s="17">
        <f>SUM(E6:E12)</f>
        <v>628.79825264564749</v>
      </c>
      <c r="F5" s="17">
        <f>SUM(F6:F12)</f>
        <v>5713.6321388570386</v>
      </c>
      <c r="G5" s="18"/>
      <c r="H5" s="17"/>
      <c r="I5" s="17"/>
      <c r="J5" s="17">
        <f>SUM(J6:J12)</f>
        <v>0</v>
      </c>
      <c r="K5" s="17"/>
      <c r="L5" s="17"/>
      <c r="M5" s="17"/>
      <c r="N5" s="17">
        <f>SUM(N6:N12)</f>
        <v>2731.4913271203554</v>
      </c>
      <c r="O5" s="17">
        <f>B38*B39*B40</f>
        <v>12.506666666666668</v>
      </c>
      <c r="P5" s="17">
        <f>B46*B47*B48/1000-B46*B47*B48/1000/B49</f>
        <v>19.066666666666666</v>
      </c>
      <c r="R5" s="32"/>
    </row>
    <row r="6" spans="1:18">
      <c r="A6" s="32" t="s">
        <v>54</v>
      </c>
      <c r="B6" s="37">
        <f>B26</f>
        <v>7750.5693865546218</v>
      </c>
      <c r="C6" s="33"/>
      <c r="D6" s="37">
        <f>IF(ISERROR(TER_kantoor_gas_kWh/1000),0,TER_kantoor_gas_kWh/1000)*0.902</f>
        <v>12950.671558</v>
      </c>
      <c r="E6" s="33">
        <f>$C$26*'E Balans VL '!I12/100/3.6*1000000</f>
        <v>22.454536682620002</v>
      </c>
      <c r="F6" s="33">
        <f>$C$26*('E Balans VL '!L12+'E Balans VL '!N12)/100/3.6*1000000</f>
        <v>877.1936962751073</v>
      </c>
      <c r="G6" s="34"/>
      <c r="H6" s="33"/>
      <c r="I6" s="33"/>
      <c r="J6" s="33">
        <f>$C$26*('E Balans VL '!D12+'E Balans VL '!E12)/100/3.6*1000000</f>
        <v>0</v>
      </c>
      <c r="K6" s="33"/>
      <c r="L6" s="33"/>
      <c r="M6" s="33"/>
      <c r="N6" s="33">
        <f>$C$26*'E Balans VL '!Y12/100/3.6*1000000</f>
        <v>77.577488684904253</v>
      </c>
      <c r="O6" s="33"/>
      <c r="P6" s="33"/>
      <c r="R6" s="32"/>
    </row>
    <row r="7" spans="1:18">
      <c r="A7" s="32" t="s">
        <v>53</v>
      </c>
      <c r="B7" s="37">
        <f t="shared" ref="B7:B12" si="0">B27</f>
        <v>11470.216</v>
      </c>
      <c r="C7" s="33"/>
      <c r="D7" s="37">
        <f>IF(ISERROR(TER_horeca_gas_kWh/1000),0,TER_horeca_gas_kWh/1000)*0.902</f>
        <v>9037.4699360000013</v>
      </c>
      <c r="E7" s="33">
        <f>$C$27*'E Balans VL '!I9/100/3.6*1000000</f>
        <v>481.48762052987053</v>
      </c>
      <c r="F7" s="33">
        <f>$C$27*('E Balans VL '!L9+'E Balans VL '!N9)/100/3.6*1000000</f>
        <v>2464.6111265326922</v>
      </c>
      <c r="G7" s="34"/>
      <c r="H7" s="33"/>
      <c r="I7" s="33"/>
      <c r="J7" s="33">
        <f>$C$27*('E Balans VL '!D9+'E Balans VL '!E9)/100/3.6*1000000</f>
        <v>0</v>
      </c>
      <c r="K7" s="33"/>
      <c r="L7" s="33"/>
      <c r="M7" s="33"/>
      <c r="N7" s="33">
        <f>$C$27*'E Balans VL '!Y9/100/3.6*1000000</f>
        <v>2.9557743525220785</v>
      </c>
      <c r="O7" s="33"/>
      <c r="P7" s="33"/>
      <c r="R7" s="32"/>
    </row>
    <row r="8" spans="1:18">
      <c r="A8" s="6" t="s">
        <v>52</v>
      </c>
      <c r="B8" s="37">
        <f t="shared" si="0"/>
        <v>10349.040642857142</v>
      </c>
      <c r="C8" s="33"/>
      <c r="D8" s="37">
        <f>IF(ISERROR(TER_handel_gas_kWh/1000),0,TER_handel_gas_kWh/1000)*0.902</f>
        <v>4448.1958619999996</v>
      </c>
      <c r="E8" s="33">
        <f>$C$28*'E Balans VL '!I13/100/3.6*1000000</f>
        <v>111.15730976596707</v>
      </c>
      <c r="F8" s="33">
        <f>$C$28*('E Balans VL '!L13+'E Balans VL '!N13)/100/3.6*1000000</f>
        <v>1339.7687718337327</v>
      </c>
      <c r="G8" s="34"/>
      <c r="H8" s="33"/>
      <c r="I8" s="33"/>
      <c r="J8" s="33">
        <f>$C$28*('E Balans VL '!D13+'E Balans VL '!E13)/100/3.6*1000000</f>
        <v>0</v>
      </c>
      <c r="K8" s="33"/>
      <c r="L8" s="33"/>
      <c r="M8" s="33"/>
      <c r="N8" s="33">
        <f>$C$28*'E Balans VL '!Y13/100/3.6*1000000</f>
        <v>83.951982777045728</v>
      </c>
      <c r="O8" s="33"/>
      <c r="P8" s="33"/>
      <c r="R8" s="32"/>
    </row>
    <row r="9" spans="1:18">
      <c r="A9" s="32" t="s">
        <v>51</v>
      </c>
      <c r="B9" s="37">
        <f t="shared" si="0"/>
        <v>1434.2660000000001</v>
      </c>
      <c r="C9" s="33"/>
      <c r="D9" s="37">
        <f>IF(ISERROR(TER_gezond_gas_kWh/1000),0,TER_gezond_gas_kWh/1000)*0.902</f>
        <v>1467.805658</v>
      </c>
      <c r="E9" s="33">
        <f>$C$29*'E Balans VL '!I10/100/3.6*1000000</f>
        <v>1.1417685018396098</v>
      </c>
      <c r="F9" s="33">
        <f>$C$29*('E Balans VL '!L10+'E Balans VL '!N10)/100/3.6*1000000</f>
        <v>174.35575931059023</v>
      </c>
      <c r="G9" s="34"/>
      <c r="H9" s="33"/>
      <c r="I9" s="33"/>
      <c r="J9" s="33">
        <f>$C$29*('E Balans VL '!D10+'E Balans VL '!E10)/100/3.6*1000000</f>
        <v>0</v>
      </c>
      <c r="K9" s="33"/>
      <c r="L9" s="33"/>
      <c r="M9" s="33"/>
      <c r="N9" s="33">
        <f>$C$29*'E Balans VL '!Y10/100/3.6*1000000</f>
        <v>11.585620764189644</v>
      </c>
      <c r="O9" s="33"/>
      <c r="P9" s="33"/>
      <c r="R9" s="32"/>
    </row>
    <row r="10" spans="1:18">
      <c r="A10" s="32" t="s">
        <v>50</v>
      </c>
      <c r="B10" s="37">
        <f t="shared" si="0"/>
        <v>3627.5129999999999</v>
      </c>
      <c r="C10" s="33"/>
      <c r="D10" s="37">
        <f>IF(ISERROR(TER_ander_gas_kWh/1000),0,TER_ander_gas_kWh/1000)*0.902</f>
        <v>3283.614642</v>
      </c>
      <c r="E10" s="33">
        <f>$C$30*'E Balans VL '!I14/100/3.6*1000000</f>
        <v>12.431677616105249</v>
      </c>
      <c r="F10" s="33">
        <f>$C$30*('E Balans VL '!L14+'E Balans VL '!N14)/100/3.6*1000000</f>
        <v>810.23899943544563</v>
      </c>
      <c r="G10" s="34"/>
      <c r="H10" s="33"/>
      <c r="I10" s="33"/>
      <c r="J10" s="33">
        <f>$C$30*('E Balans VL '!D14+'E Balans VL '!E14)/100/3.6*1000000</f>
        <v>0</v>
      </c>
      <c r="K10" s="33"/>
      <c r="L10" s="33"/>
      <c r="M10" s="33"/>
      <c r="N10" s="33">
        <f>$C$30*'E Balans VL '!Y14/100/3.6*1000000</f>
        <v>2555.239973916156</v>
      </c>
      <c r="O10" s="33"/>
      <c r="P10" s="33"/>
      <c r="R10" s="32"/>
    </row>
    <row r="11" spans="1:18">
      <c r="A11" s="32" t="s">
        <v>55</v>
      </c>
      <c r="B11" s="37">
        <f t="shared" si="0"/>
        <v>181.31800000000001</v>
      </c>
      <c r="C11" s="33"/>
      <c r="D11" s="37">
        <f>IF(ISERROR(TER_onderwijs_gas_kWh/1000),0,TER_onderwijs_gas_kWh/1000)*0.902</f>
        <v>400.49702000000002</v>
      </c>
      <c r="E11" s="33">
        <f>$C$31*'E Balans VL '!I11/100/3.6*1000000</f>
        <v>0.12533954924507995</v>
      </c>
      <c r="F11" s="33">
        <f>$C$31*('E Balans VL '!L11+'E Balans VL '!N11)/100/3.6*1000000</f>
        <v>47.463785469469826</v>
      </c>
      <c r="G11" s="34"/>
      <c r="H11" s="33"/>
      <c r="I11" s="33"/>
      <c r="J11" s="33">
        <f>$C$31*('E Balans VL '!D11+'E Balans VL '!E11)/100/3.6*1000000</f>
        <v>0</v>
      </c>
      <c r="K11" s="33"/>
      <c r="L11" s="33"/>
      <c r="M11" s="33"/>
      <c r="N11" s="33">
        <f>$C$31*'E Balans VL '!Y11/100/3.6*1000000</f>
        <v>0.18048662553747769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34812.923029411766</v>
      </c>
      <c r="C16" s="21">
        <f t="shared" ca="1" si="1"/>
        <v>0</v>
      </c>
      <c r="D16" s="21">
        <f t="shared" ca="1" si="1"/>
        <v>31588.254676000004</v>
      </c>
      <c r="E16" s="21">
        <f t="shared" si="1"/>
        <v>628.79825264564749</v>
      </c>
      <c r="F16" s="21">
        <f t="shared" ca="1" si="1"/>
        <v>5713.6321388570386</v>
      </c>
      <c r="G16" s="21">
        <f t="shared" si="1"/>
        <v>0</v>
      </c>
      <c r="H16" s="21">
        <f t="shared" si="1"/>
        <v>0</v>
      </c>
      <c r="I16" s="21">
        <f t="shared" si="1"/>
        <v>0</v>
      </c>
      <c r="J16" s="21">
        <f t="shared" si="1"/>
        <v>0</v>
      </c>
      <c r="K16" s="21">
        <f t="shared" si="1"/>
        <v>0</v>
      </c>
      <c r="L16" s="21">
        <f t="shared" ca="1" si="1"/>
        <v>0</v>
      </c>
      <c r="M16" s="21">
        <f t="shared" si="1"/>
        <v>0</v>
      </c>
      <c r="N16" s="21">
        <f t="shared" ca="1" si="1"/>
        <v>2731.4913271203554</v>
      </c>
      <c r="O16" s="21">
        <f>O5</f>
        <v>12.506666666666668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0.19969912782539986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6952.110366026307</v>
      </c>
      <c r="C20" s="23">
        <f t="shared" ref="C20:P20" ca="1" si="2">C16*C18</f>
        <v>0</v>
      </c>
      <c r="D20" s="23">
        <f t="shared" ca="1" si="2"/>
        <v>6380.827444552001</v>
      </c>
      <c r="E20" s="23">
        <f t="shared" si="2"/>
        <v>142.737203350562</v>
      </c>
      <c r="F20" s="23">
        <f t="shared" ca="1" si="2"/>
        <v>1525.5397810748293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7750.5693865546218</v>
      </c>
      <c r="C26" s="39">
        <f>IF(ISERROR(B26*3.6/1000000/'E Balans VL '!Z12*100),0,B26*3.6/1000000/'E Balans VL '!Z12*100)</f>
        <v>0.17025021713116845</v>
      </c>
      <c r="D26" s="237" t="s">
        <v>692</v>
      </c>
      <c r="F26" s="6"/>
    </row>
    <row r="27" spans="1:18">
      <c r="A27" s="231" t="s">
        <v>53</v>
      </c>
      <c r="B27" s="33">
        <f>IF(ISERROR(TER_horeca_ele_kWh/1000),0,TER_horeca_ele_kWh/1000)</f>
        <v>11470.216</v>
      </c>
      <c r="C27" s="39">
        <f>IF(ISERROR(B27*3.6/1000000/'E Balans VL '!Z9*100),0,B27*3.6/1000000/'E Balans VL '!Z9*100)</f>
        <v>0.92174619206352515</v>
      </c>
      <c r="D27" s="237" t="s">
        <v>692</v>
      </c>
      <c r="F27" s="6"/>
    </row>
    <row r="28" spans="1:18">
      <c r="A28" s="171" t="s">
        <v>52</v>
      </c>
      <c r="B28" s="33">
        <f>IF(ISERROR(TER_handel_ele_kWh/1000),0,TER_handel_ele_kWh/1000)</f>
        <v>10349.040642857142</v>
      </c>
      <c r="C28" s="39">
        <f>IF(ISERROR(B28*3.6/1000000/'E Balans VL '!Z13*100),0,B28*3.6/1000000/'E Balans VL '!Z13*100)</f>
        <v>0.30601390181768751</v>
      </c>
      <c r="D28" s="237" t="s">
        <v>692</v>
      </c>
      <c r="F28" s="6"/>
    </row>
    <row r="29" spans="1:18">
      <c r="A29" s="231" t="s">
        <v>51</v>
      </c>
      <c r="B29" s="33">
        <f>IF(ISERROR(TER_gezond_ele_kWh/1000),0,TER_gezond_ele_kWh/1000)</f>
        <v>1434.2660000000001</v>
      </c>
      <c r="C29" s="39">
        <f>IF(ISERROR(B29*3.6/1000000/'E Balans VL '!Z10*100),0,B29*3.6/1000000/'E Balans VL '!Z10*100)</f>
        <v>0.16160474871603728</v>
      </c>
      <c r="D29" s="237" t="s">
        <v>692</v>
      </c>
      <c r="F29" s="6"/>
    </row>
    <row r="30" spans="1:18">
      <c r="A30" s="231" t="s">
        <v>50</v>
      </c>
      <c r="B30" s="33">
        <f>IF(ISERROR(TER_ander_ele_kWh/1000),0,TER_ander_ele_kWh/1000)</f>
        <v>3627.5129999999999</v>
      </c>
      <c r="C30" s="39">
        <f>IF(ISERROR(B30*3.6/1000000/'E Balans VL '!Z14*100),0,B30*3.6/1000000/'E Balans VL '!Z14*100)</f>
        <v>0.27434260723662396</v>
      </c>
      <c r="D30" s="237" t="s">
        <v>692</v>
      </c>
      <c r="F30" s="6"/>
    </row>
    <row r="31" spans="1:18">
      <c r="A31" s="231" t="s">
        <v>55</v>
      </c>
      <c r="B31" s="33">
        <f>IF(ISERROR(TER_onderwijs_ele_kWh/1000),0,TER_onderwijs_ele_kWh/1000)</f>
        <v>181.31800000000001</v>
      </c>
      <c r="C31" s="39">
        <f>IF(ISERROR(B31*3.6/1000000/'E Balans VL '!Z11*100),0,B31*3.6/1000000/'E Balans VL '!Z11*100)</f>
        <v>3.7637407683329169E-2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2907.7629999999995</v>
      </c>
      <c r="C5" s="17">
        <f>IF(ISERROR('Eigen informatie GS &amp; warmtenet'!B59),0,'Eigen informatie GS &amp; warmtenet'!B59)</f>
        <v>0</v>
      </c>
      <c r="D5" s="30">
        <f>SUM(D6:D15)</f>
        <v>3349.2468680000002</v>
      </c>
      <c r="E5" s="17">
        <f>SUM(E6:E15)</f>
        <v>497.16469973443509</v>
      </c>
      <c r="F5" s="17">
        <f>SUM(F6:F15)</f>
        <v>3165.9868465643349</v>
      </c>
      <c r="G5" s="18"/>
      <c r="H5" s="17"/>
      <c r="I5" s="17"/>
      <c r="J5" s="17">
        <f>SUM(J6:J15)</f>
        <v>22.446386858638718</v>
      </c>
      <c r="K5" s="17"/>
      <c r="L5" s="17"/>
      <c r="M5" s="17"/>
      <c r="N5" s="17">
        <f>SUM(N6:N15)</f>
        <v>1088.3438170127922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91.304000000000002</v>
      </c>
      <c r="C8" s="33"/>
      <c r="D8" s="37">
        <f>IF( ISERROR(IND_metaal_Gas_kWH/1000),0,IND_metaal_Gas_kWH/1000)*0.902</f>
        <v>108.48354</v>
      </c>
      <c r="E8" s="33">
        <f>C30*'E Balans VL '!I18/100/3.6*1000000</f>
        <v>2.2850195628460654</v>
      </c>
      <c r="F8" s="33">
        <f>C30*'E Balans VL '!L18/100/3.6*1000000+C30*'E Balans VL '!N18/100/3.6*1000000</f>
        <v>28.615127769453011</v>
      </c>
      <c r="G8" s="34"/>
      <c r="H8" s="33"/>
      <c r="I8" s="33"/>
      <c r="J8" s="40">
        <f>C30*'E Balans VL '!D18/100/3.6*1000000+C30*'E Balans VL '!E18/100/3.6*1000000</f>
        <v>0</v>
      </c>
      <c r="K8" s="33"/>
      <c r="L8" s="33"/>
      <c r="M8" s="33"/>
      <c r="N8" s="33">
        <f>C30*'E Balans VL '!Y18/100/3.6*1000000</f>
        <v>2.2937934345425952</v>
      </c>
      <c r="O8" s="33"/>
      <c r="P8" s="33"/>
      <c r="R8" s="32"/>
    </row>
    <row r="9" spans="1:18">
      <c r="A9" s="6" t="s">
        <v>33</v>
      </c>
      <c r="B9" s="37">
        <f t="shared" si="0"/>
        <v>1746.193</v>
      </c>
      <c r="C9" s="33"/>
      <c r="D9" s="37">
        <f>IF( ISERROR(IND_andere_gas_kWh/1000),0,IND_andere_gas_kWh/1000)*0.902</f>
        <v>1859.5433560000001</v>
      </c>
      <c r="E9" s="33">
        <f>C31*'E Balans VL '!I19/100/3.6*1000000</f>
        <v>480.13145479702678</v>
      </c>
      <c r="F9" s="33">
        <f>C31*'E Balans VL '!L19/100/3.6*1000000+C31*'E Balans VL '!N19/100/3.6*1000000</f>
        <v>1376.3039433984845</v>
      </c>
      <c r="G9" s="34"/>
      <c r="H9" s="33"/>
      <c r="I9" s="33"/>
      <c r="J9" s="40">
        <f>C31*'E Balans VL '!D19/100/3.6*1000000+C31*'E Balans VL '!E19/100/3.6*1000000</f>
        <v>0</v>
      </c>
      <c r="K9" s="33"/>
      <c r="L9" s="33"/>
      <c r="M9" s="33"/>
      <c r="N9" s="33">
        <f>C31*'E Balans VL '!Y19/100/3.6*1000000</f>
        <v>565.28876588224045</v>
      </c>
      <c r="O9" s="33"/>
      <c r="P9" s="33"/>
      <c r="R9" s="32"/>
    </row>
    <row r="10" spans="1:18">
      <c r="A10" s="6" t="s">
        <v>41</v>
      </c>
      <c r="B10" s="37">
        <f t="shared" si="0"/>
        <v>919.23</v>
      </c>
      <c r="C10" s="33"/>
      <c r="D10" s="37">
        <f>IF( ISERROR(IND_voed_gas_kWh/1000),0,IND_voed_gas_kWh/1000)*0.902</f>
        <v>979.48089799999991</v>
      </c>
      <c r="E10" s="33">
        <f>C32*'E Balans VL '!I20/100/3.6*1000000</f>
        <v>9.3710434433034315</v>
      </c>
      <c r="F10" s="33">
        <f>C32*'E Balans VL '!L20/100/3.6*1000000+C32*'E Balans VL '!N20/100/3.6*1000000</f>
        <v>1736.4197207713289</v>
      </c>
      <c r="G10" s="34"/>
      <c r="H10" s="33"/>
      <c r="I10" s="33"/>
      <c r="J10" s="40">
        <f>C32*'E Balans VL '!D20/100/3.6*1000000+C32*'E Balans VL '!E20/100/3.6*1000000</f>
        <v>22.000181634177206</v>
      </c>
      <c r="K10" s="33"/>
      <c r="L10" s="33"/>
      <c r="M10" s="33"/>
      <c r="N10" s="33">
        <f>C32*'E Balans VL '!Y20/100/3.6*1000000</f>
        <v>484.54009231233329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7.74</v>
      </c>
      <c r="C12" s="33"/>
      <c r="D12" s="37">
        <f>IF( ISERROR(IND_min_gas_kWh/1000),0,IND_min_gas_kWh/1000)*0.902</f>
        <v>0</v>
      </c>
      <c r="E12" s="33">
        <f>C34*'E Balans VL '!I22/100/3.6*1000000</f>
        <v>2.344095878829958E-2</v>
      </c>
      <c r="F12" s="33">
        <f>C34*'E Balans VL '!L22/100/3.6*1000000+C34*'E Balans VL '!N22/100/3.6*1000000</f>
        <v>0.24188165435745271</v>
      </c>
      <c r="G12" s="34"/>
      <c r="H12" s="33"/>
      <c r="I12" s="33"/>
      <c r="J12" s="40">
        <f>C34*'E Balans VL '!D22/100/3.6*1000000+C34*'E Balans VL '!E22/100/3.6*1000000</f>
        <v>1.1476701808536745E-2</v>
      </c>
      <c r="K12" s="33"/>
      <c r="L12" s="33"/>
      <c r="M12" s="33"/>
      <c r="N12" s="33">
        <f>C34*'E Balans VL '!Y22/100/3.6*1000000</f>
        <v>0</v>
      </c>
      <c r="O12" s="33"/>
      <c r="P12" s="33"/>
      <c r="R12" s="32"/>
    </row>
    <row r="13" spans="1:18">
      <c r="A13" s="6" t="s">
        <v>39</v>
      </c>
      <c r="B13" s="37">
        <f t="shared" si="0"/>
        <v>39.673999999999999</v>
      </c>
      <c r="C13" s="33"/>
      <c r="D13" s="37">
        <f>IF( ISERROR(IND_papier_gas_kWh/1000),0,IND_papier_gas_kWh/1000)*0.902</f>
        <v>53.622095999999999</v>
      </c>
      <c r="E13" s="33">
        <f>C35*'E Balans VL '!I23/100/3.6*1000000</f>
        <v>8.2167531930516555E-2</v>
      </c>
      <c r="F13" s="33">
        <f>C35*'E Balans VL '!L23/100/3.6*1000000+C35*'E Balans VL '!N23/100/3.6*1000000</f>
        <v>0.78682047429581814</v>
      </c>
      <c r="G13" s="34"/>
      <c r="H13" s="33"/>
      <c r="I13" s="33"/>
      <c r="J13" s="40">
        <f>C35*'E Balans VL '!D23/100/3.6*1000000+C35*'E Balans VL '!E23/100/3.6*1000000</f>
        <v>0</v>
      </c>
      <c r="K13" s="33"/>
      <c r="L13" s="33"/>
      <c r="M13" s="33"/>
      <c r="N13" s="33">
        <f>C35*'E Balans VL '!Y23/100/3.6*1000000</f>
        <v>16.752261945987815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103.622</v>
      </c>
      <c r="C15" s="33"/>
      <c r="D15" s="37">
        <f>IF( ISERROR(IND_rest_gas_kWh/1000),0,IND_rest_gas_kWh/1000)*0.902</f>
        <v>348.11697800000002</v>
      </c>
      <c r="E15" s="33">
        <f>C37*'E Balans VL '!I15/100/3.6*1000000</f>
        <v>5.2715734405399859</v>
      </c>
      <c r="F15" s="33">
        <f>C37*'E Balans VL '!L15/100/3.6*1000000+C37*'E Balans VL '!N15/100/3.6*1000000</f>
        <v>23.619352496415377</v>
      </c>
      <c r="G15" s="34"/>
      <c r="H15" s="33"/>
      <c r="I15" s="33"/>
      <c r="J15" s="40">
        <f>C37*'E Balans VL '!D15/100/3.6*1000000+C37*'E Balans VL '!E15/100/3.6*1000000</f>
        <v>0.43472852265297607</v>
      </c>
      <c r="K15" s="33"/>
      <c r="L15" s="33"/>
      <c r="M15" s="33"/>
      <c r="N15" s="33">
        <f>C37*'E Balans VL '!Y15/100/3.6*1000000</f>
        <v>19.468903437688148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2907.7629999999995</v>
      </c>
      <c r="C18" s="21">
        <f>C5+C16</f>
        <v>0</v>
      </c>
      <c r="D18" s="21">
        <f>MAX((D5+D16),0)</f>
        <v>3349.2468680000002</v>
      </c>
      <c r="E18" s="21">
        <f>MAX((E5+E16),0)</f>
        <v>497.16469973443509</v>
      </c>
      <c r="F18" s="21">
        <f>MAX((F5+F16),0)</f>
        <v>3165.9868465643349</v>
      </c>
      <c r="G18" s="21"/>
      <c r="H18" s="21"/>
      <c r="I18" s="21"/>
      <c r="J18" s="21">
        <f>MAX((J5+J16),0)</f>
        <v>22.446386858638718</v>
      </c>
      <c r="K18" s="21"/>
      <c r="L18" s="21">
        <f>MAX((L5+L16),0)</f>
        <v>0</v>
      </c>
      <c r="M18" s="21"/>
      <c r="N18" s="21">
        <f>MAX((N5+N16),0)</f>
        <v>1088.3438170127922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0.19969912782539986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580.67773502296802</v>
      </c>
      <c r="C22" s="23">
        <f ca="1">C18*C20</f>
        <v>0</v>
      </c>
      <c r="D22" s="23">
        <f>D18*D20</f>
        <v>676.54786733600008</v>
      </c>
      <c r="E22" s="23">
        <f>E18*E20</f>
        <v>112.85638683971676</v>
      </c>
      <c r="F22" s="23">
        <f>F18*F20</f>
        <v>845.31848803267746</v>
      </c>
      <c r="G22" s="23"/>
      <c r="H22" s="23"/>
      <c r="I22" s="23"/>
      <c r="J22" s="23">
        <f>J18*J20</f>
        <v>7.9460209479581057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91.304000000000002</v>
      </c>
      <c r="C30" s="39">
        <f>IF(ISERROR(B30*3.6/1000000/'E Balans VL '!Z18*100),0,B30*3.6/1000000/'E Balans VL '!Z18*100)</f>
        <v>1.2779517260585928E-2</v>
      </c>
      <c r="D30" s="237" t="s">
        <v>692</v>
      </c>
    </row>
    <row r="31" spans="1:18">
      <c r="A31" s="6" t="s">
        <v>33</v>
      </c>
      <c r="B31" s="37">
        <f>IF( ISERROR(IND_ander_ele_kWh/1000),0,IND_ander_ele_kWh/1000)</f>
        <v>1746.193</v>
      </c>
      <c r="C31" s="39">
        <f>IF(ISERROR(B31*3.6/1000000/'E Balans VL '!Z19*100),0,B31*3.6/1000000/'E Balans VL '!Z19*100)</f>
        <v>7.6430584337249599E-2</v>
      </c>
      <c r="D31" s="237" t="s">
        <v>692</v>
      </c>
    </row>
    <row r="32" spans="1:18">
      <c r="A32" s="171" t="s">
        <v>41</v>
      </c>
      <c r="B32" s="37">
        <f>IF( ISERROR(IND_voed_ele_kWh/1000),0,IND_voed_ele_kWh/1000)</f>
        <v>919.23</v>
      </c>
      <c r="C32" s="39">
        <f>IF(ISERROR(B32*3.6/1000000/'E Balans VL '!Z20*100),0,B32*3.6/1000000/'E Balans VL '!Z20*100)</f>
        <v>0.22757082187741567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7.74</v>
      </c>
      <c r="C34" s="39">
        <f>IF(ISERROR(B34*3.6/1000000/'E Balans VL '!Z22*100),0,B34*3.6/1000000/'E Balans VL '!Z22*100)</f>
        <v>2.1962962249711567E-4</v>
      </c>
      <c r="D34" s="237" t="s">
        <v>692</v>
      </c>
    </row>
    <row r="35" spans="1:5">
      <c r="A35" s="171" t="s">
        <v>39</v>
      </c>
      <c r="B35" s="37">
        <f>IF( ISERROR(IND_papier_ele_kWh/1000),0,IND_papier_ele_kWh/1000)</f>
        <v>39.673999999999999</v>
      </c>
      <c r="C35" s="39">
        <f>IF(ISERROR(B35*3.6/1000000/'E Balans VL '!Z22*100),0,B35*3.6/1000000/'E Balans VL '!Z22*100)</f>
        <v>1.1257862587791432E-3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103.622</v>
      </c>
      <c r="C37" s="39">
        <f>IF(ISERROR(B37*3.6/1000000/'E Balans VL '!Z15*100),0,B37*3.6/1000000/'E Balans VL '!Z15*100)</f>
        <v>7.6833938916287081E-4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2765.511</v>
      </c>
      <c r="C5" s="17">
        <f>'Eigen informatie GS &amp; warmtenet'!B60</f>
        <v>0</v>
      </c>
      <c r="D5" s="30">
        <f>IF(ISERROR(SUM(LB_lb_gas_kWh,LB_rest_gas_kWh,onbekend_gas_kWh)/1000),0,SUM(LB_lb_gas_kWh,LB_rest_gas_kWh,onbekend_gas_kWh)/1000)*0.902</f>
        <v>143.26826800000001</v>
      </c>
      <c r="E5" s="17">
        <f>B17*'E Balans VL '!I25/3.6*1000000/100</f>
        <v>25.615321184480194</v>
      </c>
      <c r="F5" s="17">
        <f>B17*('E Balans VL '!L25/3.6*1000000+'E Balans VL '!N25/3.6*1000000)/100</f>
        <v>7016.6282363048576</v>
      </c>
      <c r="G5" s="18"/>
      <c r="H5" s="17"/>
      <c r="I5" s="17"/>
      <c r="J5" s="17">
        <f>('E Balans VL '!D25+'E Balans VL '!E25)/3.6*1000000*landbouw!B17/100</f>
        <v>423.98369949283716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2765.511</v>
      </c>
      <c r="C8" s="21">
        <f>C5+C6</f>
        <v>0</v>
      </c>
      <c r="D8" s="21">
        <f>MAX((D5+D6),0)</f>
        <v>143.26826800000001</v>
      </c>
      <c r="E8" s="21">
        <f>MAX((E5+E6),0)</f>
        <v>25.615321184480194</v>
      </c>
      <c r="F8" s="21">
        <f>MAX((F5+F6),0)</f>
        <v>7016.6282363048576</v>
      </c>
      <c r="G8" s="21"/>
      <c r="H8" s="21"/>
      <c r="I8" s="21"/>
      <c r="J8" s="21">
        <f>MAX((J5+J6),0)</f>
        <v>423.98369949283716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0.19969912782539986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552.2701346915494</v>
      </c>
      <c r="C12" s="23">
        <f ca="1">C8*C10</f>
        <v>0</v>
      </c>
      <c r="D12" s="23">
        <f>D8*D10</f>
        <v>28.940190136000002</v>
      </c>
      <c r="E12" s="23">
        <f>E8*E10</f>
        <v>5.8146779088770044</v>
      </c>
      <c r="F12" s="23">
        <f>F8*F10</f>
        <v>1873.4397390933971</v>
      </c>
      <c r="G12" s="23"/>
      <c r="H12" s="23"/>
      <c r="I12" s="23"/>
      <c r="J12" s="23">
        <f>J8*J10</f>
        <v>150.09022962046436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0.39319702523110878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721.26794837664011</v>
      </c>
      <c r="C26" s="247">
        <f>B26*'GWP N2O_CH4'!B5</f>
        <v>15146.626915909443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306.84660544738364</v>
      </c>
      <c r="C27" s="247">
        <f>B27*'GWP N2O_CH4'!B5</f>
        <v>6443.7787143950563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9.8916695533930721</v>
      </c>
      <c r="C28" s="247">
        <f>B28*'GWP N2O_CH4'!B4</f>
        <v>3066.4175615518525</v>
      </c>
      <c r="D28" s="50"/>
    </row>
    <row r="29" spans="1:4">
      <c r="A29" s="41" t="s">
        <v>277</v>
      </c>
      <c r="B29" s="247">
        <f>B34*'ha_N2O bodem landbouw'!B4</f>
        <v>38.268989500214197</v>
      </c>
      <c r="C29" s="247">
        <f>B29*'GWP N2O_CH4'!B4</f>
        <v>11863.3867450664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8.5830601482326119E-3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7.4493853105558194E-5</v>
      </c>
      <c r="C5" s="464" t="s">
        <v>211</v>
      </c>
      <c r="D5" s="449">
        <f>SUM(D6:D11)</f>
        <v>1.8129666241618685E-4</v>
      </c>
      <c r="E5" s="449">
        <f>SUM(E6:E11)</f>
        <v>1.3138722478048702E-3</v>
      </c>
      <c r="F5" s="462" t="s">
        <v>211</v>
      </c>
      <c r="G5" s="449">
        <f>SUM(G6:G11)</f>
        <v>0.51214409263173055</v>
      </c>
      <c r="H5" s="449">
        <f>SUM(H6:H11)</f>
        <v>7.04580107636332E-2</v>
      </c>
      <c r="I5" s="464" t="s">
        <v>211</v>
      </c>
      <c r="J5" s="464" t="s">
        <v>211</v>
      </c>
      <c r="K5" s="464" t="s">
        <v>211</v>
      </c>
      <c r="L5" s="464" t="s">
        <v>211</v>
      </c>
      <c r="M5" s="449">
        <f>SUM(M6:M11)</f>
        <v>3.1794120898382655E-2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3.5989118630425799E-5</v>
      </c>
      <c r="C6" s="450"/>
      <c r="D6" s="963">
        <f>vkm_2011_GW_PW*SUMIFS(TableVerdeelsleutelVkm[CNG],TableVerdeelsleutelVkm[Voertuigtype],"Lichte voertuigen")*SUMIFS(TableECFTransport[EnergieConsumptieFactor (PJ per km)],TableECFTransport[Index],CONCATENATE($A6,"_CNG_CNG"))</f>
        <v>8.324679363000161E-5</v>
      </c>
      <c r="E6" s="963">
        <f>vkm_2011_GW_PW*SUMIFS(TableVerdeelsleutelVkm[LPG],TableVerdeelsleutelVkm[Voertuigtype],"Lichte voertuigen")*SUMIFS(TableECFTransport[EnergieConsumptieFactor (PJ per km)],TableECFTransport[Index],CONCATENATE($A6,"_LPG_LPG"))</f>
        <v>5.4205284878803195E-4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0.1126074690824319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3.1741718431461396E-2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7.4909745356271165E-3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7.4862735808437095E-2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2.5601696075871294E-5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4.3312336077618212E-3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2.7997789423114226E-6</v>
      </c>
      <c r="C8" s="450"/>
      <c r="D8" s="452">
        <f>vkm_2011_NGW_PW*SUMIFS(TableVerdeelsleutelVkm[CNG],TableVerdeelsleutelVkm[Voertuigtype],"Lichte voertuigen")*SUMIFS(TableECFTransport[EnergieConsumptieFactor (PJ per km)],TableECFTransport[Index],CONCATENATE($A8,"_CNG_CNG"))</f>
        <v>1.1454499751252145E-5</v>
      </c>
      <c r="E8" s="452">
        <f>vkm_2011_NGW_PW*SUMIFS(TableVerdeelsleutelVkm[LPG],TableVerdeelsleutelVkm[Voertuigtype],"Lichte voertuigen")*SUMIFS(TableECFTransport[EnergieConsumptieFactor (PJ per km)],TableECFTransport[Index],CONCATENATE($A8,"_LPG_LPG"))</f>
        <v>6.8833997093765243E-5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1.3367461114026034E-2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4.2231239072246388E-3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9.0325298151341623E-4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2.0443201592029933E-3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6.615181898770779E-7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1.1827435134646788E-4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3.5704955532820968E-5</v>
      </c>
      <c r="C10" s="450"/>
      <c r="D10" s="452">
        <f>vkm_2011_SW_PW*SUMIFS(TableVerdeelsleutelVkm[CNG],TableVerdeelsleutelVkm[Voertuigtype],"Lichte voertuigen")*SUMIFS(TableECFTransport[EnergieConsumptieFactor (PJ per km)],TableECFTransport[Index],CONCATENATE($A10,"_CNG_CNG"))</f>
        <v>8.6595369034933085E-5</v>
      </c>
      <c r="E10" s="452">
        <f>vkm_2011_SW_PW*SUMIFS(TableVerdeelsleutelVkm[LPG],TableVerdeelsleutelVkm[Voertuigtype],"Lichte voertuigen")*SUMIFS(TableECFTransport[EnergieConsumptieFactor (PJ per km)],TableECFTransport[Index],CONCATENATE($A10,"_LPG_LPG"))</f>
        <v>7.0298540192307299E-4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0.13147845461735813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3.4401380865689501E-2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8.6644479609919584E-3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0.17778365185027439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6.5524344991913202E-5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1.028593746114188E-2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20.692736973766166</v>
      </c>
      <c r="C14" s="21"/>
      <c r="D14" s="21">
        <f t="shared" ref="D14:M14" si="0">((D5)*10^9/3600)+D12</f>
        <v>50.360184004496347</v>
      </c>
      <c r="E14" s="21">
        <f t="shared" si="0"/>
        <v>364.96451327913059</v>
      </c>
      <c r="F14" s="21"/>
      <c r="G14" s="21">
        <f t="shared" si="0"/>
        <v>142262.24795325848</v>
      </c>
      <c r="H14" s="21">
        <f t="shared" si="0"/>
        <v>19571.66965656478</v>
      </c>
      <c r="I14" s="21"/>
      <c r="J14" s="21"/>
      <c r="K14" s="21"/>
      <c r="L14" s="21"/>
      <c r="M14" s="21">
        <f t="shared" si="0"/>
        <v>8831.7002495507386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0.19969912782539986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4.1323215259815074</v>
      </c>
      <c r="C18" s="23"/>
      <c r="D18" s="23">
        <f t="shared" ref="D18:M18" si="1">D14*D16</f>
        <v>10.172757168908262</v>
      </c>
      <c r="E18" s="23">
        <f t="shared" si="1"/>
        <v>82.846944514362647</v>
      </c>
      <c r="F18" s="23"/>
      <c r="G18" s="23">
        <f t="shared" si="1"/>
        <v>37984.02020352002</v>
      </c>
      <c r="H18" s="23">
        <f t="shared" si="1"/>
        <v>4873.3457444846299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5.9558727487058517E-3</v>
      </c>
      <c r="C50" s="321">
        <f t="shared" ref="C50:P50" si="2">SUM(C51:C52)</f>
        <v>0</v>
      </c>
      <c r="D50" s="321">
        <f t="shared" si="2"/>
        <v>0</v>
      </c>
      <c r="E50" s="321">
        <f t="shared" si="2"/>
        <v>0</v>
      </c>
      <c r="F50" s="321">
        <f t="shared" si="2"/>
        <v>0</v>
      </c>
      <c r="G50" s="321">
        <f t="shared" si="2"/>
        <v>5.3880930765951365E-3</v>
      </c>
      <c r="H50" s="321">
        <f t="shared" si="2"/>
        <v>0</v>
      </c>
      <c r="I50" s="321">
        <f t="shared" si="2"/>
        <v>0</v>
      </c>
      <c r="J50" s="321">
        <f t="shared" si="2"/>
        <v>0</v>
      </c>
      <c r="K50" s="321">
        <f t="shared" si="2"/>
        <v>0</v>
      </c>
      <c r="L50" s="321">
        <f t="shared" si="2"/>
        <v>0</v>
      </c>
      <c r="M50" s="321">
        <f t="shared" si="2"/>
        <v>3.0726724101840663E-4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5.3880930765951365E-3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3.0726724101840663E-4</v>
      </c>
      <c r="N51" s="323"/>
      <c r="O51" s="323"/>
      <c r="P51" s="326"/>
    </row>
    <row r="52" spans="1:18">
      <c r="A52" s="4" t="s">
        <v>330</v>
      </c>
      <c r="B52" s="964">
        <f>vkm_2011_tram*SUMIFS(TableECFTransport[EnergieConsumptieFactor (PJ per km)],TableECFTransport[Index],"Tram_gemiddeld_Electric_Electric")</f>
        <v>5.9558727487058517E-3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1654.4090968627365</v>
      </c>
      <c r="C54" s="21">
        <f t="shared" ref="C54:P54" si="3">(C50)*10^9/3600</f>
        <v>0</v>
      </c>
      <c r="D54" s="21">
        <f t="shared" si="3"/>
        <v>0</v>
      </c>
      <c r="E54" s="21">
        <f t="shared" si="3"/>
        <v>0</v>
      </c>
      <c r="F54" s="21">
        <f t="shared" si="3"/>
        <v>0</v>
      </c>
      <c r="G54" s="21">
        <f t="shared" si="3"/>
        <v>1496.692521276427</v>
      </c>
      <c r="H54" s="21">
        <f t="shared" si="3"/>
        <v>0</v>
      </c>
      <c r="I54" s="21">
        <f t="shared" si="3"/>
        <v>0</v>
      </c>
      <c r="J54" s="21">
        <f t="shared" si="3"/>
        <v>0</v>
      </c>
      <c r="K54" s="21">
        <f t="shared" si="3"/>
        <v>0</v>
      </c>
      <c r="L54" s="21">
        <f t="shared" si="3"/>
        <v>0</v>
      </c>
      <c r="M54" s="21">
        <f t="shared" si="3"/>
        <v>85.352011394001849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0.19969912782539986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330.38405370989597</v>
      </c>
      <c r="C58" s="23">
        <f t="shared" ref="C58:P58" ca="1" si="4">C54*C56</f>
        <v>0</v>
      </c>
      <c r="D58" s="23">
        <f t="shared" si="4"/>
        <v>0</v>
      </c>
      <c r="E58" s="23">
        <f t="shared" si="4"/>
        <v>0</v>
      </c>
      <c r="F58" s="23">
        <f t="shared" si="4"/>
        <v>0</v>
      </c>
      <c r="G58" s="23">
        <f t="shared" si="4"/>
        <v>399.61690318080605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4134.5798820050904</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5198.1788829572288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9332.7587649623201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36824.062029411769</v>
      </c>
      <c r="D10" s="719">
        <f ca="1">tertiair!C16</f>
        <v>0</v>
      </c>
      <c r="E10" s="719">
        <f ca="1">tertiair!D16</f>
        <v>31588.254676000004</v>
      </c>
      <c r="F10" s="719">
        <f>tertiair!E16</f>
        <v>628.79825264564749</v>
      </c>
      <c r="G10" s="719">
        <f ca="1">tertiair!F16</f>
        <v>5713.6321388570386</v>
      </c>
      <c r="H10" s="719">
        <f>tertiair!G16</f>
        <v>0</v>
      </c>
      <c r="I10" s="719">
        <f>tertiair!H16</f>
        <v>0</v>
      </c>
      <c r="J10" s="719">
        <f>tertiair!I16</f>
        <v>0</v>
      </c>
      <c r="K10" s="719">
        <f>tertiair!J16</f>
        <v>0</v>
      </c>
      <c r="L10" s="719">
        <f>tertiair!K16</f>
        <v>0</v>
      </c>
      <c r="M10" s="719">
        <f ca="1">tertiair!L16</f>
        <v>0</v>
      </c>
      <c r="N10" s="719">
        <f>tertiair!M16</f>
        <v>0</v>
      </c>
      <c r="O10" s="719">
        <f ca="1">tertiair!N16</f>
        <v>2731.4913271203554</v>
      </c>
      <c r="P10" s="719">
        <f>tertiair!O16</f>
        <v>12.506666666666668</v>
      </c>
      <c r="Q10" s="720">
        <f>tertiair!P16</f>
        <v>19.066666666666666</v>
      </c>
      <c r="R10" s="722">
        <f ca="1">SUM(C10:Q10)</f>
        <v>77517.811757368137</v>
      </c>
      <c r="S10" s="67"/>
    </row>
    <row r="11" spans="1:19" s="475" customFormat="1">
      <c r="A11" s="871" t="s">
        <v>225</v>
      </c>
      <c r="B11" s="876"/>
      <c r="C11" s="719">
        <f>huishoudens!B8</f>
        <v>52656.446426105496</v>
      </c>
      <c r="D11" s="719">
        <f>huishoudens!C8</f>
        <v>0</v>
      </c>
      <c r="E11" s="719">
        <f>huishoudens!D8</f>
        <v>78702.336790000001</v>
      </c>
      <c r="F11" s="719">
        <f>huishoudens!E8</f>
        <v>946.93274450280694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2569.717758731816</v>
      </c>
      <c r="P11" s="719">
        <f>huishoudens!O8</f>
        <v>182.91000000000003</v>
      </c>
      <c r="Q11" s="720">
        <f>huishoudens!P8</f>
        <v>305.06666666666666</v>
      </c>
      <c r="R11" s="722">
        <f>SUM(C11:Q11)</f>
        <v>135363.41038600681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2907.7629999999995</v>
      </c>
      <c r="D13" s="719">
        <f>industrie!C18</f>
        <v>0</v>
      </c>
      <c r="E13" s="719">
        <f>industrie!D18</f>
        <v>3349.2468680000002</v>
      </c>
      <c r="F13" s="719">
        <f>industrie!E18</f>
        <v>497.16469973443509</v>
      </c>
      <c r="G13" s="719">
        <f>industrie!F18</f>
        <v>3165.9868465643349</v>
      </c>
      <c r="H13" s="719">
        <f>industrie!G18</f>
        <v>0</v>
      </c>
      <c r="I13" s="719">
        <f>industrie!H18</f>
        <v>0</v>
      </c>
      <c r="J13" s="719">
        <f>industrie!I18</f>
        <v>0</v>
      </c>
      <c r="K13" s="719">
        <f>industrie!J18</f>
        <v>22.446386858638718</v>
      </c>
      <c r="L13" s="719">
        <f>industrie!K18</f>
        <v>0</v>
      </c>
      <c r="M13" s="719">
        <f>industrie!L18</f>
        <v>0</v>
      </c>
      <c r="N13" s="719">
        <f>industrie!M18</f>
        <v>0</v>
      </c>
      <c r="O13" s="719">
        <f>industrie!N18</f>
        <v>1088.3438170127922</v>
      </c>
      <c r="P13" s="719">
        <f>industrie!O18</f>
        <v>0</v>
      </c>
      <c r="Q13" s="720">
        <f>industrie!P18</f>
        <v>0</v>
      </c>
      <c r="R13" s="722">
        <f>SUM(C13:Q13)</f>
        <v>11030.9516181702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92388.271455517272</v>
      </c>
      <c r="D15" s="724">
        <f t="shared" ref="D15:Q15" ca="1" si="0">SUM(D9:D14)</f>
        <v>0</v>
      </c>
      <c r="E15" s="724">
        <f t="shared" ca="1" si="0"/>
        <v>113639.83833400001</v>
      </c>
      <c r="F15" s="724">
        <f t="shared" si="0"/>
        <v>2072.8956968828898</v>
      </c>
      <c r="G15" s="724">
        <f t="shared" ca="1" si="0"/>
        <v>8879.6189854213735</v>
      </c>
      <c r="H15" s="724">
        <f t="shared" si="0"/>
        <v>0</v>
      </c>
      <c r="I15" s="724">
        <f t="shared" si="0"/>
        <v>0</v>
      </c>
      <c r="J15" s="724">
        <f t="shared" si="0"/>
        <v>0</v>
      </c>
      <c r="K15" s="724">
        <f t="shared" si="0"/>
        <v>22.446386858638718</v>
      </c>
      <c r="L15" s="724">
        <f t="shared" si="0"/>
        <v>0</v>
      </c>
      <c r="M15" s="724">
        <f t="shared" ca="1" si="0"/>
        <v>0</v>
      </c>
      <c r="N15" s="724">
        <f t="shared" si="0"/>
        <v>0</v>
      </c>
      <c r="O15" s="724">
        <f t="shared" ca="1" si="0"/>
        <v>6389.5529028649635</v>
      </c>
      <c r="P15" s="724">
        <f t="shared" si="0"/>
        <v>195.41666666666669</v>
      </c>
      <c r="Q15" s="725">
        <f t="shared" si="0"/>
        <v>324.13333333333333</v>
      </c>
      <c r="R15" s="726">
        <f ca="1">SUM(R9:R14)</f>
        <v>223912.17376154516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1654.4090968627365</v>
      </c>
      <c r="D18" s="719">
        <f>transport!C54</f>
        <v>0</v>
      </c>
      <c r="E18" s="719">
        <f>transport!D54</f>
        <v>0</v>
      </c>
      <c r="F18" s="719">
        <f>transport!E54</f>
        <v>0</v>
      </c>
      <c r="G18" s="719">
        <f>transport!F54</f>
        <v>0</v>
      </c>
      <c r="H18" s="719">
        <f>transport!G54</f>
        <v>1496.692521276427</v>
      </c>
      <c r="I18" s="719">
        <f>transport!H54</f>
        <v>0</v>
      </c>
      <c r="J18" s="719">
        <f>transport!I54</f>
        <v>0</v>
      </c>
      <c r="K18" s="719">
        <f>transport!J54</f>
        <v>0</v>
      </c>
      <c r="L18" s="719">
        <f>transport!K54</f>
        <v>0</v>
      </c>
      <c r="M18" s="719">
        <f>transport!L54</f>
        <v>0</v>
      </c>
      <c r="N18" s="719">
        <f>transport!M54</f>
        <v>85.352011394001849</v>
      </c>
      <c r="O18" s="719">
        <f>transport!N54</f>
        <v>0</v>
      </c>
      <c r="P18" s="719">
        <f>transport!O54</f>
        <v>0</v>
      </c>
      <c r="Q18" s="720">
        <f>transport!P54</f>
        <v>0</v>
      </c>
      <c r="R18" s="722">
        <f>SUM(C18:Q18)</f>
        <v>3236.453629533165</v>
      </c>
      <c r="S18" s="67"/>
    </row>
    <row r="19" spans="1:19" s="475" customFormat="1" ht="15" thickBot="1">
      <c r="A19" s="871" t="s">
        <v>307</v>
      </c>
      <c r="B19" s="876"/>
      <c r="C19" s="728">
        <f>transport!B14</f>
        <v>20.692736973766166</v>
      </c>
      <c r="D19" s="728">
        <f>transport!C14</f>
        <v>0</v>
      </c>
      <c r="E19" s="728">
        <f>transport!D14</f>
        <v>50.360184004496347</v>
      </c>
      <c r="F19" s="728">
        <f>transport!E14</f>
        <v>364.96451327913059</v>
      </c>
      <c r="G19" s="728">
        <f>transport!F14</f>
        <v>0</v>
      </c>
      <c r="H19" s="728">
        <f>transport!G14</f>
        <v>142262.24795325848</v>
      </c>
      <c r="I19" s="728">
        <f>transport!H14</f>
        <v>19571.66965656478</v>
      </c>
      <c r="J19" s="728">
        <f>transport!I14</f>
        <v>0</v>
      </c>
      <c r="K19" s="728">
        <f>transport!J14</f>
        <v>0</v>
      </c>
      <c r="L19" s="728">
        <f>transport!K14</f>
        <v>0</v>
      </c>
      <c r="M19" s="728">
        <f>transport!L14</f>
        <v>0</v>
      </c>
      <c r="N19" s="728">
        <f>transport!M14</f>
        <v>8831.7002495507386</v>
      </c>
      <c r="O19" s="728">
        <f>transport!N14</f>
        <v>0</v>
      </c>
      <c r="P19" s="728">
        <f>transport!O14</f>
        <v>0</v>
      </c>
      <c r="Q19" s="729">
        <f>transport!P14</f>
        <v>0</v>
      </c>
      <c r="R19" s="730">
        <f>SUM(C19:Q19)</f>
        <v>171101.63529363141</v>
      </c>
      <c r="S19" s="67"/>
    </row>
    <row r="20" spans="1:19" s="475" customFormat="1" ht="15.75" thickBot="1">
      <c r="A20" s="731" t="s">
        <v>230</v>
      </c>
      <c r="B20" s="879"/>
      <c r="C20" s="874">
        <f>SUM(C17:C19)</f>
        <v>1675.1018338365027</v>
      </c>
      <c r="D20" s="732">
        <f t="shared" ref="D20:R20" si="1">SUM(D17:D19)</f>
        <v>0</v>
      </c>
      <c r="E20" s="732">
        <f t="shared" si="1"/>
        <v>50.360184004496347</v>
      </c>
      <c r="F20" s="732">
        <f t="shared" si="1"/>
        <v>364.96451327913059</v>
      </c>
      <c r="G20" s="732">
        <f t="shared" si="1"/>
        <v>0</v>
      </c>
      <c r="H20" s="732">
        <f t="shared" si="1"/>
        <v>143758.9404745349</v>
      </c>
      <c r="I20" s="732">
        <f t="shared" si="1"/>
        <v>19571.66965656478</v>
      </c>
      <c r="J20" s="732">
        <f t="shared" si="1"/>
        <v>0</v>
      </c>
      <c r="K20" s="732">
        <f t="shared" si="1"/>
        <v>0</v>
      </c>
      <c r="L20" s="732">
        <f t="shared" si="1"/>
        <v>0</v>
      </c>
      <c r="M20" s="732">
        <f t="shared" si="1"/>
        <v>0</v>
      </c>
      <c r="N20" s="732">
        <f t="shared" si="1"/>
        <v>8917.0522609447398</v>
      </c>
      <c r="O20" s="732">
        <f t="shared" si="1"/>
        <v>0</v>
      </c>
      <c r="P20" s="732">
        <f t="shared" si="1"/>
        <v>0</v>
      </c>
      <c r="Q20" s="733">
        <f t="shared" si="1"/>
        <v>0</v>
      </c>
      <c r="R20" s="734">
        <f t="shared" si="1"/>
        <v>174338.08892316459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2765.511</v>
      </c>
      <c r="D22" s="728">
        <f>+landbouw!C8</f>
        <v>0</v>
      </c>
      <c r="E22" s="728">
        <f>+landbouw!D8</f>
        <v>143.26826800000001</v>
      </c>
      <c r="F22" s="728">
        <f>+landbouw!E8</f>
        <v>25.615321184480194</v>
      </c>
      <c r="G22" s="728">
        <f>+landbouw!F8</f>
        <v>7016.6282363048576</v>
      </c>
      <c r="H22" s="728">
        <f>+landbouw!G8</f>
        <v>0</v>
      </c>
      <c r="I22" s="728">
        <f>+landbouw!H8</f>
        <v>0</v>
      </c>
      <c r="J22" s="728">
        <f>+landbouw!I8</f>
        <v>0</v>
      </c>
      <c r="K22" s="728">
        <f>+landbouw!J8</f>
        <v>423.98369949283716</v>
      </c>
      <c r="L22" s="728">
        <f>+landbouw!K8</f>
        <v>0</v>
      </c>
      <c r="M22" s="728">
        <f>+landbouw!L8</f>
        <v>0</v>
      </c>
      <c r="N22" s="728">
        <f>+landbouw!M8</f>
        <v>0</v>
      </c>
      <c r="O22" s="728">
        <f>+landbouw!N8</f>
        <v>0</v>
      </c>
      <c r="P22" s="728">
        <f>+landbouw!O8</f>
        <v>0</v>
      </c>
      <c r="Q22" s="729">
        <f>+landbouw!P8</f>
        <v>0</v>
      </c>
      <c r="R22" s="730">
        <f>SUM(C22:Q22)</f>
        <v>10375.006524982175</v>
      </c>
      <c r="S22" s="67"/>
    </row>
    <row r="23" spans="1:19" s="475" customFormat="1" ht="17.25" thickTop="1" thickBot="1">
      <c r="A23" s="735" t="s">
        <v>116</v>
      </c>
      <c r="B23" s="865"/>
      <c r="C23" s="736">
        <f ca="1">C20+C15+C22</f>
        <v>96828.884289353766</v>
      </c>
      <c r="D23" s="736">
        <f t="shared" ref="D23:Q23" ca="1" si="2">D20+D15+D22</f>
        <v>0</v>
      </c>
      <c r="E23" s="736">
        <f t="shared" ca="1" si="2"/>
        <v>113833.46678600452</v>
      </c>
      <c r="F23" s="736">
        <f t="shared" si="2"/>
        <v>2463.4755313465007</v>
      </c>
      <c r="G23" s="736">
        <f t="shared" ca="1" si="2"/>
        <v>15896.247221726231</v>
      </c>
      <c r="H23" s="736">
        <f t="shared" si="2"/>
        <v>143758.9404745349</v>
      </c>
      <c r="I23" s="736">
        <f t="shared" si="2"/>
        <v>19571.66965656478</v>
      </c>
      <c r="J23" s="736">
        <f t="shared" si="2"/>
        <v>0</v>
      </c>
      <c r="K23" s="736">
        <f t="shared" si="2"/>
        <v>446.43008635147589</v>
      </c>
      <c r="L23" s="736">
        <f t="shared" si="2"/>
        <v>0</v>
      </c>
      <c r="M23" s="736">
        <f t="shared" ca="1" si="2"/>
        <v>0</v>
      </c>
      <c r="N23" s="736">
        <f t="shared" si="2"/>
        <v>8917.0522609447398</v>
      </c>
      <c r="O23" s="736">
        <f t="shared" ca="1" si="2"/>
        <v>6389.5529028649635</v>
      </c>
      <c r="P23" s="736">
        <f t="shared" si="2"/>
        <v>195.41666666666669</v>
      </c>
      <c r="Q23" s="737">
        <f t="shared" si="2"/>
        <v>324.13333333333333</v>
      </c>
      <c r="R23" s="738">
        <f ca="1">R20+R15+R22</f>
        <v>408625.26920969191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7353.7330702619538</v>
      </c>
      <c r="D36" s="719">
        <f ca="1">tertiair!C20</f>
        <v>0</v>
      </c>
      <c r="E36" s="719">
        <f ca="1">tertiair!D20</f>
        <v>6380.827444552001</v>
      </c>
      <c r="F36" s="719">
        <f>tertiair!E20</f>
        <v>142.737203350562</v>
      </c>
      <c r="G36" s="719">
        <f ca="1">tertiair!F20</f>
        <v>1525.5397810748293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15402.837499239346</v>
      </c>
    </row>
    <row r="37" spans="1:18">
      <c r="A37" s="886" t="s">
        <v>225</v>
      </c>
      <c r="B37" s="893"/>
      <c r="C37" s="719">
        <f ca="1">huishoudens!B12</f>
        <v>10515.446425678161</v>
      </c>
      <c r="D37" s="719">
        <f ca="1">huishoudens!C12</f>
        <v>0</v>
      </c>
      <c r="E37" s="719">
        <f>huishoudens!D12</f>
        <v>15897.872031580002</v>
      </c>
      <c r="F37" s="719">
        <f>huishoudens!E12</f>
        <v>214.95373300213717</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26628.272190260301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580.67773502296802</v>
      </c>
      <c r="D39" s="719">
        <f ca="1">industrie!C22</f>
        <v>0</v>
      </c>
      <c r="E39" s="719">
        <f>industrie!D22</f>
        <v>676.54786733600008</v>
      </c>
      <c r="F39" s="719">
        <f>industrie!E22</f>
        <v>112.85638683971676</v>
      </c>
      <c r="G39" s="719">
        <f>industrie!F22</f>
        <v>845.31848803267746</v>
      </c>
      <c r="H39" s="719">
        <f>industrie!G22</f>
        <v>0</v>
      </c>
      <c r="I39" s="719">
        <f>industrie!H22</f>
        <v>0</v>
      </c>
      <c r="J39" s="719">
        <f>industrie!I22</f>
        <v>0</v>
      </c>
      <c r="K39" s="719">
        <f>industrie!J22</f>
        <v>7.9460209479581057</v>
      </c>
      <c r="L39" s="719">
        <f>industrie!K22</f>
        <v>0</v>
      </c>
      <c r="M39" s="719">
        <f>industrie!L22</f>
        <v>0</v>
      </c>
      <c r="N39" s="719">
        <f>industrie!M22</f>
        <v>0</v>
      </c>
      <c r="O39" s="719">
        <f>industrie!N22</f>
        <v>0</v>
      </c>
      <c r="P39" s="719">
        <f>industrie!O22</f>
        <v>0</v>
      </c>
      <c r="Q39" s="829">
        <f>industrie!P22</f>
        <v>0</v>
      </c>
      <c r="R39" s="919">
        <f ca="1">SUM(C39:Q39)</f>
        <v>2223.3464981793204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18449.857230963084</v>
      </c>
      <c r="D41" s="764">
        <f t="shared" ref="D41:R41" ca="1" si="4">SUM(D35:D40)</f>
        <v>0</v>
      </c>
      <c r="E41" s="764">
        <f t="shared" ca="1" si="4"/>
        <v>22955.247343468003</v>
      </c>
      <c r="F41" s="764">
        <f t="shared" si="4"/>
        <v>470.54732319241594</v>
      </c>
      <c r="G41" s="764">
        <f t="shared" ca="1" si="4"/>
        <v>2370.8582691075067</v>
      </c>
      <c r="H41" s="764">
        <f t="shared" si="4"/>
        <v>0</v>
      </c>
      <c r="I41" s="764">
        <f t="shared" si="4"/>
        <v>0</v>
      </c>
      <c r="J41" s="764">
        <f t="shared" si="4"/>
        <v>0</v>
      </c>
      <c r="K41" s="764">
        <f t="shared" si="4"/>
        <v>7.9460209479581057</v>
      </c>
      <c r="L41" s="764">
        <f t="shared" si="4"/>
        <v>0</v>
      </c>
      <c r="M41" s="764">
        <f t="shared" ca="1" si="4"/>
        <v>0</v>
      </c>
      <c r="N41" s="764">
        <f t="shared" si="4"/>
        <v>0</v>
      </c>
      <c r="O41" s="764">
        <f t="shared" ca="1" si="4"/>
        <v>0</v>
      </c>
      <c r="P41" s="764">
        <f t="shared" si="4"/>
        <v>0</v>
      </c>
      <c r="Q41" s="765">
        <f t="shared" si="4"/>
        <v>0</v>
      </c>
      <c r="R41" s="766">
        <f t="shared" ca="1" si="4"/>
        <v>44254.456187678967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330.38405370989597</v>
      </c>
      <c r="D44" s="719">
        <f ca="1">transport!C58</f>
        <v>0</v>
      </c>
      <c r="E44" s="719">
        <f>transport!D58</f>
        <v>0</v>
      </c>
      <c r="F44" s="719">
        <f>transport!E58</f>
        <v>0</v>
      </c>
      <c r="G44" s="719">
        <f>transport!F58</f>
        <v>0</v>
      </c>
      <c r="H44" s="719">
        <f>transport!G58</f>
        <v>399.61690318080605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730.00095689070201</v>
      </c>
    </row>
    <row r="45" spans="1:18" ht="15" thickBot="1">
      <c r="A45" s="889" t="s">
        <v>307</v>
      </c>
      <c r="B45" s="899"/>
      <c r="C45" s="728">
        <f ca="1">transport!B18</f>
        <v>4.1323215259815074</v>
      </c>
      <c r="D45" s="728">
        <f>transport!C18</f>
        <v>0</v>
      </c>
      <c r="E45" s="728">
        <f>transport!D18</f>
        <v>10.172757168908262</v>
      </c>
      <c r="F45" s="728">
        <f>transport!E18</f>
        <v>82.846944514362647</v>
      </c>
      <c r="G45" s="728">
        <f>transport!F18</f>
        <v>0</v>
      </c>
      <c r="H45" s="728">
        <f>transport!G18</f>
        <v>37984.02020352002</v>
      </c>
      <c r="I45" s="728">
        <f>transport!H18</f>
        <v>4873.3457444846299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42954.5179712139</v>
      </c>
    </row>
    <row r="46" spans="1:18" ht="15.75" thickBot="1">
      <c r="A46" s="887" t="s">
        <v>230</v>
      </c>
      <c r="B46" s="900"/>
      <c r="C46" s="764">
        <f t="shared" ref="C46:R46" ca="1" si="5">SUM(C43:C45)</f>
        <v>334.51637523587749</v>
      </c>
      <c r="D46" s="764">
        <f t="shared" ca="1" si="5"/>
        <v>0</v>
      </c>
      <c r="E46" s="764">
        <f t="shared" si="5"/>
        <v>10.172757168908262</v>
      </c>
      <c r="F46" s="764">
        <f t="shared" si="5"/>
        <v>82.846944514362647</v>
      </c>
      <c r="G46" s="764">
        <f t="shared" si="5"/>
        <v>0</v>
      </c>
      <c r="H46" s="764">
        <f t="shared" si="5"/>
        <v>38383.637106700829</v>
      </c>
      <c r="I46" s="764">
        <f t="shared" si="5"/>
        <v>4873.3457444846299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43684.518928104604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552.2701346915494</v>
      </c>
      <c r="D48" s="719">
        <f ca="1">+landbouw!C12</f>
        <v>0</v>
      </c>
      <c r="E48" s="719">
        <f>+landbouw!D12</f>
        <v>28.940190136000002</v>
      </c>
      <c r="F48" s="719">
        <f>+landbouw!E12</f>
        <v>5.8146779088770044</v>
      </c>
      <c r="G48" s="719">
        <f>+landbouw!F12</f>
        <v>1873.4397390933971</v>
      </c>
      <c r="H48" s="719">
        <f>+landbouw!G12</f>
        <v>0</v>
      </c>
      <c r="I48" s="719">
        <f>+landbouw!H12</f>
        <v>0</v>
      </c>
      <c r="J48" s="719">
        <f>+landbouw!I12</f>
        <v>0</v>
      </c>
      <c r="K48" s="719">
        <f>+landbouw!J12</f>
        <v>150.09022962046436</v>
      </c>
      <c r="L48" s="719">
        <f>+landbouw!K12</f>
        <v>0</v>
      </c>
      <c r="M48" s="719">
        <f>+landbouw!L12</f>
        <v>0</v>
      </c>
      <c r="N48" s="719">
        <f>+landbouw!M12</f>
        <v>0</v>
      </c>
      <c r="O48" s="719">
        <f>+landbouw!N12</f>
        <v>0</v>
      </c>
      <c r="P48" s="719">
        <f>+landbouw!O12</f>
        <v>0</v>
      </c>
      <c r="Q48" s="720">
        <f>+landbouw!P12</f>
        <v>0</v>
      </c>
      <c r="R48" s="762">
        <f ca="1">SUM(C48:Q48)</f>
        <v>2610.5549714502881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19336.643740890511</v>
      </c>
      <c r="D53" s="774">
        <f t="shared" ref="D53:Q53" ca="1" si="6">D41+D46+D48</f>
        <v>0</v>
      </c>
      <c r="E53" s="774">
        <f t="shared" ca="1" si="6"/>
        <v>22994.360290772911</v>
      </c>
      <c r="F53" s="774">
        <f t="shared" si="6"/>
        <v>559.20894561565558</v>
      </c>
      <c r="G53" s="774">
        <f t="shared" ca="1" si="6"/>
        <v>4244.2980082009035</v>
      </c>
      <c r="H53" s="774">
        <f t="shared" si="6"/>
        <v>38383.637106700829</v>
      </c>
      <c r="I53" s="774">
        <f t="shared" si="6"/>
        <v>4873.3457444846299</v>
      </c>
      <c r="J53" s="774">
        <f t="shared" si="6"/>
        <v>0</v>
      </c>
      <c r="K53" s="774">
        <f t="shared" si="6"/>
        <v>158.03625056842247</v>
      </c>
      <c r="L53" s="774">
        <f t="shared" si="6"/>
        <v>0</v>
      </c>
      <c r="M53" s="774">
        <f t="shared" ca="1" si="6"/>
        <v>0</v>
      </c>
      <c r="N53" s="774">
        <f t="shared" si="6"/>
        <v>0</v>
      </c>
      <c r="O53" s="774">
        <f t="shared" ca="1" si="6"/>
        <v>0</v>
      </c>
      <c r="P53" s="774">
        <f>P41+P46+P48</f>
        <v>0</v>
      </c>
      <c r="Q53" s="775">
        <f t="shared" si="6"/>
        <v>0</v>
      </c>
      <c r="R53" s="776">
        <f ca="1">R41+R46+R48</f>
        <v>90549.530087233856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0.19969912782539986</v>
      </c>
      <c r="D55" s="837">
        <f t="shared" ca="1" si="7"/>
        <v>0</v>
      </c>
      <c r="E55" s="837">
        <f t="shared" ca="1" si="7"/>
        <v>0.20199999999999999</v>
      </c>
      <c r="F55" s="837">
        <f t="shared" si="7"/>
        <v>0.22699999999999998</v>
      </c>
      <c r="G55" s="837">
        <f t="shared" ca="1" si="7"/>
        <v>0.26699999999999996</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4134.5798820050904</v>
      </c>
      <c r="C64" s="796">
        <f>'lokale energieproductie'!B4</f>
        <v>4134.5798820050904</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5198.1788829572288</v>
      </c>
      <c r="C66" s="796">
        <f>'lokale energieproductie'!B6</f>
        <v>5198.1788829572288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9332.7587649623201</v>
      </c>
      <c r="C69" s="804">
        <f>SUM(C64:C68)</f>
        <v>9332.7587649623201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52656.446426105496</v>
      </c>
      <c r="C4" s="479">
        <f>huishoudens!C8</f>
        <v>0</v>
      </c>
      <c r="D4" s="479">
        <f>huishoudens!D8</f>
        <v>78702.336790000001</v>
      </c>
      <c r="E4" s="479">
        <f>huishoudens!E8</f>
        <v>946.93274450280694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2569.717758731816</v>
      </c>
      <c r="O4" s="479">
        <f>huishoudens!O8</f>
        <v>182.91000000000003</v>
      </c>
      <c r="P4" s="480">
        <f>huishoudens!P8</f>
        <v>305.06666666666666</v>
      </c>
      <c r="Q4" s="481">
        <f>SUM(B4:P4)</f>
        <v>135363.41038600681</v>
      </c>
    </row>
    <row r="5" spans="1:17">
      <c r="A5" s="478" t="s">
        <v>156</v>
      </c>
      <c r="B5" s="479">
        <f ca="1">tertiair!B16</f>
        <v>34812.923029411766</v>
      </c>
      <c r="C5" s="479">
        <f ca="1">tertiair!C16</f>
        <v>0</v>
      </c>
      <c r="D5" s="479">
        <f ca="1">tertiair!D16</f>
        <v>31588.254676000004</v>
      </c>
      <c r="E5" s="479">
        <f>tertiair!E16</f>
        <v>628.79825264564749</v>
      </c>
      <c r="F5" s="479">
        <f ca="1">tertiair!F16</f>
        <v>5713.6321388570386</v>
      </c>
      <c r="G5" s="479">
        <f>tertiair!G16</f>
        <v>0</v>
      </c>
      <c r="H5" s="479">
        <f>tertiair!H16</f>
        <v>0</v>
      </c>
      <c r="I5" s="479">
        <f>tertiair!I16</f>
        <v>0</v>
      </c>
      <c r="J5" s="479">
        <f>tertiair!J16</f>
        <v>0</v>
      </c>
      <c r="K5" s="479">
        <f>tertiair!K16</f>
        <v>0</v>
      </c>
      <c r="L5" s="479">
        <f ca="1">tertiair!L16</f>
        <v>0</v>
      </c>
      <c r="M5" s="479">
        <f>tertiair!M16</f>
        <v>0</v>
      </c>
      <c r="N5" s="479">
        <f ca="1">tertiair!N16</f>
        <v>2731.4913271203554</v>
      </c>
      <c r="O5" s="479">
        <f>tertiair!O16</f>
        <v>12.506666666666668</v>
      </c>
      <c r="P5" s="480">
        <f>tertiair!P16</f>
        <v>19.066666666666666</v>
      </c>
      <c r="Q5" s="478">
        <f t="shared" ref="Q5:Q13" ca="1" si="0">SUM(B5:P5)</f>
        <v>75506.672757368142</v>
      </c>
    </row>
    <row r="6" spans="1:17">
      <c r="A6" s="478" t="s">
        <v>194</v>
      </c>
      <c r="B6" s="479">
        <f>'openbare verlichting'!B8</f>
        <v>2011.1389999999999</v>
      </c>
      <c r="C6" s="479"/>
      <c r="D6" s="479"/>
      <c r="E6" s="479"/>
      <c r="F6" s="479"/>
      <c r="G6" s="479"/>
      <c r="H6" s="479"/>
      <c r="I6" s="479"/>
      <c r="J6" s="479"/>
      <c r="K6" s="479"/>
      <c r="L6" s="479"/>
      <c r="M6" s="479"/>
      <c r="N6" s="479"/>
      <c r="O6" s="479"/>
      <c r="P6" s="480"/>
      <c r="Q6" s="478">
        <f t="shared" si="0"/>
        <v>2011.1389999999999</v>
      </c>
    </row>
    <row r="7" spans="1:17">
      <c r="A7" s="478" t="s">
        <v>112</v>
      </c>
      <c r="B7" s="479">
        <f>landbouw!B8</f>
        <v>2765.511</v>
      </c>
      <c r="C7" s="479">
        <f>landbouw!C8</f>
        <v>0</v>
      </c>
      <c r="D7" s="479">
        <f>landbouw!D8</f>
        <v>143.26826800000001</v>
      </c>
      <c r="E7" s="479">
        <f>landbouw!E8</f>
        <v>25.615321184480194</v>
      </c>
      <c r="F7" s="479">
        <f>landbouw!F8</f>
        <v>7016.6282363048576</v>
      </c>
      <c r="G7" s="479">
        <f>landbouw!G8</f>
        <v>0</v>
      </c>
      <c r="H7" s="479">
        <f>landbouw!H8</f>
        <v>0</v>
      </c>
      <c r="I7" s="479">
        <f>landbouw!I8</f>
        <v>0</v>
      </c>
      <c r="J7" s="479">
        <f>landbouw!J8</f>
        <v>423.98369949283716</v>
      </c>
      <c r="K7" s="479">
        <f>landbouw!K8</f>
        <v>0</v>
      </c>
      <c r="L7" s="479">
        <f>landbouw!L8</f>
        <v>0</v>
      </c>
      <c r="M7" s="479">
        <f>landbouw!M8</f>
        <v>0</v>
      </c>
      <c r="N7" s="479">
        <f>landbouw!N8</f>
        <v>0</v>
      </c>
      <c r="O7" s="479">
        <f>landbouw!O8</f>
        <v>0</v>
      </c>
      <c r="P7" s="480">
        <f>landbouw!P8</f>
        <v>0</v>
      </c>
      <c r="Q7" s="478">
        <f t="shared" si="0"/>
        <v>10375.006524982175</v>
      </c>
    </row>
    <row r="8" spans="1:17">
      <c r="A8" s="478" t="s">
        <v>650</v>
      </c>
      <c r="B8" s="479">
        <f>industrie!B18</f>
        <v>2907.7629999999995</v>
      </c>
      <c r="C8" s="479">
        <f>industrie!C18</f>
        <v>0</v>
      </c>
      <c r="D8" s="479">
        <f>industrie!D18</f>
        <v>3349.2468680000002</v>
      </c>
      <c r="E8" s="479">
        <f>industrie!E18</f>
        <v>497.16469973443509</v>
      </c>
      <c r="F8" s="479">
        <f>industrie!F18</f>
        <v>3165.9868465643349</v>
      </c>
      <c r="G8" s="479">
        <f>industrie!G18</f>
        <v>0</v>
      </c>
      <c r="H8" s="479">
        <f>industrie!H18</f>
        <v>0</v>
      </c>
      <c r="I8" s="479">
        <f>industrie!I18</f>
        <v>0</v>
      </c>
      <c r="J8" s="479">
        <f>industrie!J18</f>
        <v>22.446386858638718</v>
      </c>
      <c r="K8" s="479">
        <f>industrie!K18</f>
        <v>0</v>
      </c>
      <c r="L8" s="479">
        <f>industrie!L18</f>
        <v>0</v>
      </c>
      <c r="M8" s="479">
        <f>industrie!M18</f>
        <v>0</v>
      </c>
      <c r="N8" s="479">
        <f>industrie!N18</f>
        <v>1088.3438170127922</v>
      </c>
      <c r="O8" s="479">
        <f>industrie!O18</f>
        <v>0</v>
      </c>
      <c r="P8" s="480">
        <f>industrie!P18</f>
        <v>0</v>
      </c>
      <c r="Q8" s="478">
        <f t="shared" si="0"/>
        <v>11030.9516181702</v>
      </c>
    </row>
    <row r="9" spans="1:17" s="484" customFormat="1">
      <c r="A9" s="482" t="s">
        <v>571</v>
      </c>
      <c r="B9" s="483">
        <f>transport!B14</f>
        <v>20.692736973766166</v>
      </c>
      <c r="C9" s="483"/>
      <c r="D9" s="483">
        <f>transport!D14</f>
        <v>50.360184004496347</v>
      </c>
      <c r="E9" s="483">
        <f>transport!E14</f>
        <v>364.96451327913059</v>
      </c>
      <c r="F9" s="483"/>
      <c r="G9" s="483">
        <f>transport!G14</f>
        <v>142262.24795325848</v>
      </c>
      <c r="H9" s="483">
        <f>transport!H14</f>
        <v>19571.66965656478</v>
      </c>
      <c r="I9" s="483"/>
      <c r="J9" s="483"/>
      <c r="K9" s="483"/>
      <c r="L9" s="483"/>
      <c r="M9" s="483">
        <f>transport!M14</f>
        <v>8831.7002495507386</v>
      </c>
      <c r="N9" s="483"/>
      <c r="O9" s="483"/>
      <c r="P9" s="483"/>
      <c r="Q9" s="482">
        <f>SUM(B9:P9)</f>
        <v>171101.63529363141</v>
      </c>
    </row>
    <row r="10" spans="1:17">
      <c r="A10" s="478" t="s">
        <v>561</v>
      </c>
      <c r="B10" s="479">
        <f>transport!B54</f>
        <v>1654.4090968627365</v>
      </c>
      <c r="C10" s="479"/>
      <c r="D10" s="479">
        <f>transport!D54</f>
        <v>0</v>
      </c>
      <c r="E10" s="479"/>
      <c r="F10" s="479"/>
      <c r="G10" s="479">
        <f>transport!G54</f>
        <v>1496.692521276427</v>
      </c>
      <c r="H10" s="479"/>
      <c r="I10" s="479"/>
      <c r="J10" s="479"/>
      <c r="K10" s="479"/>
      <c r="L10" s="479"/>
      <c r="M10" s="479">
        <f>transport!M54</f>
        <v>85.352011394001849</v>
      </c>
      <c r="N10" s="479"/>
      <c r="O10" s="479"/>
      <c r="P10" s="480"/>
      <c r="Q10" s="478">
        <f t="shared" si="0"/>
        <v>3236.453629533165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96828.88428935378</v>
      </c>
      <c r="C14" s="489">
        <f t="shared" ref="C14:Q14" ca="1" si="1">SUM(C4:C13)</f>
        <v>0</v>
      </c>
      <c r="D14" s="489">
        <f t="shared" ca="1" si="1"/>
        <v>113833.46678600452</v>
      </c>
      <c r="E14" s="489">
        <f t="shared" si="1"/>
        <v>2463.4755313465002</v>
      </c>
      <c r="F14" s="489">
        <f t="shared" ca="1" si="1"/>
        <v>15896.247221726229</v>
      </c>
      <c r="G14" s="489">
        <f t="shared" si="1"/>
        <v>143758.9404745349</v>
      </c>
      <c r="H14" s="489">
        <f t="shared" si="1"/>
        <v>19571.66965656478</v>
      </c>
      <c r="I14" s="489">
        <f t="shared" si="1"/>
        <v>0</v>
      </c>
      <c r="J14" s="489">
        <f t="shared" si="1"/>
        <v>446.43008635147589</v>
      </c>
      <c r="K14" s="489">
        <f t="shared" si="1"/>
        <v>0</v>
      </c>
      <c r="L14" s="489">
        <f t="shared" ca="1" si="1"/>
        <v>0</v>
      </c>
      <c r="M14" s="489">
        <f t="shared" si="1"/>
        <v>8917.0522609447398</v>
      </c>
      <c r="N14" s="489">
        <f t="shared" ca="1" si="1"/>
        <v>6389.5529028649635</v>
      </c>
      <c r="O14" s="489">
        <f t="shared" si="1"/>
        <v>195.41666666666669</v>
      </c>
      <c r="P14" s="490">
        <f t="shared" si="1"/>
        <v>324.13333333333333</v>
      </c>
      <c r="Q14" s="490">
        <f t="shared" ca="1" si="1"/>
        <v>408625.26920969191</v>
      </c>
    </row>
    <row r="16" spans="1:17">
      <c r="A16" s="492" t="s">
        <v>566</v>
      </c>
      <c r="B16" s="842">
        <f ca="1">huishoudens!B10</f>
        <v>0.19969912782539986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10515.446425678161</v>
      </c>
      <c r="C21" s="479">
        <f t="shared" ref="C21:C28" ca="1" si="3">C4*$C$16</f>
        <v>0</v>
      </c>
      <c r="D21" s="479">
        <f t="shared" ref="D21:D30" si="4">D4*$D$16</f>
        <v>15897.872031580002</v>
      </c>
      <c r="E21" s="479">
        <f t="shared" ref="E21:E30" si="5">E4*$E$16</f>
        <v>214.95373300213717</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26628.272190260301</v>
      </c>
    </row>
    <row r="22" spans="1:17">
      <c r="A22" s="478" t="s">
        <v>156</v>
      </c>
      <c r="B22" s="479">
        <f t="shared" ca="1" si="2"/>
        <v>6952.110366026307</v>
      </c>
      <c r="C22" s="479">
        <f t="shared" ca="1" si="3"/>
        <v>0</v>
      </c>
      <c r="D22" s="479">
        <f t="shared" ca="1" si="4"/>
        <v>6380.827444552001</v>
      </c>
      <c r="E22" s="479">
        <f t="shared" si="5"/>
        <v>142.737203350562</v>
      </c>
      <c r="F22" s="479">
        <f t="shared" ca="1" si="6"/>
        <v>1525.5397810748293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15001.214795003698</v>
      </c>
    </row>
    <row r="23" spans="1:17">
      <c r="A23" s="478" t="s">
        <v>194</v>
      </c>
      <c r="B23" s="479">
        <f t="shared" ca="1" si="2"/>
        <v>401.62270423564684</v>
      </c>
      <c r="C23" s="479"/>
      <c r="D23" s="479"/>
      <c r="E23" s="479"/>
      <c r="F23" s="479"/>
      <c r="G23" s="479"/>
      <c r="H23" s="479"/>
      <c r="I23" s="479"/>
      <c r="J23" s="479"/>
      <c r="K23" s="479"/>
      <c r="L23" s="479"/>
      <c r="M23" s="479"/>
      <c r="N23" s="479"/>
      <c r="O23" s="479"/>
      <c r="P23" s="480"/>
      <c r="Q23" s="478">
        <f t="shared" ca="1" si="17"/>
        <v>401.62270423564684</v>
      </c>
    </row>
    <row r="24" spans="1:17">
      <c r="A24" s="478" t="s">
        <v>112</v>
      </c>
      <c r="B24" s="479">
        <f t="shared" ca="1" si="2"/>
        <v>552.2701346915494</v>
      </c>
      <c r="C24" s="479">
        <f t="shared" ca="1" si="3"/>
        <v>0</v>
      </c>
      <c r="D24" s="479">
        <f t="shared" si="4"/>
        <v>28.940190136000002</v>
      </c>
      <c r="E24" s="479">
        <f t="shared" si="5"/>
        <v>5.8146779088770044</v>
      </c>
      <c r="F24" s="479">
        <f t="shared" si="6"/>
        <v>1873.4397390933971</v>
      </c>
      <c r="G24" s="479">
        <f t="shared" si="7"/>
        <v>0</v>
      </c>
      <c r="H24" s="479">
        <f t="shared" si="8"/>
        <v>0</v>
      </c>
      <c r="I24" s="479">
        <f t="shared" si="9"/>
        <v>0</v>
      </c>
      <c r="J24" s="479">
        <f t="shared" si="10"/>
        <v>150.09022962046436</v>
      </c>
      <c r="K24" s="479">
        <f t="shared" si="11"/>
        <v>0</v>
      </c>
      <c r="L24" s="479">
        <f t="shared" si="12"/>
        <v>0</v>
      </c>
      <c r="M24" s="479">
        <f t="shared" si="13"/>
        <v>0</v>
      </c>
      <c r="N24" s="479">
        <f t="shared" si="14"/>
        <v>0</v>
      </c>
      <c r="O24" s="479">
        <f t="shared" si="15"/>
        <v>0</v>
      </c>
      <c r="P24" s="480">
        <f t="shared" si="16"/>
        <v>0</v>
      </c>
      <c r="Q24" s="478">
        <f t="shared" ca="1" si="17"/>
        <v>2610.5549714502881</v>
      </c>
    </row>
    <row r="25" spans="1:17">
      <c r="A25" s="478" t="s">
        <v>650</v>
      </c>
      <c r="B25" s="479">
        <f t="shared" ca="1" si="2"/>
        <v>580.67773502296802</v>
      </c>
      <c r="C25" s="479">
        <f t="shared" ca="1" si="3"/>
        <v>0</v>
      </c>
      <c r="D25" s="479">
        <f t="shared" si="4"/>
        <v>676.54786733600008</v>
      </c>
      <c r="E25" s="479">
        <f t="shared" si="5"/>
        <v>112.85638683971676</v>
      </c>
      <c r="F25" s="479">
        <f t="shared" si="6"/>
        <v>845.31848803267746</v>
      </c>
      <c r="G25" s="479">
        <f t="shared" si="7"/>
        <v>0</v>
      </c>
      <c r="H25" s="479">
        <f t="shared" si="8"/>
        <v>0</v>
      </c>
      <c r="I25" s="479">
        <f t="shared" si="9"/>
        <v>0</v>
      </c>
      <c r="J25" s="479">
        <f t="shared" si="10"/>
        <v>7.9460209479581057</v>
      </c>
      <c r="K25" s="479">
        <f t="shared" si="11"/>
        <v>0</v>
      </c>
      <c r="L25" s="479">
        <f t="shared" si="12"/>
        <v>0</v>
      </c>
      <c r="M25" s="479">
        <f t="shared" si="13"/>
        <v>0</v>
      </c>
      <c r="N25" s="479">
        <f t="shared" si="14"/>
        <v>0</v>
      </c>
      <c r="O25" s="479">
        <f t="shared" si="15"/>
        <v>0</v>
      </c>
      <c r="P25" s="480">
        <f t="shared" si="16"/>
        <v>0</v>
      </c>
      <c r="Q25" s="478">
        <f t="shared" ca="1" si="17"/>
        <v>2223.3464981793204</v>
      </c>
    </row>
    <row r="26" spans="1:17" s="484" customFormat="1">
      <c r="A26" s="482" t="s">
        <v>571</v>
      </c>
      <c r="B26" s="836">
        <f t="shared" ca="1" si="2"/>
        <v>4.1323215259815074</v>
      </c>
      <c r="C26" s="483"/>
      <c r="D26" s="483">
        <f t="shared" si="4"/>
        <v>10.172757168908262</v>
      </c>
      <c r="E26" s="483">
        <f t="shared" si="5"/>
        <v>82.846944514362647</v>
      </c>
      <c r="F26" s="483"/>
      <c r="G26" s="483">
        <f t="shared" si="7"/>
        <v>37984.02020352002</v>
      </c>
      <c r="H26" s="483">
        <f t="shared" si="8"/>
        <v>4873.3457444846299</v>
      </c>
      <c r="I26" s="483"/>
      <c r="J26" s="483"/>
      <c r="K26" s="483"/>
      <c r="L26" s="483"/>
      <c r="M26" s="483">
        <f t="shared" si="13"/>
        <v>0</v>
      </c>
      <c r="N26" s="483"/>
      <c r="O26" s="483"/>
      <c r="P26" s="494"/>
      <c r="Q26" s="482">
        <f t="shared" ca="1" si="17"/>
        <v>42954.5179712139</v>
      </c>
    </row>
    <row r="27" spans="1:17">
      <c r="A27" s="478" t="s">
        <v>561</v>
      </c>
      <c r="B27" s="479">
        <f t="shared" ca="1" si="2"/>
        <v>330.38405370989597</v>
      </c>
      <c r="C27" s="479"/>
      <c r="D27" s="483">
        <f t="shared" si="4"/>
        <v>0</v>
      </c>
      <c r="E27" s="479"/>
      <c r="F27" s="479"/>
      <c r="G27" s="479">
        <f t="shared" si="7"/>
        <v>399.61690318080605</v>
      </c>
      <c r="H27" s="479"/>
      <c r="I27" s="479"/>
      <c r="J27" s="479"/>
      <c r="K27" s="479"/>
      <c r="L27" s="479"/>
      <c r="M27" s="479">
        <f t="shared" si="13"/>
        <v>0</v>
      </c>
      <c r="N27" s="479"/>
      <c r="O27" s="479"/>
      <c r="P27" s="480"/>
      <c r="Q27" s="478">
        <f t="shared" ca="1" si="17"/>
        <v>730.00095689070201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19336.643740890508</v>
      </c>
      <c r="C31" s="489">
        <f t="shared" ca="1" si="18"/>
        <v>0</v>
      </c>
      <c r="D31" s="489">
        <f t="shared" ca="1" si="18"/>
        <v>22994.360290772911</v>
      </c>
      <c r="E31" s="489">
        <f t="shared" si="18"/>
        <v>559.20894561565558</v>
      </c>
      <c r="F31" s="489">
        <f t="shared" ca="1" si="18"/>
        <v>4244.2980082009035</v>
      </c>
      <c r="G31" s="489">
        <f t="shared" si="18"/>
        <v>38383.637106700829</v>
      </c>
      <c r="H31" s="489">
        <f t="shared" si="18"/>
        <v>4873.3457444846299</v>
      </c>
      <c r="I31" s="489">
        <f t="shared" si="18"/>
        <v>0</v>
      </c>
      <c r="J31" s="489">
        <f t="shared" si="18"/>
        <v>158.03625056842247</v>
      </c>
      <c r="K31" s="489">
        <f t="shared" si="18"/>
        <v>0</v>
      </c>
      <c r="L31" s="489">
        <f t="shared" ca="1" si="18"/>
        <v>0</v>
      </c>
      <c r="M31" s="489">
        <f t="shared" si="18"/>
        <v>0</v>
      </c>
      <c r="N31" s="489">
        <f t="shared" ca="1" si="18"/>
        <v>0</v>
      </c>
      <c r="O31" s="489">
        <f t="shared" si="18"/>
        <v>0</v>
      </c>
      <c r="P31" s="490">
        <f t="shared" si="18"/>
        <v>0</v>
      </c>
      <c r="Q31" s="490">
        <f t="shared" ca="1" si="18"/>
        <v>90549.530087233841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0.19969912782539986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0.19969912782539986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0.19969912782539986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2019-01-01T21:32:37Z</dcterms:modified>
</cp:coreProperties>
</file>