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7" i="49"/>
  <c r="C20" i="16"/>
  <c r="C22" s="1"/>
  <c r="D39" i="14" s="1"/>
  <c r="C18" i="15"/>
  <c r="C20" s="1"/>
  <c r="D36" i="14" s="1"/>
  <c r="C10" i="13"/>
  <c r="C16" i="48" s="1"/>
  <c r="C16" i="22"/>
  <c r="C29" i="20"/>
  <c r="C10" i="17"/>
  <c r="C12" s="1"/>
  <c r="D48" i="14" s="1"/>
  <c r="C56" i="22"/>
  <c r="C58" s="1"/>
  <c r="D44" i="14" s="1"/>
  <c r="D46" s="1"/>
  <c r="O13"/>
  <c r="O15" s="1"/>
  <c r="E8" i="48"/>
  <c r="E25" s="1"/>
  <c r="E31"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<sst xmlns="http://schemas.openxmlformats.org/spreadsheetml/2006/main" count="2164" uniqueCount="886">
  <si>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</si>
  <si>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</si>
  <si>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</si>
  <si>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</si>
  <si>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</si>
  <si>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</si>
  <si>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</si>
  <si>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</si>
  <si>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</si>
  <si>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</si>
  <si>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</si>
  <si>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</si>
  <si>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</si>
  <si>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</si>
  <si>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</si>
  <si>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</si>
  <si>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</si>
  <si>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</si>
  <si>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</si>
  <si>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</si>
  <si>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</si>
  <si>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</si>
  <si>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</si>
  <si>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</si>
  <si>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</si>
  <si>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</si>
  <si>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</si>
  <si>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</si>
  <si>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</si>
  <si>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</si>
  <si>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</si>
  <si>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</si>
  <si>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</si>
  <si>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</si>
  <si>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</si>
  <si>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</si>
  <si>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</si>
  <si>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</si>
  <si>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</si>
  <si>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</si>
  <si>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</si>
  <si>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</si>
  <si>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</si>
  <si>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</si>
  <si>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</si>
  <si>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</si>
  <si>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</si>
  <si>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</si>
  <si>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</si>
  <si>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</si>
  <si>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</si>
  <si>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</si>
  <si>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</si>
  <si>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</si>
  <si>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</si>
  <si>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</si>
  <si>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</si>
  <si>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</si>
  <si>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</si>
  <si>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</si>
  <si>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</si>
  <si>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</si>
  <si>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</si>
  <si>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</si>
  <si>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</si>
  <si>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</si>
  <si>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</si>
  <si>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</si>
  <si>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</si>
  <si>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</si>
  <si>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</si>
  <si>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</si>
  <si>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</si>
  <si>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</si>
  <si>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</si>
  <si>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</si>
  <si>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</si>
  <si>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</si>
  <si>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</si>
  <si>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</si>
  <si>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</si>
  <si>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</si>
  <si>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</si>
  <si>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</si>
  <si>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</si>
  <si>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</si>
  <si>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</si>
  <si>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</si>
  <si>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</si>
  <si>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</si>
  <si>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</si>
  <si>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</si>
  <si>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</si>
  <si>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</si>
  <si>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</si>
  <si>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</si>
  <si>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</si>
  <si>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</si>
  <si>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</si>
  <si>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</si>
  <si>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</si>
  <si>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</si>
  <si>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</si>
  <si>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</si>
  <si>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</si>
  <si>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</si>
  <si>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</si>
  <si>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</si>
  <si>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</si>
  <si>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</si>
  <si>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</si>
  <si>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</si>
  <si>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</si>
  <si>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</si>
  <si>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</si>
  <si>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</si>
  <si>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</si>
  <si>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</si>
  <si>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</si>
  <si>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</si>
  <si>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</si>
  <si>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</si>
  <si>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</si>
  <si>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</si>
  <si>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</si>
  <si>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</si>
  <si>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</si>
  <si>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</si>
  <si>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</si>
  <si>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</si>
  <si>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</si>
  <si>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</si>
  <si>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</si>
  <si>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</si>
  <si>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</si>
  <si>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</si>
  <si>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</si>
  <si>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</si>
  <si>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</si>
  <si>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</si>
  <si>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</si>
  <si>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</si>
  <si>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</si>
  <si>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</si>
  <si>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</si>
  <si>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</si>
  <si>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</si>
  <si>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</si>
  <si>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</si>
  <si>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</si>
  <si>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</si>
  <si>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</si>
  <si>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</si>
  <si>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</si>
  <si>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</si>
  <si>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</si>
  <si>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</si>
  <si>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</si>
  <si>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</si>
  <si>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</si>
  <si>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</si>
  <si>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</si>
  <si>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</si>
  <si>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</si>
  <si>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</si>
  <si>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</si>
  <si>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</si>
  <si>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</si>
  <si>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</si>
  <si>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</si>
  <si>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</si>
  <si>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</si>
  <si>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</si>
  <si>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</si>
  <si>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</si>
  <si>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</si>
  <si>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</si>
  <si>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</si>
  <si>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</si>
  <si>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</si>
  <si>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</si>
  <si>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</si>
  <si>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</si>
  <si>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</si>
  <si>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</si>
  <si>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</si>
  <si>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</si>
  <si>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</si>
  <si>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</si>
  <si>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</si>
  <si>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</si>
  <si>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</si>
  <si>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</si>
  <si>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</si>
  <si>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</si>
  <si>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</si>
  <si>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</si>
  <si>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</si>
  <si>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</si>
  <si>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</si>
  <si>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</si>
  <si>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</si>
  <si>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</si>
  <si>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</si>
  <si>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</si>
  <si>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</si>
  <si>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</si>
  <si>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</si>
  <si>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</si>
  <si>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</si>
  <si>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</si>
  <si>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</si>
  <si>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</si>
  <si>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</si>
  <si>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</si>
  <si>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</si>
  <si>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</si>
  <si>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</si>
  <si>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</si>
  <si>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</si>
  <si>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</si>
  <si>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</si>
  <si>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</si>
  <si>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</si>
  <si>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</si>
  <si>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</si>
  <si>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</si>
  <si>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</si>
  <si>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</si>
  <si>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</si>
  <si>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</si>
  <si>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</si>
  <si>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</si>
  <si>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</si>
  <si>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</si>
  <si>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</si>
  <si>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</si>
  <si>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</si>
  <si>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</si>
  <si>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</si>
  <si>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</si>
  <si>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</si>
  <si>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</si>
  <si>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</si>
  <si>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</si>
  <si>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</si>
  <si>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</si>
  <si>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</si>
  <si>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</si>
  <si>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</si>
  <si>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</si>
  <si>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</si>
  <si>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</si>
  <si>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</si>
  <si>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</si>
  <si>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</si>
  <si>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</si>
  <si>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</si>
  <si>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</si>
  <si>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</si>
  <si>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</si>
  <si>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</si>
  <si>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</si>
  <si>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</si>
  <si>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</si>
  <si>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</si>
  <si>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</si>
  <si>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</si>
  <si>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</si>
  <si>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</si>
  <si>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</si>
  <si>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</si>
  <si>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</si>
  <si>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</si>
  <si>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</si>
  <si>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</si>
  <si>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</si>
  <si>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</si>
  <si>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</si>
  <si>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</si>
  <si>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</si>
  <si>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</si>
  <si>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</si>
  <si>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</si>
  <si>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</si>
  <si>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</si>
  <si>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</si>
  <si>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</si>
  <si>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</si>
  <si>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</si>
  <si>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</si>
  <si>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</si>
  <si>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</si>
  <si>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</si>
  <si>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</si>
  <si>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</si>
  <si>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</si>
  <si>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</si>
  <si>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</si>
  <si>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</si>
  <si>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</si>
  <si>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</si>
  <si>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</si>
  <si>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</si>
  <si>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</si>
  <si>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</si>
  <si>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</si>
  <si>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</si>
  <si>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</si>
  <si>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</si>
  <si>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</si>
  <si>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</si>
  <si>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</si>
  <si>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</si>
  <si>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</si>
  <si>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</si>
  <si>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</si>
  <si>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</si>
  <si>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</si>
  <si>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</si>
  <si>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</si>
  <si>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</si>
  <si>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</si>
  <si>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</si>
  <si>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</si>
  <si>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</si>
  <si>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</si>
  <si>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</si>
  <si>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</si>
  <si>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</si>
  <si>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</si>
  <si>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</si>
  <si>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</si>
  <si>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</si>
  <si>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</si>
  <si>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</si>
  <si>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</si>
  <si>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</si>
  <si>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</si>
  <si>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</si>
  <si>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</si>
  <si>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</si>
  <si>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</si>
  <si>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</si>
  <si>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</si>
  <si>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</si>
  <si>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</si>
  <si>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</si>
  <si>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</si>
  <si>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</si>
  <si>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</si>
  <si>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</si>
  <si>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</si>
  <si>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</si>
  <si>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</si>
  <si>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</si>
  <si>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</si>
  <si>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</si>
  <si>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</si>
  <si>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</si>
  <si>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</si>
  <si>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</si>
  <si>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</si>
  <si>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</si>
  <si>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</si>
  <si>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</si>
  <si>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</si>
  <si>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</si>
  <si>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</si>
  <si>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</si>
  <si>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</si>
  <si>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</si>
  <si>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</si>
  <si>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</si>
  <si>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</si>
  <si>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</si>
  <si>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</si>
  <si>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</si>
  <si>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</si>
  <si>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</si>
  <si>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</si>
  <si>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</si>
  <si>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</si>
  <si>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</si>
  <si>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</si>
  <si>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</si>
  <si>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</si>
  <si>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</si>
  <si>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</si>
  <si>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</si>
  <si>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</si>
  <si>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</si>
  <si>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</si>
  <si>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</si>
  <si>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</si>
  <si>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</si>
  <si>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</si>
  <si>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</si>
  <si>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</si>
  <si>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</si>
  <si>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</si>
  <si>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</si>
  <si>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</si>
  <si>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</si>
  <si>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</si>
  <si>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</si>
  <si>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</si>
  <si>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</si>
  <si>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</si>
  <si>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</si>
  <si>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</si>
  <si>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</si>
  <si>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</si>
  <si>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</si>
  <si>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</si>
  <si>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</si>
  <si>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</si>
  <si>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</si>
  <si>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</si>
  <si>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</si>
  <si>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</si>
  <si>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</si>
  <si>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</si>
  <si>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</si>
  <si>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</si>
  <si>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</si>
  <si>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</si>
  <si>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</si>
  <si>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</si>
  <si>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</si>
  <si>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</si>
  <si>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</si>
  <si>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</si>
  <si>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</si>
  <si>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</si>
  <si>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</si>
  <si>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</si>
  <si>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</si>
  <si>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</si>
  <si>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</si>
  <si>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</si>
  <si>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</si>
  <si>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</si>
  <si>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</si>
  <si>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</si>
  <si>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</si>
  <si>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</si>
  <si>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</si>
  <si>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</si>
  <si>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</si>
  <si>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</si>
  <si>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</si>
  <si>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</si>
  <si>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</si>
  <si>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</si>
  <si>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</si>
  <si>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</si>
  <si>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</si>
  <si>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</si>
  <si>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</si>
  <si>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</si>
  <si>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</si>
  <si>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</si>
  <si>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</si>
  <si>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</si>
  <si>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</si>
  <si>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</si>
  <si>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</si>
  <si>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</si>
  <si>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</si>
  <si>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</si>
  <si>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</si>
  <si>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</si>
  <si>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</si>
  <si>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</si>
  <si>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</si>
  <si>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</si>
  <si>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</si>
  <si>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</si>
  <si>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</si>
  <si>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</si>
  <si>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</si>
  <si>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</si>
  <si>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</si>
  <si>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</si>
  <si>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</si>
  <si>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</si>
  <si>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</si>
  <si>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</si>
  <si>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</si>
  <si>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</si>
  <si>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</si>
  <si>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</si>
  <si>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</si>
  <si>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</si>
  <si>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</si>
  <si>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</si>
  <si>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</si>
  <si>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</si>
  <si>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</si>
  <si>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</si>
  <si>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</si>
  <si>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</si>
  <si>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</si>
  <si>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</si>
  <si>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</si>
  <si>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</si>
  <si>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</si>
  <si>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</si>
  <si>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</si>
  <si>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</si>
  <si>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</si>
  <si>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</si>
  <si>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</si>
  <si>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</si>
  <si>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</si>
  <si>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</si>
  <si>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</si>
  <si>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</si>
  <si>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</si>
  <si>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</si>
  <si>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</si>
  <si>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</si>
  <si>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</si>
  <si>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</si>
  <si>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</si>
  <si>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</si>
  <si>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</si>
  <si>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</si>
  <si>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</si>
  <si>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</si>
  <si>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</si>
  <si>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</si>
  <si>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</si>
  <si>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</si>
  <si>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</si>
  <si>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</si>
  <si>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</si>
  <si>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</si>
  <si>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</si>
  <si>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</si>
  <si>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</si>
  <si>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</si>
  <si>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</si>
  <si>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</si>
  <si>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</si>
  <si>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</si>
  <si>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</si>
  <si>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</si>
  <si>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</si>
  <si>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</si>
  <si>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</si>
  <si>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</si>
  <si>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</si>
  <si>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</si>
  <si>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</si>
  <si>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</si>
  <si>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</si>
  <si>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</si>
  <si>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</si>
  <si>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</si>
  <si>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</si>
  <si>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</si>
  <si>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</si>
  <si>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</si>
  <si>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</si>
  <si>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</si>
  <si>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</si>
  <si>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</si>
  <si>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</si>
  <si>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</si>
  <si>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</si>
  <si>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</si>
  <si>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</si>
  <si>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</si>
  <si>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</si>
  <si>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</si>
  <si>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</si>
  <si>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</si>
  <si>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</si>
  <si>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</si>
  <si>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</si>
  <si>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</si>
  <si>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</si>
  <si>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</si>
  <si>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</si>
  <si>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</si>
  <si>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</si>
  <si>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</si>
  <si>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</si>
  <si>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</si>
  <si>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</si>
  <si>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</si>
  <si>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</si>
  <si>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</si>
  <si>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</si>
  <si>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</si>
  <si>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</si>
  <si>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</si>
  <si>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</si>
  <si>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</si>
  <si>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</si>
  <si>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</si>
  <si>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</si>
  <si>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</si>
  <si>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</si>
  <si>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</si>
  <si>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</si>
  <si>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</si>
  <si>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</si>
  <si>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</si>
  <si>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</si>
  <si>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</si>
  <si>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</si>
  <si>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</si>
  <si>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</si>
  <si>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</si>
  <si>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</si>
  <si>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</si>
  <si>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</si>
  <si>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</si>
  <si>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</si>
  <si>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</si>
  <si>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</si>
  <si>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</si>
  <si>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</si>
  <si>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</si>
  <si>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</si>
  <si>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</si>
  <si>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</si>
  <si>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</si>
  <si>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</si>
  <si>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</si>
  <si>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</si>
  <si>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</si>
  <si>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</si>
  <si>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</si>
  <si>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</si>
  <si>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</si>
  <si>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</si>
  <si>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</si>
  <si>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</si>
  <si>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</si>
  <si>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</si>
  <si>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</si>
  <si>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</si>
  <si>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</si>
  <si>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</si>
  <si>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</si>
  <si>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</si>
  <si>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</si>
  <si>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</si>
  <si>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</si>
  <si>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</si>
  <si>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</si>
  <si>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</si>
  <si>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</si>
  <si>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</si>
  <si>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</si>
  <si>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</si>
  <si>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</si>
  <si>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</si>
  <si>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</si>
  <si>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</si>
  <si>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</si>
  <si>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</si>
  <si>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</si>
  <si>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</si>
  <si>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</si>
  <si>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</si>
  <si>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</si>
  <si>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</si>
  <si>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</si>
  <si>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</si>
  <si>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</si>
  <si>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</si>
  <si>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</si>
  <si>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</si>
  <si>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</si>
  <si>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</si>
  <si>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</si>
  <si>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</si>
  <si>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</si>
  <si>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</si>
  <si>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</si>
  <si>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</si>
  <si>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</si>
  <si>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</si>
  <si>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</si>
  <si>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</si>
  <si>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</si>
  <si>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</si>
  <si>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</si>
  <si>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</si>
  <si>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</si>
  <si>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</si>
  <si>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</si>
  <si>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</si>
  <si>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</si>
  <si>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</si>
  <si>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</si>
  <si>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</si>
  <si>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</si>
  <si>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</si>
  <si>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</si>
  <si>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</si>
  <si>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</si>
  <si>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</si>
  <si>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</si>
  <si>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</si>
  <si>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</si>
  <si>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</si>
  <si>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</si>
  <si>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</si>
  <si>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</si>
  <si>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</si>
  <si>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</si>
  <si>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</si>
  <si>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</si>
  <si>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</si>
  <si>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</si>
  <si>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</si>
  <si>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</si>
  <si>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</si>
  <si>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</si>
  <si>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</si>
  <si>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</si>
  <si>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</si>
  <si>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</si>
  <si>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</si>
  <si>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</si>
  <si>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</si>
  <si>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</si>
  <si>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</si>
  <si>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</si>
  <si>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</si>
  <si>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</si>
  <si>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</si>
  <si>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</si>
  <si>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</si>
  <si>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</si>
  <si>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</si>
  <si>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</si>
  <si>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</si>
  <si>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</si>
  <si>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</si>
  <si>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</si>
  <si>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</si>
  <si>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</si>
  <si>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</si>
  <si>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</si>
  <si>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</si>
  <si>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</si>
  <si>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</si>
  <si>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</si>
  <si>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</si>
  <si>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</si>
  <si>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</si>
  <si>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</si>
  <si>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</si>
  <si>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</si>
  <si>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</si>
  <si>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</si>
  <si>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</si>
  <si>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</si>
  <si>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</si>
  <si>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</si>
  <si>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</si>
  <si>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</si>
  <si>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</si>
  <si>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</si>
  <si>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</si>
  <si>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</si>
  <si>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</si>
  <si>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</si>
  <si>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</si>
  <si>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</si>
  <si>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</si>
  <si>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</si>
  <si>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</si>
  <si>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</si>
  <si>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</si>
  <si>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</si>
  <si>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</si>
  <si>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</si>
  <si>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</si>
  <si>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</si>
  <si>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</si>
  <si>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</si>
  <si>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</si>
  <si>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</si>
  <si>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</si>
  <si>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</si>
  <si>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</si>
  <si>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</si>
  <si>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</si>
  <si>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</si>
  <si>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</si>
  <si>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</si>
  <si>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</si>
  <si>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</si>
  <si>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</si>
  <si>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</si>
  <si>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</si>
  <si>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</si>
  <si>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</si>
  <si>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</si>
  <si>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</si>
  <si>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</si>
  <si>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</si>
  <si>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</si>
  <si>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</si>
  <si>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</si>
  <si>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</si>
  <si>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</si>
  <si>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</si>
  <si>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</si>
  <si>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</si>
  <si>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</si>
  <si>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</si>
  <si>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</si>
  <si>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</si>
  <si>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</si>
  <si>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</si>
  <si>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</si>
  <si>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</si>
  <si>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</si>
  <si>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</si>
  <si>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</si>
  <si>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</si>
  <si>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</si>
  <si>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</si>
  <si>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</si>
  <si>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</si>
  <si>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</si>
  <si>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</si>
  <si>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</si>
  <si>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</si>
  <si>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</si>
  <si>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</si>
  <si>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</si>
  <si>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</si>
  <si>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</si>
  <si>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</si>
  <si>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</si>
  <si>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</si>
  <si>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</si>
  <si>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</si>
  <si>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</si>
  <si>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</si>
  <si>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</si>
  <si>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</si>
  <si>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</si>
  <si>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</si>
  <si>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</si>
  <si>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</si>
  <si>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</si>
  <si>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</si>
  <si>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</si>
  <si>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</si>
  <si>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</si>
  <si>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</si>
  <si>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</si>
  <si>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35005</t>
  </si>
  <si>
    <t>GISTEL</t>
  </si>
  <si>
    <t>Paarden&amp;pony's 200 - 600 kg</t>
  </si>
  <si>
    <t>Paarden&amp;pony's &lt; 200 kg</t>
  </si>
  <si>
    <t>referentietaak LNE (2017); Jaarverslag De Lijn (2014)</t>
  </si>
  <si>
    <t>op basis van VEA (maart 2018) en Inventaris Hernieuwbare Energiebronnen (juni 2018)</t>
  </si>
  <si>
    <t>VEA (maart 2016)</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</si>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</sst>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90111.698721646244</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90111.698721646244</c:v>
                </c:pt>
                <c:pt idx="1">
                  <c:v>28349.561095951518</c:v>
                </c:pt>
                <c:pt idx="2">
                  <c:v>1059.76</c:v>
                </c:pt>
                <c:pt idx="3">
                  <c:v>10068.729833869624</c:v>
                </c:pt>
                <c:pt idx="4">
                  <c:v>15245.51710676216</c:v>
                </c:pt>
                <c:pt idx="5">
                  <c:v>183873.10056824755</c:v>
                </c:pt>
                <c:pt idx="6">
                  <c:v>1416.6404568769626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12713.080515865968</c:v>
                </c:pt>
                <c:pt idx="1">
                  <c:v>3892.043195424857</c:v>
                </c:pt>
                <c:pt idx="2">
                  <c:v>60.898311848519519</c:v>
                </c:pt>
                <c:pt idx="3">
                  <c:v>2126.4675350036741</c:v>
                </c:pt>
                <c:pt idx="4">
                  <c:v>2400.8261302445426</c:v>
                </c:pt>
                <c:pt idx="5">
                  <c:v>46160.71218633667</c:v>
                </c:pt>
                <c:pt idx="6">
                  <c:v>357.83662255210777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12713.080515865968</c:v>
                </c:pt>
                <c:pt idx="1">
                  <c:v>3892.043195424857</c:v>
                </c:pt>
                <c:pt idx="2">
                  <c:v>60.898311848519519</c:v>
                </c:pt>
                <c:pt idx="3">
                  <c:v>2126.4675350036741</c:v>
                </c:pt>
                <c:pt idx="4">
                  <c:v>2400.8261302445426</c:v>
                </c:pt>
                <c:pt idx="5">
                  <c:v>46160.71218633667</c:v>
                </c:pt>
                <c:pt idx="6">
                  <c:v>357.83662255210777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35005</v>
      </c>
      <c r="B6" s="416"/>
      <c r="C6" s="417"/>
    </row>
    <row r="7" spans="1:7" s="414" customFormat="1" ht="15.75" customHeight="1">
      <c r="A7" s="418" t="str">
        <f>txtMunicipality</f>
        <v>GISTEL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4898</v>
      </c>
      <c r="C9" s="342">
        <v>5156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3152</v>
      </c>
    </row>
    <row r="15" spans="1:6">
      <c r="A15" s="348" t="s">
        <v>184</v>
      </c>
      <c r="B15" s="334">
        <v>36</v>
      </c>
    </row>
    <row r="16" spans="1:6">
      <c r="A16" s="348" t="s">
        <v>6</v>
      </c>
      <c r="B16" s="334">
        <v>1594</v>
      </c>
    </row>
    <row r="17" spans="1:6">
      <c r="A17" s="348" t="s">
        <v>7</v>
      </c>
      <c r="B17" s="334">
        <v>753</v>
      </c>
    </row>
    <row r="18" spans="1:6">
      <c r="A18" s="348" t="s">
        <v>8</v>
      </c>
      <c r="B18" s="334">
        <v>1477</v>
      </c>
    </row>
    <row r="19" spans="1:6">
      <c r="A19" s="348" t="s">
        <v>9</v>
      </c>
      <c r="B19" s="334">
        <v>1427</v>
      </c>
    </row>
    <row r="20" spans="1:6">
      <c r="A20" s="348" t="s">
        <v>10</v>
      </c>
      <c r="B20" s="334">
        <v>920</v>
      </c>
    </row>
    <row r="21" spans="1:6">
      <c r="A21" s="348" t="s">
        <v>11</v>
      </c>
      <c r="B21" s="334">
        <v>9619</v>
      </c>
    </row>
    <row r="22" spans="1:6">
      <c r="A22" s="348" t="s">
        <v>12</v>
      </c>
      <c r="B22" s="334">
        <v>17219</v>
      </c>
    </row>
    <row r="23" spans="1:6">
      <c r="A23" s="348" t="s">
        <v>13</v>
      </c>
      <c r="B23" s="334">
        <v>185</v>
      </c>
    </row>
    <row r="24" spans="1:6">
      <c r="A24" s="348" t="s">
        <v>14</v>
      </c>
      <c r="B24" s="334">
        <v>8</v>
      </c>
    </row>
    <row r="25" spans="1:6">
      <c r="A25" s="348" t="s">
        <v>15</v>
      </c>
      <c r="B25" s="334">
        <v>1305</v>
      </c>
    </row>
    <row r="26" spans="1:6">
      <c r="A26" s="348" t="s">
        <v>16</v>
      </c>
      <c r="B26" s="334">
        <v>210</v>
      </c>
    </row>
    <row r="27" spans="1:6">
      <c r="A27" s="348" t="s">
        <v>17</v>
      </c>
      <c r="B27" s="334">
        <v>0</v>
      </c>
    </row>
    <row r="28" spans="1:6" s="356" customFormat="1">
      <c r="A28" s="355" t="s">
        <v>18</v>
      </c>
      <c r="B28" s="355">
        <v>69870</v>
      </c>
    </row>
    <row r="29" spans="1:6">
      <c r="A29" s="355" t="s">
        <v>865</v>
      </c>
      <c r="B29" s="355">
        <v>39</v>
      </c>
      <c r="C29" s="356"/>
      <c r="D29" s="356"/>
      <c r="E29" s="356"/>
      <c r="F29" s="356"/>
    </row>
    <row r="30" spans="1:6">
      <c r="A30" s="341" t="s">
        <v>866</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102705</v>
      </c>
    </row>
    <row r="37" spans="1:6">
      <c r="A37" s="348" t="s">
        <v>25</v>
      </c>
      <c r="B37" s="348" t="s">
        <v>28</v>
      </c>
      <c r="C37" s="334">
        <v>0</v>
      </c>
      <c r="D37" s="334">
        <v>0</v>
      </c>
      <c r="E37" s="334">
        <v>0</v>
      </c>
      <c r="F37" s="334">
        <v>0</v>
      </c>
    </row>
    <row r="38" spans="1:6">
      <c r="A38" s="348" t="s">
        <v>25</v>
      </c>
      <c r="B38" s="348" t="s">
        <v>29</v>
      </c>
      <c r="C38" s="334">
        <v>1</v>
      </c>
      <c r="D38" s="334">
        <v>601217</v>
      </c>
      <c r="E38" s="334">
        <v>1</v>
      </c>
      <c r="F38" s="334">
        <v>59530</v>
      </c>
    </row>
    <row r="39" spans="1:6">
      <c r="A39" s="348" t="s">
        <v>30</v>
      </c>
      <c r="B39" s="348" t="s">
        <v>31</v>
      </c>
      <c r="C39" s="334">
        <v>3485</v>
      </c>
      <c r="D39" s="334">
        <v>58361055</v>
      </c>
      <c r="E39" s="334">
        <v>4756</v>
      </c>
      <c r="F39" s="334">
        <v>19050063</v>
      </c>
    </row>
    <row r="40" spans="1:6">
      <c r="A40" s="348" t="s">
        <v>30</v>
      </c>
      <c r="B40" s="348" t="s">
        <v>29</v>
      </c>
      <c r="C40" s="334">
        <v>0</v>
      </c>
      <c r="D40" s="334">
        <v>0</v>
      </c>
      <c r="E40" s="334">
        <v>0</v>
      </c>
      <c r="F40" s="334">
        <v>0</v>
      </c>
    </row>
    <row r="41" spans="1:6">
      <c r="A41" s="348" t="s">
        <v>32</v>
      </c>
      <c r="B41" s="348" t="s">
        <v>33</v>
      </c>
      <c r="C41" s="334">
        <v>45</v>
      </c>
      <c r="D41" s="334">
        <v>4875076</v>
      </c>
      <c r="E41" s="334">
        <v>116</v>
      </c>
      <c r="F41" s="334">
        <v>2294652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643147</v>
      </c>
      <c r="E44" s="334">
        <v>13</v>
      </c>
      <c r="F44" s="334">
        <v>448475</v>
      </c>
    </row>
    <row r="45" spans="1:6">
      <c r="A45" s="348" t="s">
        <v>32</v>
      </c>
      <c r="B45" s="348" t="s">
        <v>37</v>
      </c>
      <c r="C45" s="334">
        <v>5</v>
      </c>
      <c r="D45" s="334">
        <v>685322</v>
      </c>
      <c r="E45" s="334">
        <v>6</v>
      </c>
      <c r="F45" s="334">
        <v>691398</v>
      </c>
    </row>
    <row r="46" spans="1:6">
      <c r="A46" s="348" t="s">
        <v>32</v>
      </c>
      <c r="B46" s="348" t="s">
        <v>38</v>
      </c>
      <c r="C46" s="334">
        <v>0</v>
      </c>
      <c r="D46" s="334">
        <v>0</v>
      </c>
      <c r="E46" s="334">
        <v>0</v>
      </c>
      <c r="F46" s="334">
        <v>0</v>
      </c>
    </row>
    <row r="47" spans="1:6">
      <c r="A47" s="348" t="s">
        <v>32</v>
      </c>
      <c r="B47" s="348" t="s">
        <v>39</v>
      </c>
      <c r="C47" s="334">
        <v>7</v>
      </c>
      <c r="D47" s="334">
        <v>418786</v>
      </c>
      <c r="E47" s="334">
        <v>6</v>
      </c>
      <c r="F47" s="334">
        <v>239067</v>
      </c>
    </row>
    <row r="48" spans="1:6">
      <c r="A48" s="348" t="s">
        <v>32</v>
      </c>
      <c r="B48" s="348" t="s">
        <v>29</v>
      </c>
      <c r="C48" s="334">
        <v>1</v>
      </c>
      <c r="D48" s="334">
        <v>21403</v>
      </c>
      <c r="E48" s="334">
        <v>2</v>
      </c>
      <c r="F48" s="334">
        <v>491421</v>
      </c>
    </row>
    <row r="49" spans="1:6">
      <c r="A49" s="348" t="s">
        <v>32</v>
      </c>
      <c r="B49" s="348" t="s">
        <v>40</v>
      </c>
      <c r="C49" s="334">
        <v>0</v>
      </c>
      <c r="D49" s="334">
        <v>0</v>
      </c>
      <c r="E49" s="334">
        <v>0</v>
      </c>
      <c r="F49" s="334">
        <v>0</v>
      </c>
    </row>
    <row r="50" spans="1:6">
      <c r="A50" s="348" t="s">
        <v>32</v>
      </c>
      <c r="B50" s="348" t="s">
        <v>41</v>
      </c>
      <c r="C50" s="334">
        <v>10</v>
      </c>
      <c r="D50" s="334">
        <v>351682</v>
      </c>
      <c r="E50" s="334">
        <v>13</v>
      </c>
      <c r="F50" s="334">
        <v>308072</v>
      </c>
    </row>
    <row r="51" spans="1:6">
      <c r="A51" s="348" t="s">
        <v>42</v>
      </c>
      <c r="B51" s="348" t="s">
        <v>43</v>
      </c>
      <c r="C51" s="334">
        <v>10</v>
      </c>
      <c r="D51" s="334">
        <v>1269862</v>
      </c>
      <c r="E51" s="334">
        <v>81</v>
      </c>
      <c r="F51" s="334">
        <v>2395006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54</v>
      </c>
      <c r="F54" s="334">
        <v>1059760</v>
      </c>
    </row>
    <row r="55" spans="1:6">
      <c r="A55" s="348" t="s">
        <v>46</v>
      </c>
      <c r="B55" s="348" t="s">
        <v>29</v>
      </c>
      <c r="C55" s="334">
        <v>0</v>
      </c>
      <c r="D55" s="334">
        <v>0</v>
      </c>
      <c r="E55" s="334">
        <v>0</v>
      </c>
      <c r="F55" s="334">
        <v>0</v>
      </c>
    </row>
    <row r="56" spans="1:6">
      <c r="A56" s="348" t="s">
        <v>48</v>
      </c>
      <c r="B56" s="348" t="s">
        <v>29</v>
      </c>
      <c r="C56" s="334">
        <v>72</v>
      </c>
      <c r="D56" s="334">
        <v>1330920</v>
      </c>
      <c r="E56" s="334">
        <v>137</v>
      </c>
      <c r="F56" s="334">
        <v>719132</v>
      </c>
    </row>
    <row r="57" spans="1:6">
      <c r="A57" s="348" t="s">
        <v>49</v>
      </c>
      <c r="B57" s="348" t="s">
        <v>50</v>
      </c>
      <c r="C57" s="334">
        <v>39</v>
      </c>
      <c r="D57" s="334">
        <v>2789954</v>
      </c>
      <c r="E57" s="334">
        <v>74</v>
      </c>
      <c r="F57" s="334">
        <v>2269357</v>
      </c>
    </row>
    <row r="58" spans="1:6">
      <c r="A58" s="348" t="s">
        <v>49</v>
      </c>
      <c r="B58" s="348" t="s">
        <v>51</v>
      </c>
      <c r="C58" s="334">
        <v>13</v>
      </c>
      <c r="D58" s="334">
        <v>1954921</v>
      </c>
      <c r="E58" s="334">
        <v>20</v>
      </c>
      <c r="F58" s="334">
        <v>569765</v>
      </c>
    </row>
    <row r="59" spans="1:6">
      <c r="A59" s="348" t="s">
        <v>49</v>
      </c>
      <c r="B59" s="348" t="s">
        <v>52</v>
      </c>
      <c r="C59" s="334">
        <v>86</v>
      </c>
      <c r="D59" s="334">
        <v>3539982</v>
      </c>
      <c r="E59" s="334">
        <v>194</v>
      </c>
      <c r="F59" s="334">
        <v>4875127</v>
      </c>
    </row>
    <row r="60" spans="1:6">
      <c r="A60" s="348" t="s">
        <v>49</v>
      </c>
      <c r="B60" s="348" t="s">
        <v>53</v>
      </c>
      <c r="C60" s="334">
        <v>30</v>
      </c>
      <c r="D60" s="334">
        <v>1232451</v>
      </c>
      <c r="E60" s="334">
        <v>42</v>
      </c>
      <c r="F60" s="334">
        <v>713210</v>
      </c>
    </row>
    <row r="61" spans="1:6">
      <c r="A61" s="348" t="s">
        <v>49</v>
      </c>
      <c r="B61" s="348" t="s">
        <v>54</v>
      </c>
      <c r="C61" s="334">
        <v>104</v>
      </c>
      <c r="D61" s="334">
        <v>3803442</v>
      </c>
      <c r="E61" s="334">
        <v>231</v>
      </c>
      <c r="F61" s="334">
        <v>2085346</v>
      </c>
    </row>
    <row r="62" spans="1:6">
      <c r="A62" s="348" t="s">
        <v>49</v>
      </c>
      <c r="B62" s="348" t="s">
        <v>55</v>
      </c>
      <c r="C62" s="334">
        <v>8</v>
      </c>
      <c r="D62" s="334">
        <v>1718750</v>
      </c>
      <c r="E62" s="334">
        <v>10</v>
      </c>
      <c r="F62" s="334">
        <v>394835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145290</v>
      </c>
      <c r="E68" s="334">
        <v>13</v>
      </c>
      <c r="F68" s="334">
        <v>150521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46921207</v>
      </c>
      <c r="E73" s="477">
        <v>41407394.141307347</v>
      </c>
    </row>
    <row r="74" spans="1:6">
      <c r="A74" s="348" t="s">
        <v>64</v>
      </c>
      <c r="B74" s="348" t="s">
        <v>714</v>
      </c>
      <c r="C74" s="1288" t="s">
        <v>716</v>
      </c>
      <c r="D74" s="477">
        <v>5253081.9241362801</v>
      </c>
      <c r="E74" s="477">
        <v>4800868.1938447123</v>
      </c>
    </row>
    <row r="75" spans="1:6">
      <c r="A75" s="348" t="s">
        <v>65</v>
      </c>
      <c r="B75" s="348" t="s">
        <v>713</v>
      </c>
      <c r="C75" s="1288" t="s">
        <v>717</v>
      </c>
      <c r="D75" s="477">
        <v>8828511</v>
      </c>
      <c r="E75" s="477">
        <v>7855341.371868005</v>
      </c>
    </row>
    <row r="76" spans="1:6">
      <c r="A76" s="348" t="s">
        <v>65</v>
      </c>
      <c r="B76" s="348" t="s">
        <v>714</v>
      </c>
      <c r="C76" s="1288" t="s">
        <v>718</v>
      </c>
      <c r="D76" s="477">
        <v>699106.92413628031</v>
      </c>
      <c r="E76" s="477">
        <v>615629.16735088651</v>
      </c>
    </row>
    <row r="77" spans="1:6">
      <c r="A77" s="348" t="s">
        <v>66</v>
      </c>
      <c r="B77" s="348" t="s">
        <v>713</v>
      </c>
      <c r="C77" s="1288" t="s">
        <v>719</v>
      </c>
      <c r="D77" s="477">
        <v>100240153</v>
      </c>
      <c r="E77" s="477">
        <v>113966807.54507591</v>
      </c>
    </row>
    <row r="78" spans="1:6">
      <c r="A78" s="341" t="s">
        <v>66</v>
      </c>
      <c r="B78" s="341" t="s">
        <v>714</v>
      </c>
      <c r="C78" s="341" t="s">
        <v>720</v>
      </c>
      <c r="D78" s="1284">
        <v>24541579</v>
      </c>
      <c r="E78" s="1284">
        <v>27296883.599749487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378560.15172743925</v>
      </c>
      <c r="C83" s="477">
        <v>381791.72117529763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24176.78066596196</v>
      </c>
    </row>
    <row r="91" spans="1:6">
      <c r="A91" s="348" t="s">
        <v>68</v>
      </c>
      <c r="B91" s="334">
        <v>2489.9001201380406</v>
      </c>
    </row>
    <row r="92" spans="1:6">
      <c r="A92" s="341" t="s">
        <v>69</v>
      </c>
      <c r="B92" s="342">
        <v>2555.2326944886486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41251.833081213808</v>
      </c>
      <c r="C3" s="43" t="s">
        <v>170</v>
      </c>
      <c r="D3" s="43"/>
      <c r="E3" s="154"/>
      <c r="F3" s="43"/>
      <c r="G3" s="43"/>
      <c r="H3" s="43"/>
      <c r="I3" s="43"/>
      <c r="J3" s="43"/>
      <c r="K3" s="96"/>
    </row>
    <row r="4" spans="1:11">
      <c r="A4" s="384" t="s">
        <v>171</v>
      </c>
      <c r="B4" s="49">
        <f>IF(ISERROR('SEAP template'!B69),0,'SEAP template'!B69)</f>
        <v>30525.563480588651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5.7464248366157919E-2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1283.7857142857144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1059.76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1059.76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5.7464248366157919E-2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60.898311848519519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19050.062999999998</v>
      </c>
      <c r="C5" s="17">
        <f>IF(ISERROR('Eigen informatie GS &amp; warmtenet'!B57),0,'Eigen informatie GS &amp; warmtenet'!B57)</f>
        <v>0</v>
      </c>
      <c r="D5" s="30">
        <f>(SUM(HH_hh_gas_kWh,HH_rest_gas_kWh)/1000)*0.902</f>
        <v>52641.671610000005</v>
      </c>
      <c r="E5" s="17">
        <f>B46*B57</f>
        <v>1897.7082741754241</v>
      </c>
      <c r="F5" s="17">
        <f>B51*B62</f>
        <v>0</v>
      </c>
      <c r="G5" s="18"/>
      <c r="H5" s="17"/>
      <c r="I5" s="17"/>
      <c r="J5" s="17">
        <f>B50*B61+C50*C61</f>
        <v>1160.749383826691</v>
      </c>
      <c r="K5" s="17"/>
      <c r="L5" s="17"/>
      <c r="M5" s="17"/>
      <c r="N5" s="17">
        <f>B48*B59+C48*C59</f>
        <v>12337.036333506061</v>
      </c>
      <c r="O5" s="17">
        <f>B69*B70*B71</f>
        <v>248.57000000000002</v>
      </c>
      <c r="P5" s="17">
        <f>B77*B78*B79/1000-B77*B78*B79/1000/B80</f>
        <v>286</v>
      </c>
    </row>
    <row r="6" spans="1:16">
      <c r="A6" s="16" t="s">
        <v>631</v>
      </c>
      <c r="B6" s="844">
        <f>kWh_PV_kleiner_dan_10kW</f>
        <v>2489.9001201380406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21539.96312013804</v>
      </c>
      <c r="C8" s="21">
        <f>C5</f>
        <v>0</v>
      </c>
      <c r="D8" s="21">
        <f>D5</f>
        <v>52641.671610000005</v>
      </c>
      <c r="E8" s="21">
        <f>E5</f>
        <v>1897.7082741754241</v>
      </c>
      <c r="F8" s="21">
        <f>F5</f>
        <v>0</v>
      </c>
      <c r="G8" s="21"/>
      <c r="H8" s="21"/>
      <c r="I8" s="21"/>
      <c r="J8" s="21">
        <f>J5</f>
        <v>1160.749383826691</v>
      </c>
      <c r="K8" s="21"/>
      <c r="L8" s="21">
        <f>L5</f>
        <v>0</v>
      </c>
      <c r="M8" s="21">
        <f>M5</f>
        <v>0</v>
      </c>
      <c r="N8" s="21">
        <f>N5</f>
        <v>12337.036333506061</v>
      </c>
      <c r="O8" s="21">
        <f>O5</f>
        <v>248.57000000000002</v>
      </c>
      <c r="P8" s="21">
        <f>P5</f>
        <v>286</v>
      </c>
    </row>
    <row r="9" spans="1:16">
      <c r="B9" s="19"/>
      <c r="C9" s="19"/>
      <c r="D9" s="258"/>
      <c r="E9" s="19"/>
      <c r="F9" s="19"/>
      <c r="G9" s="19"/>
      <c r="H9" s="19"/>
      <c r="I9" s="19"/>
      <c r="J9" s="19"/>
      <c r="K9" s="19"/>
      <c r="L9" s="19"/>
      <c r="M9" s="19"/>
      <c r="N9" s="19"/>
      <c r="O9" s="19"/>
      <c r="P9" s="19"/>
    </row>
    <row r="10" spans="1:16">
      <c r="A10" s="24" t="s">
        <v>214</v>
      </c>
      <c r="B10" s="25">
        <f ca="1">'EF ele_warmte'!B12</f>
        <v>5.7464248366157919E-2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1237.7777905334942</v>
      </c>
      <c r="C12" s="23">
        <f ca="1">C10*C8</f>
        <v>0</v>
      </c>
      <c r="D12" s="23">
        <f>D8*D10</f>
        <v>10633.617665220001</v>
      </c>
      <c r="E12" s="23">
        <f>E10*E8</f>
        <v>430.77977823782129</v>
      </c>
      <c r="F12" s="23">
        <f>F10*F8</f>
        <v>0</v>
      </c>
      <c r="G12" s="23"/>
      <c r="H12" s="23"/>
      <c r="I12" s="23"/>
      <c r="J12" s="23">
        <f>J10*J8</f>
        <v>410.90528187464861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4898</v>
      </c>
      <c r="C28" s="36"/>
      <c r="D28" s="228"/>
    </row>
    <row r="29" spans="1:7" s="15" customFormat="1">
      <c r="A29" s="230" t="s">
        <v>741</v>
      </c>
      <c r="B29" s="37">
        <f>SUM(HH_hh_gas_aantal,HH_rest_gas_aantal)</f>
        <v>3485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3485</v>
      </c>
      <c r="C32" s="167">
        <f>IF(ISERROR(B32/SUM($B$32,$B$34,$B$35,$B$36,$B$38,$B$39)*100),0,B32/SUM($B$32,$B$34,$B$35,$B$36,$B$38,$B$39)*100)</f>
        <v>71.370059389719458</v>
      </c>
      <c r="D32" s="233"/>
      <c r="G32" s="15"/>
    </row>
    <row r="33" spans="1:7">
      <c r="A33" s="171" t="s">
        <v>72</v>
      </c>
      <c r="B33" s="34" t="s">
        <v>111</v>
      </c>
      <c r="C33" s="167"/>
      <c r="D33" s="233"/>
      <c r="G33" s="15"/>
    </row>
    <row r="34" spans="1:7">
      <c r="A34" s="171" t="s">
        <v>73</v>
      </c>
      <c r="B34" s="33">
        <f>IF((($B$28-$B$32-$B$39-$B$77-$B$38)*C20/100)&lt;0,0,($B$28-$B$32-$B$39-$B$77-$B$38)*C20/100)</f>
        <v>127.18801996672214</v>
      </c>
      <c r="C34" s="167">
        <f>IF(ISERROR(B34/SUM($B$32,$B$34,$B$35,$B$36,$B$38,$B$39)*100),0,B34/SUM($B$32,$B$34,$B$35,$B$36,$B$38,$B$39)*100)</f>
        <v>2.6047106280303534</v>
      </c>
      <c r="D34" s="233"/>
      <c r="G34" s="15"/>
    </row>
    <row r="35" spans="1:7">
      <c r="A35" s="171" t="s">
        <v>74</v>
      </c>
      <c r="B35" s="33">
        <f>IF((($B$28-$B$32-$B$39-$B$77-$B$38)*C21/100)&lt;0,0,($B$28-$B$32-$B$39-$B$77-$B$38)*C21/100)</f>
        <v>1019.7753743760398</v>
      </c>
      <c r="C35" s="167">
        <f>IF(ISERROR(B35/SUM($B$32,$B$34,$B$35,$B$36,$B$38,$B$39)*100),0,B35/SUM($B$32,$B$34,$B$35,$B$36,$B$38,$B$39)*100)</f>
        <v>20.884197714029082</v>
      </c>
      <c r="D35" s="233"/>
      <c r="G35" s="15"/>
    </row>
    <row r="36" spans="1:7">
      <c r="A36" s="171" t="s">
        <v>75</v>
      </c>
      <c r="B36" s="33">
        <f>IF((($B$28-$B$32-$B$39-$B$77-$B$38)*C22/100)&lt;0,0,($B$28-$B$32-$B$39-$B$77-$B$38)*C22/100)</f>
        <v>218.03660565723791</v>
      </c>
      <c r="C36" s="167">
        <f>IF(ISERROR(B36/SUM($B$32,$B$34,$B$35,$B$36,$B$38,$B$39)*100),0,B36/SUM($B$32,$B$34,$B$35,$B$36,$B$38,$B$39)*100)</f>
        <v>4.4652182194806054</v>
      </c>
      <c r="D36" s="233"/>
      <c r="G36" s="15"/>
    </row>
    <row r="37" spans="1:7">
      <c r="A37" s="171" t="s">
        <v>76</v>
      </c>
      <c r="B37" s="34" t="s">
        <v>111</v>
      </c>
      <c r="C37" s="167"/>
      <c r="D37" s="173"/>
      <c r="G37" s="15"/>
    </row>
    <row r="38" spans="1:7">
      <c r="A38" s="171" t="s">
        <v>77</v>
      </c>
      <c r="B38" s="33">
        <f>IF((B24-(B29-B18)*0.1)&lt;0,0,B24-(B29-B18)*0.1)</f>
        <v>33</v>
      </c>
      <c r="C38" s="167">
        <f>IF(ISERROR(B38/SUM($B$32,$B$34,$B$35,$B$36,$B$38,$B$39)*100),0,B38/SUM($B$32,$B$34,$B$35,$B$36,$B$38,$B$39)*100)</f>
        <v>0.67581404874052842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3485</v>
      </c>
      <c r="C44" s="34" t="s">
        <v>111</v>
      </c>
      <c r="D44" s="174"/>
    </row>
    <row r="45" spans="1:7">
      <c r="A45" s="171" t="s">
        <v>72</v>
      </c>
      <c r="B45" s="33" t="str">
        <f t="shared" si="0"/>
        <v>-</v>
      </c>
      <c r="C45" s="34" t="s">
        <v>111</v>
      </c>
      <c r="D45" s="174"/>
    </row>
    <row r="46" spans="1:7">
      <c r="A46" s="171" t="s">
        <v>73</v>
      </c>
      <c r="B46" s="33">
        <f t="shared" si="0"/>
        <v>127.18801996672214</v>
      </c>
      <c r="C46" s="34" t="s">
        <v>111</v>
      </c>
      <c r="D46" s="174"/>
    </row>
    <row r="47" spans="1:7">
      <c r="A47" s="171" t="s">
        <v>74</v>
      </c>
      <c r="B47" s="33">
        <f t="shared" si="0"/>
        <v>1019.7753743760398</v>
      </c>
      <c r="C47" s="34" t="s">
        <v>111</v>
      </c>
      <c r="D47" s="174"/>
    </row>
    <row r="48" spans="1:7">
      <c r="A48" s="171" t="s">
        <v>75</v>
      </c>
      <c r="B48" s="33">
        <f t="shared" si="0"/>
        <v>218.03660565723791</v>
      </c>
      <c r="C48" s="33">
        <f>B48*10</f>
        <v>2180.366056572379</v>
      </c>
      <c r="D48" s="234"/>
    </row>
    <row r="49" spans="1:6">
      <c r="A49" s="171" t="s">
        <v>76</v>
      </c>
      <c r="B49" s="33" t="str">
        <f t="shared" si="0"/>
        <v>-</v>
      </c>
      <c r="C49" s="34" t="s">
        <v>111</v>
      </c>
      <c r="D49" s="234"/>
    </row>
    <row r="50" spans="1:6">
      <c r="A50" s="171" t="s">
        <v>77</v>
      </c>
      <c r="B50" s="33">
        <f t="shared" si="0"/>
        <v>33</v>
      </c>
      <c r="C50" s="33">
        <f>B50*2</f>
        <v>66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10907.64</v>
      </c>
      <c r="C5" s="17">
        <f>IF(ISERROR('Eigen informatie GS &amp; warmtenet'!B58),0,'Eigen informatie GS &amp; warmtenet'!B58)</f>
        <v>0</v>
      </c>
      <c r="D5" s="30">
        <f>SUM(D6:D12)</f>
        <v>13565.629000000001</v>
      </c>
      <c r="E5" s="17">
        <f>SUM(E6:E12)</f>
        <v>96.846750611833713</v>
      </c>
      <c r="F5" s="17">
        <f>SUM(F6:F12)</f>
        <v>1699.8901072444446</v>
      </c>
      <c r="G5" s="18"/>
      <c r="H5" s="17"/>
      <c r="I5" s="17"/>
      <c r="J5" s="17">
        <f>SUM(J6:J12)</f>
        <v>0</v>
      </c>
      <c r="K5" s="17"/>
      <c r="L5" s="17"/>
      <c r="M5" s="17"/>
      <c r="N5" s="17">
        <f>SUM(N6:N12)</f>
        <v>1664.14676469444</v>
      </c>
      <c r="O5" s="17">
        <f>B38*B39*B40</f>
        <v>3.1266666666666669</v>
      </c>
      <c r="P5" s="17">
        <f>B46*B47*B48/1000-B46*B47*B48/1000/B49</f>
        <v>0</v>
      </c>
      <c r="R5" s="32"/>
    </row>
    <row r="6" spans="1:18">
      <c r="A6" s="32" t="s">
        <v>54</v>
      </c>
      <c r="B6" s="37">
        <f>B26</f>
        <v>2085.346</v>
      </c>
      <c r="C6" s="33"/>
      <c r="D6" s="37">
        <f>IF(ISERROR(TER_kantoor_gas_kWh/1000),0,TER_kantoor_gas_kWh/1000)*0.902</f>
        <v>3430.7046840000003</v>
      </c>
      <c r="E6" s="33">
        <f>$C$26*'E Balans VL '!I12/100/3.6*1000000</f>
        <v>6.0415533256415799</v>
      </c>
      <c r="F6" s="33">
        <f>$C$26*('E Balans VL '!L12+'E Balans VL '!N12)/100/3.6*1000000</f>
        <v>236.01522346549456</v>
      </c>
      <c r="G6" s="34"/>
      <c r="H6" s="33"/>
      <c r="I6" s="33"/>
      <c r="J6" s="33">
        <f>$C$26*('E Balans VL '!D12+'E Balans VL '!E12)/100/3.6*1000000</f>
        <v>0</v>
      </c>
      <c r="K6" s="33"/>
      <c r="L6" s="33"/>
      <c r="M6" s="33"/>
      <c r="N6" s="33">
        <f>$C$26*'E Balans VL '!Y12/100/3.6*1000000</f>
        <v>20.872776908462068</v>
      </c>
      <c r="O6" s="33"/>
      <c r="P6" s="33"/>
      <c r="R6" s="32"/>
    </row>
    <row r="7" spans="1:18">
      <c r="A7" s="32" t="s">
        <v>53</v>
      </c>
      <c r="B7" s="37">
        <f t="shared" ref="B7:B12" si="0">B27</f>
        <v>713.21</v>
      </c>
      <c r="C7" s="33"/>
      <c r="D7" s="37">
        <f>IF(ISERROR(TER_horeca_gas_kWh/1000),0,TER_horeca_gas_kWh/1000)*0.902</f>
        <v>1111.6708020000001</v>
      </c>
      <c r="E7" s="33">
        <f>$C$27*'E Balans VL '!I9/100/3.6*1000000</f>
        <v>29.93856313064278</v>
      </c>
      <c r="F7" s="33">
        <f>$C$27*('E Balans VL '!L9+'E Balans VL '!N9)/100/3.6*1000000</f>
        <v>153.24779424854611</v>
      </c>
      <c r="G7" s="34"/>
      <c r="H7" s="33"/>
      <c r="I7" s="33"/>
      <c r="J7" s="33">
        <f>$C$27*('E Balans VL '!D9+'E Balans VL '!E9)/100/3.6*1000000</f>
        <v>0</v>
      </c>
      <c r="K7" s="33"/>
      <c r="L7" s="33"/>
      <c r="M7" s="33"/>
      <c r="N7" s="33">
        <f>$C$27*'E Balans VL '!Y9/100/3.6*1000000</f>
        <v>0.1837879797522794</v>
      </c>
      <c r="O7" s="33"/>
      <c r="P7" s="33"/>
      <c r="R7" s="32"/>
    </row>
    <row r="8" spans="1:18">
      <c r="A8" s="6" t="s">
        <v>52</v>
      </c>
      <c r="B8" s="37">
        <f t="shared" si="0"/>
        <v>4875.1270000000004</v>
      </c>
      <c r="C8" s="33"/>
      <c r="D8" s="37">
        <f>IF(ISERROR(TER_handel_gas_kWh/1000),0,TER_handel_gas_kWh/1000)*0.902</f>
        <v>3193.063764</v>
      </c>
      <c r="E8" s="33">
        <f>$C$28*'E Balans VL '!I13/100/3.6*1000000</f>
        <v>52.362921432862549</v>
      </c>
      <c r="F8" s="33">
        <f>$C$28*('E Balans VL '!L13+'E Balans VL '!N13)/100/3.6*1000000</f>
        <v>631.1254481188563</v>
      </c>
      <c r="G8" s="34"/>
      <c r="H8" s="33"/>
      <c r="I8" s="33"/>
      <c r="J8" s="33">
        <f>$C$28*('E Balans VL '!D13+'E Balans VL '!E13)/100/3.6*1000000</f>
        <v>0</v>
      </c>
      <c r="K8" s="33"/>
      <c r="L8" s="33"/>
      <c r="M8" s="33"/>
      <c r="N8" s="33">
        <f>$C$28*'E Balans VL '!Y13/100/3.6*1000000</f>
        <v>39.547296417508171</v>
      </c>
      <c r="O8" s="33"/>
      <c r="P8" s="33"/>
      <c r="R8" s="32"/>
    </row>
    <row r="9" spans="1:18">
      <c r="A9" s="32" t="s">
        <v>51</v>
      </c>
      <c r="B9" s="37">
        <f t="shared" si="0"/>
        <v>569.76499999999999</v>
      </c>
      <c r="C9" s="33"/>
      <c r="D9" s="37">
        <f>IF(ISERROR(TER_gezond_gas_kWh/1000),0,TER_gezond_gas_kWh/1000)*0.902</f>
        <v>1763.3387420000001</v>
      </c>
      <c r="E9" s="33">
        <f>$C$29*'E Balans VL '!I10/100/3.6*1000000</f>
        <v>0.45356979141292142</v>
      </c>
      <c r="F9" s="33">
        <f>$C$29*('E Balans VL '!L10+'E Balans VL '!N10)/100/3.6*1000000</f>
        <v>69.263169595875823</v>
      </c>
      <c r="G9" s="34"/>
      <c r="H9" s="33"/>
      <c r="I9" s="33"/>
      <c r="J9" s="33">
        <f>$C$29*('E Balans VL '!D10+'E Balans VL '!E10)/100/3.6*1000000</f>
        <v>0</v>
      </c>
      <c r="K9" s="33"/>
      <c r="L9" s="33"/>
      <c r="M9" s="33"/>
      <c r="N9" s="33">
        <f>$C$29*'E Balans VL '!Y10/100/3.6*1000000</f>
        <v>4.6024107206811786</v>
      </c>
      <c r="O9" s="33"/>
      <c r="P9" s="33"/>
      <c r="R9" s="32"/>
    </row>
    <row r="10" spans="1:18">
      <c r="A10" s="32" t="s">
        <v>50</v>
      </c>
      <c r="B10" s="37">
        <f t="shared" si="0"/>
        <v>2269.357</v>
      </c>
      <c r="C10" s="33"/>
      <c r="D10" s="37">
        <f>IF(ISERROR(TER_ander_gas_kWh/1000),0,TER_ander_gas_kWh/1000)*0.902</f>
        <v>2516.5385080000001</v>
      </c>
      <c r="E10" s="33">
        <f>$C$30*'E Balans VL '!I14/100/3.6*1000000</f>
        <v>7.7772056557348686</v>
      </c>
      <c r="F10" s="33">
        <f>$C$30*('E Balans VL '!L14+'E Balans VL '!N14)/100/3.6*1000000</f>
        <v>506.88213799421942</v>
      </c>
      <c r="G10" s="34"/>
      <c r="H10" s="33"/>
      <c r="I10" s="33"/>
      <c r="J10" s="33">
        <f>$C$30*('E Balans VL '!D14+'E Balans VL '!E14)/100/3.6*1000000</f>
        <v>0</v>
      </c>
      <c r="K10" s="33"/>
      <c r="L10" s="33"/>
      <c r="M10" s="33"/>
      <c r="N10" s="33">
        <f>$C$30*'E Balans VL '!Y14/100/3.6*1000000</f>
        <v>1598.5474680549582</v>
      </c>
      <c r="O10" s="33"/>
      <c r="P10" s="33"/>
      <c r="R10" s="32"/>
    </row>
    <row r="11" spans="1:18">
      <c r="A11" s="32" t="s">
        <v>55</v>
      </c>
      <c r="B11" s="37">
        <f t="shared" si="0"/>
        <v>394.83499999999998</v>
      </c>
      <c r="C11" s="33"/>
      <c r="D11" s="37">
        <f>IF(ISERROR(TER_onderwijs_gas_kWh/1000),0,TER_onderwijs_gas_kWh/1000)*0.902</f>
        <v>1550.3125</v>
      </c>
      <c r="E11" s="33">
        <f>$C$31*'E Balans VL '!I11/100/3.6*1000000</f>
        <v>0.27293727553900404</v>
      </c>
      <c r="F11" s="33">
        <f>$C$31*('E Balans VL '!L11+'E Balans VL '!N11)/100/3.6*1000000</f>
        <v>103.35633382145244</v>
      </c>
      <c r="G11" s="34"/>
      <c r="H11" s="33"/>
      <c r="I11" s="33"/>
      <c r="J11" s="33">
        <f>$C$31*('E Balans VL '!D11+'E Balans VL '!E11)/100/3.6*1000000</f>
        <v>0</v>
      </c>
      <c r="K11" s="33"/>
      <c r="L11" s="33"/>
      <c r="M11" s="33"/>
      <c r="N11" s="33">
        <f>$C$31*'E Balans VL '!Y11/100/3.6*1000000</f>
        <v>0.39302461307807263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855</v>
      </c>
      <c r="C13" s="247">
        <f ca="1">'lokale energieproductie'!O90+'lokale energieproductie'!O59</f>
        <v>1221.4285714285716</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-2442.8571428571431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11762.64</v>
      </c>
      <c r="C16" s="21">
        <f t="shared" ca="1" si="1"/>
        <v>1221.4285714285716</v>
      </c>
      <c r="D16" s="21">
        <f t="shared" ca="1" si="1"/>
        <v>13565.629000000001</v>
      </c>
      <c r="E16" s="21">
        <f t="shared" si="1"/>
        <v>96.846750611833713</v>
      </c>
      <c r="F16" s="21">
        <f t="shared" ca="1" si="1"/>
        <v>1699.8901072444446</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5.7464248366157919E-2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675.93126640170374</v>
      </c>
      <c r="C20" s="23">
        <f t="shared" ref="C20:P20" ca="1" si="2">C16*C18</f>
        <v>0</v>
      </c>
      <c r="D20" s="23">
        <f t="shared" ca="1" si="2"/>
        <v>2740.2570580000001</v>
      </c>
      <c r="E20" s="23">
        <f t="shared" si="2"/>
        <v>21.984212388886252</v>
      </c>
      <c r="F20" s="23">
        <f t="shared" ca="1" si="2"/>
        <v>453.87065863426676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2085.346</v>
      </c>
      <c r="C26" s="39">
        <f>IF(ISERROR(B26*3.6/1000000/'E Balans VL '!Z12*100),0,B26*3.6/1000000/'E Balans VL '!Z12*100)</f>
        <v>4.580703579139702E-2</v>
      </c>
      <c r="D26" s="237" t="s">
        <v>692</v>
      </c>
      <c r="F26" s="6"/>
    </row>
    <row r="27" spans="1:18">
      <c r="A27" s="231" t="s">
        <v>53</v>
      </c>
      <c r="B27" s="33">
        <f>IF(ISERROR(TER_horeca_ele_kWh/1000),0,TER_horeca_ele_kWh/1000)</f>
        <v>713.21</v>
      </c>
      <c r="C27" s="39">
        <f>IF(ISERROR(B27*3.6/1000000/'E Balans VL '!Z9*100),0,B27*3.6/1000000/'E Balans VL '!Z9*100)</f>
        <v>5.7313532861249225E-2</v>
      </c>
      <c r="D27" s="237" t="s">
        <v>692</v>
      </c>
      <c r="F27" s="6"/>
    </row>
    <row r="28" spans="1:18">
      <c r="A28" s="171" t="s">
        <v>52</v>
      </c>
      <c r="B28" s="33">
        <f>IF(ISERROR(TER_handel_ele_kWh/1000),0,TER_handel_ele_kWh/1000)</f>
        <v>4875.1270000000004</v>
      </c>
      <c r="C28" s="39">
        <f>IF(ISERROR(B28*3.6/1000000/'E Balans VL '!Z13*100),0,B28*3.6/1000000/'E Balans VL '!Z13*100)</f>
        <v>0.14415409955476693</v>
      </c>
      <c r="D28" s="237" t="s">
        <v>692</v>
      </c>
      <c r="F28" s="6"/>
    </row>
    <row r="29" spans="1:18">
      <c r="A29" s="231" t="s">
        <v>51</v>
      </c>
      <c r="B29" s="33">
        <f>IF(ISERROR(TER_gezond_ele_kWh/1000),0,TER_gezond_ele_kWh/1000)</f>
        <v>569.76499999999999</v>
      </c>
      <c r="C29" s="39">
        <f>IF(ISERROR(B29*3.6/1000000/'E Balans VL '!Z10*100),0,B29*3.6/1000000/'E Balans VL '!Z10*100)</f>
        <v>6.419780546439291E-2</v>
      </c>
      <c r="D29" s="237" t="s">
        <v>692</v>
      </c>
      <c r="F29" s="6"/>
    </row>
    <row r="30" spans="1:18">
      <c r="A30" s="231" t="s">
        <v>50</v>
      </c>
      <c r="B30" s="33">
        <f>IF(ISERROR(TER_ander_ele_kWh/1000),0,TER_ander_ele_kWh/1000)</f>
        <v>2269.357</v>
      </c>
      <c r="C30" s="39">
        <f>IF(ISERROR(B30*3.6/1000000/'E Balans VL '!Z14*100),0,B30*3.6/1000000/'E Balans VL '!Z14*100)</f>
        <v>0.1716275906194363</v>
      </c>
      <c r="D30" s="237" t="s">
        <v>692</v>
      </c>
      <c r="F30" s="6"/>
    </row>
    <row r="31" spans="1:18">
      <c r="A31" s="231" t="s">
        <v>55</v>
      </c>
      <c r="B31" s="33">
        <f>IF(ISERROR(TER_onderwijs_ele_kWh/1000),0,TER_onderwijs_ele_kWh/1000)</f>
        <v>394.83499999999998</v>
      </c>
      <c r="C31" s="39">
        <f>IF(ISERROR(B31*3.6/1000000/'E Balans VL '!Z11*100),0,B31*3.6/1000000/'E Balans VL '!Z11*100)</f>
        <v>8.1958580298962427E-2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4473.085</v>
      </c>
      <c r="C5" s="17">
        <f>IF(ISERROR('Eigen informatie GS &amp; warmtenet'!B59),0,'Eigen informatie GS &amp; warmtenet'!B59)</f>
        <v>0</v>
      </c>
      <c r="D5" s="30">
        <f>SUM(D6:D15)</f>
        <v>6309.8652320000001</v>
      </c>
      <c r="E5" s="17">
        <f>SUM(E6:E15)</f>
        <v>672.88873910427219</v>
      </c>
      <c r="F5" s="17">
        <f>SUM(F6:F15)</f>
        <v>2669.44677941994</v>
      </c>
      <c r="G5" s="18"/>
      <c r="H5" s="17"/>
      <c r="I5" s="17"/>
      <c r="J5" s="17">
        <f>SUM(J6:J15)</f>
        <v>10.460034168964395</v>
      </c>
      <c r="K5" s="17"/>
      <c r="L5" s="17"/>
      <c r="M5" s="17"/>
      <c r="N5" s="17">
        <f>SUM(N6:N15)</f>
        <v>1109.7713220689866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448.47500000000002</v>
      </c>
      <c r="C8" s="33"/>
      <c r="D8" s="37">
        <f>IF( ISERROR(IND_metaal_Gas_kWH/1000),0,IND_metaal_Gas_kWH/1000)*0.902</f>
        <v>580.11859400000003</v>
      </c>
      <c r="E8" s="33">
        <f>C30*'E Balans VL '!I18/100/3.6*1000000</f>
        <v>11.223759621127106</v>
      </c>
      <c r="F8" s="33">
        <f>C30*'E Balans VL '!L18/100/3.6*1000000+C30*'E Balans VL '!N18/100/3.6*1000000</f>
        <v>140.55429582937703</v>
      </c>
      <c r="G8" s="34"/>
      <c r="H8" s="33"/>
      <c r="I8" s="33"/>
      <c r="J8" s="40">
        <f>C30*'E Balans VL '!D18/100/3.6*1000000+C30*'E Balans VL '!E18/100/3.6*1000000</f>
        <v>0</v>
      </c>
      <c r="K8" s="33"/>
      <c r="L8" s="33"/>
      <c r="M8" s="33"/>
      <c r="N8" s="33">
        <f>C30*'E Balans VL '!Y18/100/3.6*1000000</f>
        <v>11.26685589411735</v>
      </c>
      <c r="O8" s="33"/>
      <c r="P8" s="33"/>
      <c r="R8" s="32"/>
    </row>
    <row r="9" spans="1:18">
      <c r="A9" s="6" t="s">
        <v>33</v>
      </c>
      <c r="B9" s="37">
        <f t="shared" si="0"/>
        <v>2294.652</v>
      </c>
      <c r="C9" s="33"/>
      <c r="D9" s="37">
        <f>IF( ISERROR(IND_andere_gas_kWh/1000),0,IND_andere_gas_kWh/1000)*0.902</f>
        <v>4397.3185519999997</v>
      </c>
      <c r="E9" s="33">
        <f>C31*'E Balans VL '!I19/100/3.6*1000000</f>
        <v>630.93518472065057</v>
      </c>
      <c r="F9" s="33">
        <f>C31*'E Balans VL '!L19/100/3.6*1000000+C31*'E Balans VL '!N19/100/3.6*1000000</f>
        <v>1808.5850741167901</v>
      </c>
      <c r="G9" s="34"/>
      <c r="H9" s="33"/>
      <c r="I9" s="33"/>
      <c r="J9" s="40">
        <f>C31*'E Balans VL '!D19/100/3.6*1000000+C31*'E Balans VL '!E19/100/3.6*1000000</f>
        <v>0</v>
      </c>
      <c r="K9" s="33"/>
      <c r="L9" s="33"/>
      <c r="M9" s="33"/>
      <c r="N9" s="33">
        <f>C31*'E Balans VL '!Y19/100/3.6*1000000</f>
        <v>742.83942107728922</v>
      </c>
      <c r="O9" s="33"/>
      <c r="P9" s="33"/>
      <c r="R9" s="32"/>
    </row>
    <row r="10" spans="1:18">
      <c r="A10" s="6" t="s">
        <v>41</v>
      </c>
      <c r="B10" s="37">
        <f t="shared" si="0"/>
        <v>308.072</v>
      </c>
      <c r="C10" s="33"/>
      <c r="D10" s="37">
        <f>IF( ISERROR(IND_voed_gas_kWh/1000),0,IND_voed_gas_kWh/1000)*0.902</f>
        <v>317.21716400000003</v>
      </c>
      <c r="E10" s="33">
        <f>C32*'E Balans VL '!I20/100/3.6*1000000</f>
        <v>3.1406243221667864</v>
      </c>
      <c r="F10" s="33">
        <f>C32*'E Balans VL '!L20/100/3.6*1000000+C32*'E Balans VL '!N20/100/3.6*1000000</f>
        <v>581.94608119563634</v>
      </c>
      <c r="G10" s="34"/>
      <c r="H10" s="33"/>
      <c r="I10" s="33"/>
      <c r="J10" s="40">
        <f>C32*'E Balans VL '!D20/100/3.6*1000000+C32*'E Balans VL '!E20/100/3.6*1000000</f>
        <v>7.3731709761476907</v>
      </c>
      <c r="K10" s="33"/>
      <c r="L10" s="33"/>
      <c r="M10" s="33"/>
      <c r="N10" s="33">
        <f>C32*'E Balans VL '!Y20/100/3.6*1000000</f>
        <v>162.38942954303619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691.39800000000002</v>
      </c>
      <c r="C12" s="33"/>
      <c r="D12" s="37">
        <f>IF( ISERROR(IND_min_gas_kWh/1000),0,IND_min_gas_kWh/1000)*0.902</f>
        <v>618.16044399999998</v>
      </c>
      <c r="E12" s="33">
        <f>C34*'E Balans VL '!I22/100/3.6*1000000</f>
        <v>2.0939317860869191</v>
      </c>
      <c r="F12" s="33">
        <f>C34*'E Balans VL '!L22/100/3.6*1000000+C34*'E Balans VL '!N22/100/3.6*1000000</f>
        <v>21.606781919823526</v>
      </c>
      <c r="G12" s="34"/>
      <c r="H12" s="33"/>
      <c r="I12" s="33"/>
      <c r="J12" s="40">
        <f>C34*'E Balans VL '!D22/100/3.6*1000000+C34*'E Balans VL '!E22/100/3.6*1000000</f>
        <v>1.0251897515528021</v>
      </c>
      <c r="K12" s="33"/>
      <c r="L12" s="33"/>
      <c r="M12" s="33"/>
      <c r="N12" s="33">
        <f>C34*'E Balans VL '!Y22/100/3.6*1000000</f>
        <v>0</v>
      </c>
      <c r="O12" s="33"/>
      <c r="P12" s="33"/>
      <c r="R12" s="32"/>
    </row>
    <row r="13" spans="1:18">
      <c r="A13" s="6" t="s">
        <v>39</v>
      </c>
      <c r="B13" s="37">
        <f t="shared" si="0"/>
        <v>239.06700000000001</v>
      </c>
      <c r="C13" s="33"/>
      <c r="D13" s="37">
        <f>IF( ISERROR(IND_papier_gas_kWh/1000),0,IND_papier_gas_kWh/1000)*0.902</f>
        <v>377.74497200000002</v>
      </c>
      <c r="E13" s="33">
        <f>C35*'E Balans VL '!I23/100/3.6*1000000</f>
        <v>0.49512389363393672</v>
      </c>
      <c r="F13" s="33">
        <f>C35*'E Balans VL '!L23/100/3.6*1000000+C35*'E Balans VL '!N23/100/3.6*1000000</f>
        <v>4.7412111289125969</v>
      </c>
      <c r="G13" s="34"/>
      <c r="H13" s="33"/>
      <c r="I13" s="33"/>
      <c r="J13" s="40">
        <f>C35*'E Balans VL '!D23/100/3.6*1000000+C35*'E Balans VL '!E23/100/3.6*1000000</f>
        <v>0</v>
      </c>
      <c r="K13" s="33"/>
      <c r="L13" s="33"/>
      <c r="M13" s="33"/>
      <c r="N13" s="33">
        <f>C35*'E Balans VL '!Y23/100/3.6*1000000</f>
        <v>100.9455312456891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491.42099999999999</v>
      </c>
      <c r="C15" s="33"/>
      <c r="D15" s="37">
        <f>IF( ISERROR(IND_rest_gas_kWh/1000),0,IND_rest_gas_kWh/1000)*0.902</f>
        <v>19.305505999999998</v>
      </c>
      <c r="E15" s="33">
        <f>C37*'E Balans VL '!I15/100/3.6*1000000</f>
        <v>25.000114760606824</v>
      </c>
      <c r="F15" s="33">
        <f>C37*'E Balans VL '!L15/100/3.6*1000000+C37*'E Balans VL '!N15/100/3.6*1000000</f>
        <v>112.01333522940051</v>
      </c>
      <c r="G15" s="34"/>
      <c r="H15" s="33"/>
      <c r="I15" s="33"/>
      <c r="J15" s="40">
        <f>C37*'E Balans VL '!D15/100/3.6*1000000+C37*'E Balans VL '!E15/100/3.6*1000000</f>
        <v>2.0616734412639026</v>
      </c>
      <c r="K15" s="33"/>
      <c r="L15" s="33"/>
      <c r="M15" s="33"/>
      <c r="N15" s="33">
        <f>C37*'E Balans VL '!Y15/100/3.6*1000000</f>
        <v>92.330084308854765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4473.085</v>
      </c>
      <c r="C18" s="21">
        <f>C5+C16</f>
        <v>0</v>
      </c>
      <c r="D18" s="21">
        <f>MAX((D5+D16),0)</f>
        <v>6309.8652320000001</v>
      </c>
      <c r="E18" s="21">
        <f>MAX((E5+E16),0)</f>
        <v>672.88873910427219</v>
      </c>
      <c r="F18" s="21">
        <f>MAX((F5+F16),0)</f>
        <v>2669.44677941994</v>
      </c>
      <c r="G18" s="21"/>
      <c r="H18" s="21"/>
      <c r="I18" s="21"/>
      <c r="J18" s="21">
        <f>MAX((J5+J16),0)</f>
        <v>10.460034168964395</v>
      </c>
      <c r="K18" s="21"/>
      <c r="L18" s="21">
        <f>MAX((L5+L16),0)</f>
        <v>0</v>
      </c>
      <c r="M18" s="21"/>
      <c r="N18" s="21">
        <f>MAX((N5+N16),0)</f>
        <v>1109.7713220689866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5.7464248366157919E-2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257.04246740293547</v>
      </c>
      <c r="C22" s="23">
        <f ca="1">C18*C20</f>
        <v>0</v>
      </c>
      <c r="D22" s="23">
        <f>D18*D20</f>
        <v>1274.5927768640001</v>
      </c>
      <c r="E22" s="23">
        <f>E18*E20</f>
        <v>152.7457437766698</v>
      </c>
      <c r="F22" s="23">
        <f>F18*F20</f>
        <v>712.74229010512397</v>
      </c>
      <c r="G22" s="23"/>
      <c r="H22" s="23"/>
      <c r="I22" s="23"/>
      <c r="J22" s="23">
        <f>J18*J20</f>
        <v>3.7028520958133955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448.47500000000002</v>
      </c>
      <c r="C30" s="39">
        <f>IF(ISERROR(B30*3.6/1000000/'E Balans VL '!Z18*100),0,B30*3.6/1000000/'E Balans VL '!Z18*100)</f>
        <v>6.2771554405516461E-2</v>
      </c>
      <c r="D30" s="237" t="s">
        <v>692</v>
      </c>
    </row>
    <row r="31" spans="1:18">
      <c r="A31" s="6" t="s">
        <v>33</v>
      </c>
      <c r="B31" s="37">
        <f>IF( ISERROR(IND_ander_ele_kWh/1000),0,IND_ander_ele_kWh/1000)</f>
        <v>2294.652</v>
      </c>
      <c r="C31" s="39">
        <f>IF(ISERROR(B31*3.6/1000000/'E Balans VL '!Z19*100),0,B31*3.6/1000000/'E Balans VL '!Z19*100)</f>
        <v>0.10043654579455906</v>
      </c>
      <c r="D31" s="237" t="s">
        <v>692</v>
      </c>
    </row>
    <row r="32" spans="1:18">
      <c r="A32" s="171" t="s">
        <v>41</v>
      </c>
      <c r="B32" s="37">
        <f>IF( ISERROR(IND_voed_ele_kWh/1000),0,IND_voed_ele_kWh/1000)</f>
        <v>308.072</v>
      </c>
      <c r="C32" s="39">
        <f>IF(ISERROR(B32*3.6/1000000/'E Balans VL '!Z20*100),0,B32*3.6/1000000/'E Balans VL '!Z20*100)</f>
        <v>7.6268396633507624E-2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691.39800000000002</v>
      </c>
      <c r="C34" s="39">
        <f>IF(ISERROR(B34*3.6/1000000/'E Balans VL '!Z22*100),0,B34*3.6/1000000/'E Balans VL '!Z22*100)</f>
        <v>1.9619054487759791E-2</v>
      </c>
      <c r="D34" s="237" t="s">
        <v>692</v>
      </c>
    </row>
    <row r="35" spans="1:5">
      <c r="A35" s="171" t="s">
        <v>39</v>
      </c>
      <c r="B35" s="37">
        <f>IF( ISERROR(IND_papier_ele_kWh/1000),0,IND_papier_ele_kWh/1000)</f>
        <v>239.06700000000001</v>
      </c>
      <c r="C35" s="39">
        <f>IF(ISERROR(B35*3.6/1000000/'E Balans VL '!Z22*100),0,B35*3.6/1000000/'E Balans VL '!Z22*100)</f>
        <v>6.7837461190591681E-3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491.42099999999999</v>
      </c>
      <c r="C37" s="39">
        <f>IF(ISERROR(B37*3.6/1000000/'E Balans VL '!Z15*100),0,B37*3.6/1000000/'E Balans VL '!Z15*100)</f>
        <v>3.6438025801645126E-3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2395.0059999999999</v>
      </c>
      <c r="C5" s="17">
        <f>'Eigen informatie GS &amp; warmtenet'!B60</f>
        <v>0</v>
      </c>
      <c r="D5" s="30">
        <f>IF(ISERROR(SUM(LB_lb_gas_kWh,LB_rest_gas_kWh,onbekend_gas_kWh)/1000),0,SUM(LB_lb_gas_kWh,LB_rest_gas_kWh,onbekend_gas_kWh)/1000)*0.902</f>
        <v>1145.415524</v>
      </c>
      <c r="E5" s="17">
        <f>B17*'E Balans VL '!I25/3.6*1000000/100</f>
        <v>22.183548692721583</v>
      </c>
      <c r="F5" s="17">
        <f>B17*('E Balans VL '!L25/3.6*1000000+'E Balans VL '!N25/3.6*1000000)/100</f>
        <v>6076.5864701747896</v>
      </c>
      <c r="G5" s="18"/>
      <c r="H5" s="17"/>
      <c r="I5" s="17"/>
      <c r="J5" s="17">
        <f>('E Balans VL '!D25+'E Balans VL '!E25)/3.6*1000000*landbouw!B17/100</f>
        <v>367.1811481449692</v>
      </c>
      <c r="K5" s="17"/>
      <c r="L5" s="17">
        <f>L6*(-1)</f>
        <v>1012.5</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-1012.5</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2395.0059999999999</v>
      </c>
      <c r="C8" s="21">
        <f>C5+C6</f>
        <v>62.357142857142847</v>
      </c>
      <c r="D8" s="21">
        <f>MAX((D5+D6),0)</f>
        <v>1145.415524</v>
      </c>
      <c r="E8" s="21">
        <f>MAX((E5+E6),0)</f>
        <v>22.183548692721583</v>
      </c>
      <c r="F8" s="21">
        <f>MAX((F5+F6),0)</f>
        <v>6076.5864701747896</v>
      </c>
      <c r="G8" s="21"/>
      <c r="H8" s="21"/>
      <c r="I8" s="21"/>
      <c r="J8" s="21">
        <f>MAX((J5+J6),0)</f>
        <v>367.1811481449692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5.7464248366157919E-2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137.62721962243842</v>
      </c>
      <c r="C12" s="23">
        <f ca="1">C8*C10</f>
        <v>0</v>
      </c>
      <c r="D12" s="23">
        <f>D8*D10</f>
        <v>231.373935848</v>
      </c>
      <c r="E12" s="23">
        <f>E8*E10</f>
        <v>5.0356655532477994</v>
      </c>
      <c r="F12" s="23">
        <f>F8*F10</f>
        <v>1622.4485875366688</v>
      </c>
      <c r="G12" s="23"/>
      <c r="H12" s="23"/>
      <c r="I12" s="23"/>
      <c r="J12" s="23">
        <f>J8*J10</f>
        <v>129.98212644331909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0.3405190702950221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502.84319969249952</v>
      </c>
      <c r="C26" s="247">
        <f>B26*'GWP N2O_CH4'!B5</f>
        <v>10559.70719354249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197.01039434573417</v>
      </c>
      <c r="C27" s="247">
        <f>B27*'GWP N2O_CH4'!B5</f>
        <v>4137.2182812604178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6.5978752998412125</v>
      </c>
      <c r="C28" s="247">
        <f>B28*'GWP N2O_CH4'!B4</f>
        <v>2045.3413429507759</v>
      </c>
      <c r="D28" s="50"/>
    </row>
    <row r="29" spans="1:4">
      <c r="A29" s="41" t="s">
        <v>277</v>
      </c>
      <c r="B29" s="247">
        <f>B34*'ha_N2O bodem landbouw'!B4</f>
        <v>20.865569089201717</v>
      </c>
      <c r="C29" s="247">
        <f>B29*'GWP N2O_CH4'!B4</f>
        <v>6468.3264176525327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4.6797795515013301E-3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7.6964259872760765E-5</v>
      </c>
      <c r="C5" s="464" t="s">
        <v>211</v>
      </c>
      <c r="D5" s="449">
        <f>SUM(D6:D11)</f>
        <v>1.9132095282323237E-4</v>
      </c>
      <c r="E5" s="449">
        <f>SUM(E6:E11)</f>
        <v>1.4295374765571586E-3</v>
      </c>
      <c r="F5" s="462" t="s">
        <v>211</v>
      </c>
      <c r="G5" s="449">
        <f>SUM(G6:G11)</f>
        <v>0.55131279897926089</v>
      </c>
      <c r="H5" s="449">
        <f>SUM(H6:H11)</f>
        <v>7.4740851447212625E-2</v>
      </c>
      <c r="I5" s="464" t="s">
        <v>211</v>
      </c>
      <c r="J5" s="464" t="s">
        <v>211</v>
      </c>
      <c r="K5" s="464" t="s">
        <v>211</v>
      </c>
      <c r="L5" s="464" t="s">
        <v>211</v>
      </c>
      <c r="M5" s="449">
        <f>SUM(M6:M11)</f>
        <v>3.4191688929964548E-2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2.3150579880225693E-5</v>
      </c>
      <c r="C6" s="450"/>
      <c r="D6" s="963">
        <f>vkm_2011_GW_PW*SUMIFS(TableVerdeelsleutelVkm[CNG],TableVerdeelsleutelVkm[Voertuigtype],"Lichte voertuigen")*SUMIFS(TableECFTransport[EnergieConsumptieFactor (PJ per km)],TableECFTransport[Index],CONCATENATE($A6,"_CNG_CNG"))</f>
        <v>5.3549840036224702E-5</v>
      </c>
      <c r="E6" s="963">
        <f>vkm_2011_GW_PW*SUMIFS(TableVerdeelsleutelVkm[LPG],TableVerdeelsleutelVkm[Voertuigtype],"Lichte voertuigen")*SUMIFS(TableECFTransport[EnergieConsumptieFactor (PJ per km)],TableECFTransport[Index],CONCATENATE($A6,"_LPG_LPG"))</f>
        <v>3.4868422047330258E-4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7.2436567143351602E-2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2.0418371331326072E-2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4.8186899531671113E-3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4.9005184257281897E-2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1.6758883040387198E-5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2.8352276832738837E-3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4.3559226668860243E-6</v>
      </c>
      <c r="C8" s="450"/>
      <c r="D8" s="452">
        <f>vkm_2011_NGW_PW*SUMIFS(TableVerdeelsleutelVkm[CNG],TableVerdeelsleutelVkm[Voertuigtype],"Lichte voertuigen")*SUMIFS(TableECFTransport[EnergieConsumptieFactor (PJ per km)],TableECFTransport[Index],CONCATENATE($A8,"_CNG_CNG"))</f>
        <v>1.7821019492034486E-5</v>
      </c>
      <c r="E8" s="452">
        <f>vkm_2011_NGW_PW*SUMIFS(TableVerdeelsleutelVkm[LPG],TableVerdeelsleutelVkm[Voertuigtype],"Lichte voertuigen")*SUMIFS(TableECFTransport[EnergieConsumptieFactor (PJ per km)],TableECFTransport[Index],CONCATENATE($A8,"_LPG_LPG"))</f>
        <v>1.070925863688233E-4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2.0797222946906065E-2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6.5703762802648844E-3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1.4052895664892939E-3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8.32017853890505E-3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2.6923128560530222E-6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4.8136477808810959E-4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4.9457757325649042E-5</v>
      </c>
      <c r="C10" s="450"/>
      <c r="D10" s="452">
        <f>vkm_2011_SW_PW*SUMIFS(TableVerdeelsleutelVkm[CNG],TableVerdeelsleutelVkm[Voertuigtype],"Lichte voertuigen")*SUMIFS(TableECFTransport[EnergieConsumptieFactor (PJ per km)],TableECFTransport[Index],CONCATENATE($A10,"_CNG_CNG"))</f>
        <v>1.1995009329497319E-4</v>
      </c>
      <c r="E10" s="452">
        <f>vkm_2011_SW_PW*SUMIFS(TableVerdeelsleutelVkm[LPG],TableVerdeelsleutelVkm[Voertuigtype],"Lichte voertuigen")*SUMIFS(TableECFTransport[EnergieConsumptieFactor (PJ per km)],TableECFTransport[Index],CONCATENATE($A10,"_LPG_LPG"))</f>
        <v>9.7376066971503262E-4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0.18212120432524459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4.765207297229402E-2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1.2001812023587145E-2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0.21863244176757168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8.0579667431219019E-5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1.2649304925359001E-2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21.378961075766881</v>
      </c>
      <c r="C14" s="21"/>
      <c r="D14" s="21">
        <f t="shared" ref="D14:M14" si="0">((D5)*10^9/3600)+D12</f>
        <v>53.144709117564545</v>
      </c>
      <c r="E14" s="21">
        <f t="shared" si="0"/>
        <v>397.09374348809962</v>
      </c>
      <c r="F14" s="21"/>
      <c r="G14" s="21">
        <f t="shared" si="0"/>
        <v>153142.44416090581</v>
      </c>
      <c r="H14" s="21">
        <f t="shared" si="0"/>
        <v>20761.347624225727</v>
      </c>
      <c r="I14" s="21"/>
      <c r="J14" s="21"/>
      <c r="K14" s="21"/>
      <c r="L14" s="21"/>
      <c r="M14" s="21">
        <f t="shared" si="0"/>
        <v>9497.6913694345967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5.7464248366157919E-2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1.2285259290682908</v>
      </c>
      <c r="C18" s="23"/>
      <c r="D18" s="23">
        <f t="shared" ref="D18:M18" si="1">D14*D16</f>
        <v>10.735231241748039</v>
      </c>
      <c r="E18" s="23">
        <f t="shared" si="1"/>
        <v>90.140279771798618</v>
      </c>
      <c r="F18" s="23"/>
      <c r="G18" s="23">
        <f t="shared" si="1"/>
        <v>40889.032590961855</v>
      </c>
      <c r="H18" s="23">
        <f t="shared" si="1"/>
        <v>5169.575558432206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4.824763450140779E-3</v>
      </c>
      <c r="H50" s="321">
        <f t="shared" si="2"/>
        <v>0</v>
      </c>
      <c r="I50" s="321">
        <f t="shared" si="2"/>
        <v>0</v>
      </c>
      <c r="J50" s="321">
        <f t="shared" si="2"/>
        <v>0</v>
      </c>
      <c r="K50" s="321">
        <f t="shared" si="2"/>
        <v>0</v>
      </c>
      <c r="L50" s="321">
        <f t="shared" si="2"/>
        <v>0</v>
      </c>
      <c r="M50" s="321">
        <f t="shared" si="2"/>
        <v>2.7514219461628666E-4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4.824763450140779E-3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2.7514219461628666E-4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1340.2120694835496</v>
      </c>
      <c r="H54" s="21">
        <f t="shared" si="3"/>
        <v>0</v>
      </c>
      <c r="I54" s="21">
        <f t="shared" si="3"/>
        <v>0</v>
      </c>
      <c r="J54" s="21">
        <f t="shared" si="3"/>
        <v>0</v>
      </c>
      <c r="K54" s="21">
        <f t="shared" si="3"/>
        <v>0</v>
      </c>
      <c r="L54" s="21">
        <f t="shared" si="3"/>
        <v>0</v>
      </c>
      <c r="M54" s="21">
        <f t="shared" si="3"/>
        <v>76.428387393412962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5.7464248366157919E-2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357.83662255210777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24176.78066596196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5045.1328146266897</v>
      </c>
      <c r="C6" s="1223"/>
      <c r="D6" s="1226"/>
      <c r="E6" s="1226"/>
      <c r="F6" s="1229"/>
      <c r="G6" s="1232"/>
      <c r="H6" s="1220"/>
      <c r="I6" s="1226"/>
      <c r="J6" s="1226"/>
      <c r="K6" s="1226"/>
      <c r="L6" s="1256"/>
      <c r="M6" s="576"/>
      <c r="N6" s="1268"/>
      <c r="O6" s="1269"/>
      <c r="Q6" s="574"/>
      <c r="R6" s="1253"/>
      <c r="S6" s="1253"/>
    </row>
    <row r="7" spans="1:19" s="564" customFormat="1">
      <c r="A7" s="577" t="s">
        <v>252</v>
      </c>
      <c r="B7" s="578">
        <f>N57</f>
        <v>898.65</v>
      </c>
      <c r="C7" s="579">
        <f>B100</f>
        <v>0</v>
      </c>
      <c r="D7" s="580"/>
      <c r="E7" s="580">
        <f>E100</f>
        <v>0</v>
      </c>
      <c r="F7" s="581"/>
      <c r="G7" s="582"/>
      <c r="H7" s="580">
        <f>I100</f>
        <v>0</v>
      </c>
      <c r="I7" s="580">
        <f>G100+F100</f>
        <v>0</v>
      </c>
      <c r="J7" s="580">
        <f>H100+D100+C100</f>
        <v>1057.2352941176471</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405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30525.563480588651</v>
      </c>
      <c r="C9" s="595">
        <f t="shared" ref="C9:L9" si="0">SUM(C7:C8)</f>
        <v>0</v>
      </c>
      <c r="D9" s="595">
        <f t="shared" si="0"/>
        <v>0</v>
      </c>
      <c r="E9" s="595">
        <f t="shared" si="0"/>
        <v>0</v>
      </c>
      <c r="F9" s="595">
        <f t="shared" si="0"/>
        <v>0</v>
      </c>
      <c r="G9" s="595">
        <f t="shared" si="0"/>
        <v>0</v>
      </c>
      <c r="H9" s="595">
        <f t="shared" si="0"/>
        <v>0</v>
      </c>
      <c r="I9" s="595">
        <f t="shared" si="0"/>
        <v>1012.5</v>
      </c>
      <c r="J9" s="595">
        <f t="shared" si="0"/>
        <v>1057.2352941176471</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1283.7857142857144</v>
      </c>
      <c r="C16" s="611">
        <f>B101</f>
        <v>0</v>
      </c>
      <c r="D16" s="612"/>
      <c r="E16" s="612">
        <f>E101</f>
        <v>0</v>
      </c>
      <c r="F16" s="613"/>
      <c r="G16" s="614"/>
      <c r="H16" s="611">
        <f>I101</f>
        <v>0</v>
      </c>
      <c r="I16" s="612">
        <f>G101+F101</f>
        <v>0</v>
      </c>
      <c r="J16" s="612">
        <f>H101+D101+C101</f>
        <v>1510.3361344537818</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1283.7857142857144</v>
      </c>
      <c r="C19" s="594">
        <f>SUM(C16:C18)</f>
        <v>0</v>
      </c>
      <c r="D19" s="594">
        <f t="shared" ref="D19:M19" si="1">SUM(D16:D18)</f>
        <v>0</v>
      </c>
      <c r="E19" s="594">
        <f t="shared" si="1"/>
        <v>0</v>
      </c>
      <c r="F19" s="594">
        <f t="shared" si="1"/>
        <v>0</v>
      </c>
      <c r="G19" s="594">
        <f t="shared" si="1"/>
        <v>0</v>
      </c>
      <c r="H19" s="594">
        <f t="shared" si="1"/>
        <v>0</v>
      </c>
      <c r="I19" s="594">
        <f t="shared" si="1"/>
        <v>0</v>
      </c>
      <c r="J19" s="594">
        <f t="shared" si="1"/>
        <v>1510.3361344537818</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35005</v>
      </c>
      <c r="C27" s="852">
        <v>8470</v>
      </c>
      <c r="D27" s="673" t="s">
        <v>871</v>
      </c>
      <c r="E27" s="672" t="s">
        <v>872</v>
      </c>
      <c r="F27" s="672" t="s">
        <v>873</v>
      </c>
      <c r="G27" s="672" t="s">
        <v>874</v>
      </c>
      <c r="H27" s="672" t="s">
        <v>875</v>
      </c>
      <c r="I27" s="672" t="s">
        <v>872</v>
      </c>
      <c r="J27" s="851">
        <v>41117</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35005</v>
      </c>
      <c r="C28" s="852">
        <v>8470</v>
      </c>
      <c r="D28" s="673" t="s">
        <v>877</v>
      </c>
      <c r="E28" s="672" t="s">
        <v>878</v>
      </c>
      <c r="F28" s="672" t="s">
        <v>879</v>
      </c>
      <c r="G28" s="672" t="s">
        <v>874</v>
      </c>
      <c r="H28" s="672" t="s">
        <v>875</v>
      </c>
      <c r="I28" s="672" t="s">
        <v>880</v>
      </c>
      <c r="J28" s="851">
        <v>41400</v>
      </c>
      <c r="K28" s="851">
        <v>41400</v>
      </c>
      <c r="L28" s="672" t="s">
        <v>876</v>
      </c>
      <c r="M28" s="672">
        <v>190</v>
      </c>
      <c r="N28" s="672">
        <v>855</v>
      </c>
      <c r="O28" s="672">
        <v>1221.4285714285716</v>
      </c>
      <c r="P28" s="672">
        <v>0</v>
      </c>
      <c r="Q28" s="672">
        <v>2442.8571428571431</v>
      </c>
      <c r="R28" s="672">
        <v>0</v>
      </c>
      <c r="S28" s="672">
        <v>0</v>
      </c>
      <c r="T28" s="672">
        <v>0</v>
      </c>
      <c r="U28" s="672">
        <v>0</v>
      </c>
      <c r="V28" s="672">
        <v>0</v>
      </c>
      <c r="W28" s="672">
        <v>0</v>
      </c>
      <c r="X28" s="672">
        <v>1600</v>
      </c>
      <c r="Y28" s="672" t="s">
        <v>54</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199.7</v>
      </c>
      <c r="N57" s="630">
        <f>SUM(N27:N56)</f>
        <v>898.65</v>
      </c>
      <c r="O57" s="630">
        <f t="shared" ref="O57:W57" si="2">SUM(O27:O56)</f>
        <v>1283.7857142857144</v>
      </c>
      <c r="P57" s="630">
        <f t="shared" si="2"/>
        <v>0</v>
      </c>
      <c r="Q57" s="630">
        <f t="shared" si="2"/>
        <v>2567.5714285714289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190</v>
      </c>
      <c r="N59" s="630">
        <f ca="1">SUMIF($Z$27:AB56,"tertiair",N27:N56)</f>
        <v>855</v>
      </c>
      <c r="O59" s="630">
        <f ca="1">SUMIF($Z$27:AC56,"tertiair",O27:O56)</f>
        <v>1221.4285714285716</v>
      </c>
      <c r="P59" s="630">
        <f ca="1">SUMIF($Z$27:AD56,"tertiair",P27:P56)</f>
        <v>0</v>
      </c>
      <c r="Q59" s="630">
        <f ca="1">SUMIF($Z$27:AE56,"tertiair",Q27:Q56)</f>
        <v>2442.8571428571431</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38.25">
      <c r="A63" s="627"/>
      <c r="B63" s="852">
        <v>35005</v>
      </c>
      <c r="C63" s="852">
        <v>8470</v>
      </c>
      <c r="D63" s="675" t="s">
        <v>881</v>
      </c>
      <c r="E63" s="675" t="s">
        <v>882</v>
      </c>
      <c r="F63" s="675" t="s">
        <v>883</v>
      </c>
      <c r="G63" s="675" t="s">
        <v>884</v>
      </c>
      <c r="H63" s="675" t="s">
        <v>885</v>
      </c>
      <c r="I63" s="675" t="s">
        <v>882</v>
      </c>
      <c r="J63" s="851">
        <v>38944</v>
      </c>
      <c r="K63" s="851">
        <v>39239</v>
      </c>
      <c r="L63" s="675" t="s">
        <v>876</v>
      </c>
      <c r="M63" s="675">
        <v>90</v>
      </c>
      <c r="N63" s="675">
        <v>405</v>
      </c>
      <c r="O63" s="675">
        <v>0</v>
      </c>
      <c r="P63" s="675">
        <v>0</v>
      </c>
      <c r="Q63" s="675">
        <v>0</v>
      </c>
      <c r="R63" s="675">
        <v>0</v>
      </c>
      <c r="S63" s="675">
        <v>0</v>
      </c>
      <c r="T63" s="675">
        <v>0</v>
      </c>
      <c r="U63" s="675">
        <v>1012.5</v>
      </c>
      <c r="V63" s="675">
        <v>0</v>
      </c>
      <c r="W63" s="675">
        <v>0</v>
      </c>
      <c r="X63" s="675">
        <v>10</v>
      </c>
      <c r="Y63" s="675" t="s">
        <v>112</v>
      </c>
      <c r="Z63" s="676" t="s">
        <v>112</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90</v>
      </c>
      <c r="N88" s="630">
        <f t="shared" ref="N88:W88" si="5">SUM(N63:N87)</f>
        <v>405</v>
      </c>
      <c r="O88" s="630">
        <f t="shared" si="5"/>
        <v>0</v>
      </c>
      <c r="P88" s="630">
        <f t="shared" si="5"/>
        <v>0</v>
      </c>
      <c r="Q88" s="630">
        <f t="shared" si="5"/>
        <v>0</v>
      </c>
      <c r="R88" s="630">
        <f t="shared" si="5"/>
        <v>0</v>
      </c>
      <c r="S88" s="630">
        <f t="shared" si="5"/>
        <v>0</v>
      </c>
      <c r="T88" s="630">
        <f t="shared" si="5"/>
        <v>0</v>
      </c>
      <c r="U88" s="630">
        <f t="shared" si="5"/>
        <v>1012.5</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90</v>
      </c>
      <c r="N91" s="635">
        <f t="shared" si="8"/>
        <v>405</v>
      </c>
      <c r="O91" s="635">
        <f t="shared" si="8"/>
        <v>0</v>
      </c>
      <c r="P91" s="635">
        <f t="shared" si="8"/>
        <v>0</v>
      </c>
      <c r="Q91" s="635">
        <f t="shared" si="8"/>
        <v>0</v>
      </c>
      <c r="R91" s="635">
        <f t="shared" si="8"/>
        <v>0</v>
      </c>
      <c r="S91" s="635">
        <f t="shared" si="8"/>
        <v>0</v>
      </c>
      <c r="T91" s="635">
        <f t="shared" si="8"/>
        <v>0</v>
      </c>
      <c r="U91" s="635">
        <f t="shared" si="8"/>
        <v>1012.5</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1057.2352941176471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1510.3361344537818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12822.4</v>
      </c>
      <c r="D10" s="719">
        <f ca="1">tertiair!C16</f>
        <v>1221.4285714285716</v>
      </c>
      <c r="E10" s="719">
        <f ca="1">tertiair!D16</f>
        <v>13565.629000000001</v>
      </c>
      <c r="F10" s="719">
        <f>tertiair!E16</f>
        <v>96.846750611833713</v>
      </c>
      <c r="G10" s="719">
        <f ca="1">tertiair!F16</f>
        <v>1699.8901072444446</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0</v>
      </c>
      <c r="R10" s="722">
        <f ca="1">SUM(C10:Q10)</f>
        <v>29409.321095951516</v>
      </c>
      <c r="S10" s="67"/>
    </row>
    <row r="11" spans="1:19" s="475" customFormat="1">
      <c r="A11" s="871" t="s">
        <v>225</v>
      </c>
      <c r="B11" s="876"/>
      <c r="C11" s="719">
        <f>huishoudens!B8</f>
        <v>21539.96312013804</v>
      </c>
      <c r="D11" s="719">
        <f>huishoudens!C8</f>
        <v>0</v>
      </c>
      <c r="E11" s="719">
        <f>huishoudens!D8</f>
        <v>52641.671610000005</v>
      </c>
      <c r="F11" s="719">
        <f>huishoudens!E8</f>
        <v>1897.7082741754241</v>
      </c>
      <c r="G11" s="719">
        <f>huishoudens!F8</f>
        <v>0</v>
      </c>
      <c r="H11" s="719">
        <f>huishoudens!G8</f>
        <v>0</v>
      </c>
      <c r="I11" s="719">
        <f>huishoudens!H8</f>
        <v>0</v>
      </c>
      <c r="J11" s="719">
        <f>huishoudens!I8</f>
        <v>0</v>
      </c>
      <c r="K11" s="719">
        <f>huishoudens!J8</f>
        <v>1160.749383826691</v>
      </c>
      <c r="L11" s="719">
        <f>huishoudens!K8</f>
        <v>0</v>
      </c>
      <c r="M11" s="719">
        <f>huishoudens!L8</f>
        <v>0</v>
      </c>
      <c r="N11" s="719">
        <f>huishoudens!M8</f>
        <v>0</v>
      </c>
      <c r="O11" s="719">
        <f>huishoudens!N8</f>
        <v>12337.036333506061</v>
      </c>
      <c r="P11" s="719">
        <f>huishoudens!O8</f>
        <v>248.57000000000002</v>
      </c>
      <c r="Q11" s="720">
        <f>huishoudens!P8</f>
        <v>286</v>
      </c>
      <c r="R11" s="722">
        <f>SUM(C11:Q11)</f>
        <v>90111.698721646244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4473.085</v>
      </c>
      <c r="D13" s="719">
        <f>industrie!C18</f>
        <v>0</v>
      </c>
      <c r="E13" s="719">
        <f>industrie!D18</f>
        <v>6309.8652320000001</v>
      </c>
      <c r="F13" s="719">
        <f>industrie!E18</f>
        <v>672.88873910427219</v>
      </c>
      <c r="G13" s="719">
        <f>industrie!F18</f>
        <v>2669.44677941994</v>
      </c>
      <c r="H13" s="719">
        <f>industrie!G18</f>
        <v>0</v>
      </c>
      <c r="I13" s="719">
        <f>industrie!H18</f>
        <v>0</v>
      </c>
      <c r="J13" s="719">
        <f>industrie!I18</f>
        <v>0</v>
      </c>
      <c r="K13" s="719">
        <f>industrie!J18</f>
        <v>10.460034168964395</v>
      </c>
      <c r="L13" s="719">
        <f>industrie!K18</f>
        <v>0</v>
      </c>
      <c r="M13" s="719">
        <f>industrie!L18</f>
        <v>0</v>
      </c>
      <c r="N13" s="719">
        <f>industrie!M18</f>
        <v>0</v>
      </c>
      <c r="O13" s="719">
        <f>industrie!N18</f>
        <v>1109.7713220689866</v>
      </c>
      <c r="P13" s="719">
        <f>industrie!O18</f>
        <v>0</v>
      </c>
      <c r="Q13" s="720">
        <f>industrie!P18</f>
        <v>0</v>
      </c>
      <c r="R13" s="722">
        <f>SUM(C13:Q13)</f>
        <v>15245.51710676216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38835.44812013804</v>
      </c>
      <c r="D15" s="724">
        <f t="shared" ref="D15:Q15" ca="1" si="0">SUM(D9:D14)</f>
        <v>1221.4285714285716</v>
      </c>
      <c r="E15" s="724">
        <f t="shared" ca="1" si="0"/>
        <v>72517.165842000002</v>
      </c>
      <c r="F15" s="724">
        <f t="shared" si="0"/>
        <v>2667.4437638915297</v>
      </c>
      <c r="G15" s="724">
        <f t="shared" ca="1" si="0"/>
        <v>4369.336886664385</v>
      </c>
      <c r="H15" s="724">
        <f t="shared" si="0"/>
        <v>0</v>
      </c>
      <c r="I15" s="724">
        <f t="shared" si="0"/>
        <v>0</v>
      </c>
      <c r="J15" s="724">
        <f t="shared" si="0"/>
        <v>0</v>
      </c>
      <c r="K15" s="724">
        <f t="shared" si="0"/>
        <v>1171.2094179956553</v>
      </c>
      <c r="L15" s="724">
        <f t="shared" si="0"/>
        <v>0</v>
      </c>
      <c r="M15" s="724">
        <f t="shared" ca="1" si="0"/>
        <v>0</v>
      </c>
      <c r="N15" s="724">
        <f t="shared" si="0"/>
        <v>0</v>
      </c>
      <c r="O15" s="724">
        <f t="shared" ca="1" si="0"/>
        <v>13446.807655575049</v>
      </c>
      <c r="P15" s="724">
        <f t="shared" si="0"/>
        <v>251.69666666666669</v>
      </c>
      <c r="Q15" s="725">
        <f t="shared" si="0"/>
        <v>286</v>
      </c>
      <c r="R15" s="726">
        <f ca="1">SUM(R9:R14)</f>
        <v>134766.53692435991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1340.2120694835496</v>
      </c>
      <c r="I18" s="719">
        <f>transport!H54</f>
        <v>0</v>
      </c>
      <c r="J18" s="719">
        <f>transport!I54</f>
        <v>0</v>
      </c>
      <c r="K18" s="719">
        <f>transport!J54</f>
        <v>0</v>
      </c>
      <c r="L18" s="719">
        <f>transport!K54</f>
        <v>0</v>
      </c>
      <c r="M18" s="719">
        <f>transport!L54</f>
        <v>0</v>
      </c>
      <c r="N18" s="719">
        <f>transport!M54</f>
        <v>76.428387393412962</v>
      </c>
      <c r="O18" s="719">
        <f>transport!N54</f>
        <v>0</v>
      </c>
      <c r="P18" s="719">
        <f>transport!O54</f>
        <v>0</v>
      </c>
      <c r="Q18" s="720">
        <f>transport!P54</f>
        <v>0</v>
      </c>
      <c r="R18" s="722">
        <f>SUM(C18:Q18)</f>
        <v>1416.6404568769626</v>
      </c>
      <c r="S18" s="67"/>
    </row>
    <row r="19" spans="1:19" s="475" customFormat="1" ht="15" thickBot="1">
      <c r="A19" s="871" t="s">
        <v>307</v>
      </c>
      <c r="B19" s="876"/>
      <c r="C19" s="728">
        <f>transport!B14</f>
        <v>21.378961075766881</v>
      </c>
      <c r="D19" s="728">
        <f>transport!C14</f>
        <v>0</v>
      </c>
      <c r="E19" s="728">
        <f>transport!D14</f>
        <v>53.144709117564545</v>
      </c>
      <c r="F19" s="728">
        <f>transport!E14</f>
        <v>397.09374348809962</v>
      </c>
      <c r="G19" s="728">
        <f>transport!F14</f>
        <v>0</v>
      </c>
      <c r="H19" s="728">
        <f>transport!G14</f>
        <v>153142.44416090581</v>
      </c>
      <c r="I19" s="728">
        <f>transport!H14</f>
        <v>20761.347624225727</v>
      </c>
      <c r="J19" s="728">
        <f>transport!I14</f>
        <v>0</v>
      </c>
      <c r="K19" s="728">
        <f>transport!J14</f>
        <v>0</v>
      </c>
      <c r="L19" s="728">
        <f>transport!K14</f>
        <v>0</v>
      </c>
      <c r="M19" s="728">
        <f>transport!L14</f>
        <v>0</v>
      </c>
      <c r="N19" s="728">
        <f>transport!M14</f>
        <v>9497.6913694345967</v>
      </c>
      <c r="O19" s="728">
        <f>transport!N14</f>
        <v>0</v>
      </c>
      <c r="P19" s="728">
        <f>transport!O14</f>
        <v>0</v>
      </c>
      <c r="Q19" s="729">
        <f>transport!P14</f>
        <v>0</v>
      </c>
      <c r="R19" s="730">
        <f>SUM(C19:Q19)</f>
        <v>183873.10056824755</v>
      </c>
      <c r="S19" s="67"/>
    </row>
    <row r="20" spans="1:19" s="475" customFormat="1" ht="15.75" thickBot="1">
      <c r="A20" s="731" t="s">
        <v>230</v>
      </c>
      <c r="B20" s="879"/>
      <c r="C20" s="874">
        <f>SUM(C17:C19)</f>
        <v>21.378961075766881</v>
      </c>
      <c r="D20" s="732">
        <f t="shared" ref="D20:R20" si="1">SUM(D17:D19)</f>
        <v>0</v>
      </c>
      <c r="E20" s="732">
        <f t="shared" si="1"/>
        <v>53.144709117564545</v>
      </c>
      <c r="F20" s="732">
        <f t="shared" si="1"/>
        <v>397.09374348809962</v>
      </c>
      <c r="G20" s="732">
        <f t="shared" si="1"/>
        <v>0</v>
      </c>
      <c r="H20" s="732">
        <f t="shared" si="1"/>
        <v>154482.65623038937</v>
      </c>
      <c r="I20" s="732">
        <f t="shared" si="1"/>
        <v>20761.347624225727</v>
      </c>
      <c r="J20" s="732">
        <f t="shared" si="1"/>
        <v>0</v>
      </c>
      <c r="K20" s="732">
        <f t="shared" si="1"/>
        <v>0</v>
      </c>
      <c r="L20" s="732">
        <f t="shared" si="1"/>
        <v>0</v>
      </c>
      <c r="M20" s="732">
        <f t="shared" si="1"/>
        <v>0</v>
      </c>
      <c r="N20" s="732">
        <f t="shared" si="1"/>
        <v>9574.1197568280095</v>
      </c>
      <c r="O20" s="732">
        <f t="shared" si="1"/>
        <v>0</v>
      </c>
      <c r="P20" s="732">
        <f t="shared" si="1"/>
        <v>0</v>
      </c>
      <c r="Q20" s="733">
        <f t="shared" si="1"/>
        <v>0</v>
      </c>
      <c r="R20" s="734">
        <f t="shared" si="1"/>
        <v>185289.7410251245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2395.0059999999999</v>
      </c>
      <c r="D22" s="728">
        <f>+landbouw!C8</f>
        <v>62.357142857142847</v>
      </c>
      <c r="E22" s="728">
        <f>+landbouw!D8</f>
        <v>1145.415524</v>
      </c>
      <c r="F22" s="728">
        <f>+landbouw!E8</f>
        <v>22.183548692721583</v>
      </c>
      <c r="G22" s="728">
        <f>+landbouw!F8</f>
        <v>6076.5864701747896</v>
      </c>
      <c r="H22" s="728">
        <f>+landbouw!G8</f>
        <v>0</v>
      </c>
      <c r="I22" s="728">
        <f>+landbouw!H8</f>
        <v>0</v>
      </c>
      <c r="J22" s="728">
        <f>+landbouw!I8</f>
        <v>0</v>
      </c>
      <c r="K22" s="728">
        <f>+landbouw!J8</f>
        <v>367.1811481449692</v>
      </c>
      <c r="L22" s="728">
        <f>+landbouw!K8</f>
        <v>0</v>
      </c>
      <c r="M22" s="728">
        <f>+landbouw!L8</f>
        <v>0</v>
      </c>
      <c r="N22" s="728">
        <f>+landbouw!M8</f>
        <v>0</v>
      </c>
      <c r="O22" s="728">
        <f>+landbouw!N8</f>
        <v>0</v>
      </c>
      <c r="P22" s="728">
        <f>+landbouw!O8</f>
        <v>0</v>
      </c>
      <c r="Q22" s="729">
        <f>+landbouw!P8</f>
        <v>0</v>
      </c>
      <c r="R22" s="730">
        <f>SUM(C22:Q22)</f>
        <v>10068.729833869624</v>
      </c>
      <c r="S22" s="67"/>
    </row>
    <row r="23" spans="1:19" s="475" customFormat="1" ht="17.25" thickTop="1" thickBot="1">
      <c r="A23" s="735" t="s">
        <v>116</v>
      </c>
      <c r="B23" s="865"/>
      <c r="C23" s="736">
        <f ca="1">C20+C15+C22</f>
        <v>41251.833081213808</v>
      </c>
      <c r="D23" s="736">
        <f t="shared" ref="D23:Q23" ca="1" si="2">D20+D15+D22</f>
        <v>1283.7857142857144</v>
      </c>
      <c r="E23" s="736">
        <f t="shared" ca="1" si="2"/>
        <v>73715.726075117564</v>
      </c>
      <c r="F23" s="736">
        <f t="shared" si="2"/>
        <v>3086.7210560723511</v>
      </c>
      <c r="G23" s="736">
        <f t="shared" ca="1" si="2"/>
        <v>10445.923356839176</v>
      </c>
      <c r="H23" s="736">
        <f t="shared" si="2"/>
        <v>154482.65623038937</v>
      </c>
      <c r="I23" s="736">
        <f t="shared" si="2"/>
        <v>20761.347624225727</v>
      </c>
      <c r="J23" s="736">
        <f t="shared" si="2"/>
        <v>0</v>
      </c>
      <c r="K23" s="736">
        <f t="shared" si="2"/>
        <v>1538.3905661406245</v>
      </c>
      <c r="L23" s="736">
        <f t="shared" si="2"/>
        <v>0</v>
      </c>
      <c r="M23" s="736">
        <f t="shared" ca="1" si="2"/>
        <v>0</v>
      </c>
      <c r="N23" s="736">
        <f t="shared" si="2"/>
        <v>9574.1197568280095</v>
      </c>
      <c r="O23" s="736">
        <f t="shared" ca="1" si="2"/>
        <v>13446.807655575049</v>
      </c>
      <c r="P23" s="736">
        <f t="shared" si="2"/>
        <v>251.69666666666669</v>
      </c>
      <c r="Q23" s="737">
        <f t="shared" si="2"/>
        <v>286</v>
      </c>
      <c r="R23" s="738">
        <f ca="1">R20+R15+R22</f>
        <v>330125.00778335403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736.82957825022322</v>
      </c>
      <c r="D36" s="719">
        <f ca="1">tertiair!C20</f>
        <v>0</v>
      </c>
      <c r="E36" s="719">
        <f ca="1">tertiair!D20</f>
        <v>2740.2570580000001</v>
      </c>
      <c r="F36" s="719">
        <f>tertiair!E20</f>
        <v>21.984212388886252</v>
      </c>
      <c r="G36" s="719">
        <f ca="1">tertiair!F20</f>
        <v>453.87065863426676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3952.9415072733764</v>
      </c>
    </row>
    <row r="37" spans="1:18">
      <c r="A37" s="886" t="s">
        <v>225</v>
      </c>
      <c r="B37" s="893"/>
      <c r="C37" s="719">
        <f ca="1">huishoudens!B12</f>
        <v>1237.7777905334942</v>
      </c>
      <c r="D37" s="719">
        <f ca="1">huishoudens!C12</f>
        <v>0</v>
      </c>
      <c r="E37" s="719">
        <f>huishoudens!D12</f>
        <v>10633.617665220001</v>
      </c>
      <c r="F37" s="719">
        <f>huishoudens!E12</f>
        <v>430.77977823782129</v>
      </c>
      <c r="G37" s="719">
        <f>huishoudens!F12</f>
        <v>0</v>
      </c>
      <c r="H37" s="719">
        <f>huishoudens!G12</f>
        <v>0</v>
      </c>
      <c r="I37" s="719">
        <f>huishoudens!H12</f>
        <v>0</v>
      </c>
      <c r="J37" s="719">
        <f>huishoudens!I12</f>
        <v>0</v>
      </c>
      <c r="K37" s="719">
        <f>huishoudens!J12</f>
        <v>410.90528187464861</v>
      </c>
      <c r="L37" s="719">
        <f>huishoudens!K12</f>
        <v>0</v>
      </c>
      <c r="M37" s="719">
        <f>huishoudens!L12</f>
        <v>0</v>
      </c>
      <c r="N37" s="719">
        <f>huishoudens!M12</f>
        <v>0</v>
      </c>
      <c r="O37" s="719">
        <f>huishoudens!N12</f>
        <v>0</v>
      </c>
      <c r="P37" s="719">
        <f>huishoudens!O12</f>
        <v>0</v>
      </c>
      <c r="Q37" s="829">
        <f>huishoudens!P12</f>
        <v>0</v>
      </c>
      <c r="R37" s="918">
        <f ca="1">SUM(C37:Q37)</f>
        <v>12713.080515865968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257.04246740293547</v>
      </c>
      <c r="D39" s="719">
        <f ca="1">industrie!C22</f>
        <v>0</v>
      </c>
      <c r="E39" s="719">
        <f>industrie!D22</f>
        <v>1274.5927768640001</v>
      </c>
      <c r="F39" s="719">
        <f>industrie!E22</f>
        <v>152.7457437766698</v>
      </c>
      <c r="G39" s="719">
        <f>industrie!F22</f>
        <v>712.74229010512397</v>
      </c>
      <c r="H39" s="719">
        <f>industrie!G22</f>
        <v>0</v>
      </c>
      <c r="I39" s="719">
        <f>industrie!H22</f>
        <v>0</v>
      </c>
      <c r="J39" s="719">
        <f>industrie!I22</f>
        <v>0</v>
      </c>
      <c r="K39" s="719">
        <f>industrie!J22</f>
        <v>3.7028520958133955</v>
      </c>
      <c r="L39" s="719">
        <f>industrie!K22</f>
        <v>0</v>
      </c>
      <c r="M39" s="719">
        <f>industrie!L22</f>
        <v>0</v>
      </c>
      <c r="N39" s="719">
        <f>industrie!M22</f>
        <v>0</v>
      </c>
      <c r="O39" s="719">
        <f>industrie!N22</f>
        <v>0</v>
      </c>
      <c r="P39" s="719">
        <f>industrie!O22</f>
        <v>0</v>
      </c>
      <c r="Q39" s="829">
        <f>industrie!P22</f>
        <v>0</v>
      </c>
      <c r="R39" s="919">
        <f ca="1">SUM(C39:Q39)</f>
        <v>2400.8261302445426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2231.6498361866529</v>
      </c>
      <c r="D41" s="764">
        <f t="shared" ref="D41:R41" ca="1" si="4">SUM(D35:D40)</f>
        <v>0</v>
      </c>
      <c r="E41" s="764">
        <f t="shared" ca="1" si="4"/>
        <v>14648.467500084</v>
      </c>
      <c r="F41" s="764">
        <f t="shared" si="4"/>
        <v>605.50973440337737</v>
      </c>
      <c r="G41" s="764">
        <f t="shared" ca="1" si="4"/>
        <v>1166.6129487393907</v>
      </c>
      <c r="H41" s="764">
        <f t="shared" si="4"/>
        <v>0</v>
      </c>
      <c r="I41" s="764">
        <f t="shared" si="4"/>
        <v>0</v>
      </c>
      <c r="J41" s="764">
        <f t="shared" si="4"/>
        <v>0</v>
      </c>
      <c r="K41" s="764">
        <f t="shared" si="4"/>
        <v>414.60813397046201</v>
      </c>
      <c r="L41" s="764">
        <f t="shared" si="4"/>
        <v>0</v>
      </c>
      <c r="M41" s="764">
        <f t="shared" ca="1" si="4"/>
        <v>0</v>
      </c>
      <c r="N41" s="764">
        <f t="shared" si="4"/>
        <v>0</v>
      </c>
      <c r="O41" s="764">
        <f t="shared" ca="1" si="4"/>
        <v>0</v>
      </c>
      <c r="P41" s="764">
        <f t="shared" si="4"/>
        <v>0</v>
      </c>
      <c r="Q41" s="765">
        <f t="shared" si="4"/>
        <v>0</v>
      </c>
      <c r="R41" s="766">
        <f t="shared" ca="1" si="4"/>
        <v>19066.848153383886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357.83662255210777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357.83662255210777</v>
      </c>
    </row>
    <row r="45" spans="1:18" ht="15" thickBot="1">
      <c r="A45" s="889" t="s">
        <v>307</v>
      </c>
      <c r="B45" s="899"/>
      <c r="C45" s="728">
        <f ca="1">transport!B18</f>
        <v>1.2285259290682908</v>
      </c>
      <c r="D45" s="728">
        <f>transport!C18</f>
        <v>0</v>
      </c>
      <c r="E45" s="728">
        <f>transport!D18</f>
        <v>10.735231241748039</v>
      </c>
      <c r="F45" s="728">
        <f>transport!E18</f>
        <v>90.140279771798618</v>
      </c>
      <c r="G45" s="728">
        <f>transport!F18</f>
        <v>0</v>
      </c>
      <c r="H45" s="728">
        <f>transport!G18</f>
        <v>40889.032590961855</v>
      </c>
      <c r="I45" s="728">
        <f>transport!H18</f>
        <v>5169.575558432206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46160.71218633667</v>
      </c>
    </row>
    <row r="46" spans="1:18" ht="15.75" thickBot="1">
      <c r="A46" s="887" t="s">
        <v>230</v>
      </c>
      <c r="B46" s="900"/>
      <c r="C46" s="764">
        <f t="shared" ref="C46:R46" ca="1" si="5">SUM(C43:C45)</f>
        <v>1.2285259290682908</v>
      </c>
      <c r="D46" s="764">
        <f t="shared" ca="1" si="5"/>
        <v>0</v>
      </c>
      <c r="E46" s="764">
        <f t="shared" si="5"/>
        <v>10.735231241748039</v>
      </c>
      <c r="F46" s="764">
        <f t="shared" si="5"/>
        <v>90.140279771798618</v>
      </c>
      <c r="G46" s="764">
        <f t="shared" si="5"/>
        <v>0</v>
      </c>
      <c r="H46" s="764">
        <f t="shared" si="5"/>
        <v>41246.869213513964</v>
      </c>
      <c r="I46" s="764">
        <f t="shared" si="5"/>
        <v>5169.575558432206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46518.54880888878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137.62721962243842</v>
      </c>
      <c r="D48" s="719">
        <f ca="1">+landbouw!C12</f>
        <v>0</v>
      </c>
      <c r="E48" s="719">
        <f>+landbouw!D12</f>
        <v>231.373935848</v>
      </c>
      <c r="F48" s="719">
        <f>+landbouw!E12</f>
        <v>5.0356655532477994</v>
      </c>
      <c r="G48" s="719">
        <f>+landbouw!F12</f>
        <v>1622.4485875366688</v>
      </c>
      <c r="H48" s="719">
        <f>+landbouw!G12</f>
        <v>0</v>
      </c>
      <c r="I48" s="719">
        <f>+landbouw!H12</f>
        <v>0</v>
      </c>
      <c r="J48" s="719">
        <f>+landbouw!I12</f>
        <v>0</v>
      </c>
      <c r="K48" s="719">
        <f>+landbouw!J12</f>
        <v>129.98212644331909</v>
      </c>
      <c r="L48" s="719">
        <f>+landbouw!K12</f>
        <v>0</v>
      </c>
      <c r="M48" s="719">
        <f>+landbouw!L12</f>
        <v>0</v>
      </c>
      <c r="N48" s="719">
        <f>+landbouw!M12</f>
        <v>0</v>
      </c>
      <c r="O48" s="719">
        <f>+landbouw!N12</f>
        <v>0</v>
      </c>
      <c r="P48" s="719">
        <f>+landbouw!O12</f>
        <v>0</v>
      </c>
      <c r="Q48" s="720">
        <f>+landbouw!P12</f>
        <v>0</v>
      </c>
      <c r="R48" s="762">
        <f ca="1">SUM(C48:Q48)</f>
        <v>2126.4675350036741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2370.5055817381599</v>
      </c>
      <c r="D53" s="774">
        <f t="shared" ref="D53:Q53" ca="1" si="6">D41+D46+D48</f>
        <v>0</v>
      </c>
      <c r="E53" s="774">
        <f t="shared" ca="1" si="6"/>
        <v>14890.576667173747</v>
      </c>
      <c r="F53" s="774">
        <f t="shared" si="6"/>
        <v>700.68567972842379</v>
      </c>
      <c r="G53" s="774">
        <f t="shared" ca="1" si="6"/>
        <v>2789.0615362760595</v>
      </c>
      <c r="H53" s="774">
        <f t="shared" si="6"/>
        <v>41246.869213513964</v>
      </c>
      <c r="I53" s="774">
        <f t="shared" si="6"/>
        <v>5169.575558432206</v>
      </c>
      <c r="J53" s="774">
        <f t="shared" si="6"/>
        <v>0</v>
      </c>
      <c r="K53" s="774">
        <f t="shared" si="6"/>
        <v>544.59026041378115</v>
      </c>
      <c r="L53" s="774">
        <f t="shared" si="6"/>
        <v>0</v>
      </c>
      <c r="M53" s="774">
        <f t="shared" ca="1" si="6"/>
        <v>0</v>
      </c>
      <c r="N53" s="774">
        <f t="shared" si="6"/>
        <v>0</v>
      </c>
      <c r="O53" s="774">
        <f t="shared" ca="1" si="6"/>
        <v>0</v>
      </c>
      <c r="P53" s="774">
        <f>P41+P46+P48</f>
        <v>0</v>
      </c>
      <c r="Q53" s="775">
        <f t="shared" si="6"/>
        <v>0</v>
      </c>
      <c r="R53" s="776">
        <f ca="1">R41+R46+R48</f>
        <v>67711.864497276343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5.7464248366157919E-2</v>
      </c>
      <c r="D55" s="837">
        <f t="shared" ca="1" si="7"/>
        <v>0</v>
      </c>
      <c r="E55" s="837">
        <f t="shared" ca="1" si="7"/>
        <v>0.20199999999999999</v>
      </c>
      <c r="F55" s="837">
        <f t="shared" si="7"/>
        <v>0.22700000000000004</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24176.78066596196</v>
      </c>
      <c r="C64" s="796">
        <f>'lokale energieproductie'!B4</f>
        <v>24176.78066596196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5045.1328146266897</v>
      </c>
      <c r="C66" s="796">
        <f>'lokale energieproductie'!B6</f>
        <v>5045.1328146266897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898.65</v>
      </c>
      <c r="C67" s="795">
        <f>B67*IFERROR(SUM(J67:L67)/SUM(D67:M67),0)</f>
        <v>898.65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1057.2352941176471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405</v>
      </c>
      <c r="C68" s="795">
        <f>B68*IFERROR(SUM(J68:L68)/SUM(D68:M68),0)</f>
        <v>405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1012.5</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30525.563480588651</v>
      </c>
      <c r="C69" s="804">
        <f>SUM(C64:C68)</f>
        <v>30525.563480588651</v>
      </c>
      <c r="D69" s="805">
        <f t="shared" ref="D69:M69" si="8">SUM(D67:D68)</f>
        <v>0</v>
      </c>
      <c r="E69" s="805">
        <f t="shared" si="8"/>
        <v>0</v>
      </c>
      <c r="F69" s="805">
        <f t="shared" si="8"/>
        <v>0</v>
      </c>
      <c r="G69" s="805">
        <f t="shared" si="8"/>
        <v>0</v>
      </c>
      <c r="H69" s="805">
        <f t="shared" si="8"/>
        <v>0</v>
      </c>
      <c r="I69" s="805">
        <f t="shared" si="8"/>
        <v>0</v>
      </c>
      <c r="J69" s="805">
        <f t="shared" si="8"/>
        <v>1012.5</v>
      </c>
      <c r="K69" s="805">
        <f t="shared" si="8"/>
        <v>1057.2352941176471</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1283.7857142857144</v>
      </c>
      <c r="C78" s="818">
        <f>B78*IFERROR(SUM(I78:L78)/SUM(D78:M78),0)</f>
        <v>1283.7857142857144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1510.3361344537818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1283.7857142857144</v>
      </c>
      <c r="C81" s="804">
        <f>SUM(C78:C80)</f>
        <v>1283.7857142857144</v>
      </c>
      <c r="D81" s="804">
        <f t="shared" ref="D81:P81" si="9">SUM(D78:D80)</f>
        <v>0</v>
      </c>
      <c r="E81" s="804">
        <f t="shared" si="9"/>
        <v>0</v>
      </c>
      <c r="F81" s="804">
        <f t="shared" si="9"/>
        <v>0</v>
      </c>
      <c r="G81" s="804">
        <f t="shared" si="9"/>
        <v>0</v>
      </c>
      <c r="H81" s="804">
        <f t="shared" si="9"/>
        <v>0</v>
      </c>
      <c r="I81" s="804">
        <f t="shared" si="9"/>
        <v>0</v>
      </c>
      <c r="J81" s="804">
        <f t="shared" si="9"/>
        <v>0</v>
      </c>
      <c r="K81" s="804">
        <f t="shared" si="9"/>
        <v>1510.3361344537818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21539.96312013804</v>
      </c>
      <c r="C4" s="479">
        <f>huishoudens!C8</f>
        <v>0</v>
      </c>
      <c r="D4" s="479">
        <f>huishoudens!D8</f>
        <v>52641.671610000005</v>
      </c>
      <c r="E4" s="479">
        <f>huishoudens!E8</f>
        <v>1897.7082741754241</v>
      </c>
      <c r="F4" s="479">
        <f>huishoudens!F8</f>
        <v>0</v>
      </c>
      <c r="G4" s="479">
        <f>huishoudens!G8</f>
        <v>0</v>
      </c>
      <c r="H4" s="479">
        <f>huishoudens!H8</f>
        <v>0</v>
      </c>
      <c r="I4" s="479">
        <f>huishoudens!I8</f>
        <v>0</v>
      </c>
      <c r="J4" s="479">
        <f>huishoudens!J8</f>
        <v>1160.749383826691</v>
      </c>
      <c r="K4" s="479">
        <f>huishoudens!K8</f>
        <v>0</v>
      </c>
      <c r="L4" s="479">
        <f>huishoudens!L8</f>
        <v>0</v>
      </c>
      <c r="M4" s="479">
        <f>huishoudens!M8</f>
        <v>0</v>
      </c>
      <c r="N4" s="479">
        <f>huishoudens!N8</f>
        <v>12337.036333506061</v>
      </c>
      <c r="O4" s="479">
        <f>huishoudens!O8</f>
        <v>248.57000000000002</v>
      </c>
      <c r="P4" s="480">
        <f>huishoudens!P8</f>
        <v>286</v>
      </c>
      <c r="Q4" s="481">
        <f>SUM(B4:P4)</f>
        <v>90111.698721646244</v>
      </c>
    </row>
    <row r="5" spans="1:17">
      <c r="A5" s="478" t="s">
        <v>156</v>
      </c>
      <c r="B5" s="479">
        <f ca="1">tertiair!B16</f>
        <v>11762.64</v>
      </c>
      <c r="C5" s="479">
        <f ca="1">tertiair!C16</f>
        <v>1221.4285714285716</v>
      </c>
      <c r="D5" s="479">
        <f ca="1">tertiair!D16</f>
        <v>13565.629000000001</v>
      </c>
      <c r="E5" s="479">
        <f>tertiair!E16</f>
        <v>96.846750611833713</v>
      </c>
      <c r="F5" s="479">
        <f ca="1">tertiair!F16</f>
        <v>1699.8901072444446</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0</v>
      </c>
      <c r="Q5" s="478">
        <f t="shared" ref="Q5:Q13" ca="1" si="0">SUM(B5:P5)</f>
        <v>28349.561095951518</v>
      </c>
    </row>
    <row r="6" spans="1:17">
      <c r="A6" s="478" t="s">
        <v>194</v>
      </c>
      <c r="B6" s="479">
        <f>'openbare verlichting'!B8</f>
        <v>1059.76</v>
      </c>
      <c r="C6" s="479"/>
      <c r="D6" s="479"/>
      <c r="E6" s="479"/>
      <c r="F6" s="479"/>
      <c r="G6" s="479"/>
      <c r="H6" s="479"/>
      <c r="I6" s="479"/>
      <c r="J6" s="479"/>
      <c r="K6" s="479"/>
      <c r="L6" s="479"/>
      <c r="M6" s="479"/>
      <c r="N6" s="479"/>
      <c r="O6" s="479"/>
      <c r="P6" s="480"/>
      <c r="Q6" s="478">
        <f t="shared" si="0"/>
        <v>1059.76</v>
      </c>
    </row>
    <row r="7" spans="1:17">
      <c r="A7" s="478" t="s">
        <v>112</v>
      </c>
      <c r="B7" s="479">
        <f>landbouw!B8</f>
        <v>2395.0059999999999</v>
      </c>
      <c r="C7" s="479">
        <f>landbouw!C8</f>
        <v>62.357142857142847</v>
      </c>
      <c r="D7" s="479">
        <f>landbouw!D8</f>
        <v>1145.415524</v>
      </c>
      <c r="E7" s="479">
        <f>landbouw!E8</f>
        <v>22.183548692721583</v>
      </c>
      <c r="F7" s="479">
        <f>landbouw!F8</f>
        <v>6076.5864701747896</v>
      </c>
      <c r="G7" s="479">
        <f>landbouw!G8</f>
        <v>0</v>
      </c>
      <c r="H7" s="479">
        <f>landbouw!H8</f>
        <v>0</v>
      </c>
      <c r="I7" s="479">
        <f>landbouw!I8</f>
        <v>0</v>
      </c>
      <c r="J7" s="479">
        <f>landbouw!J8</f>
        <v>367.1811481449692</v>
      </c>
      <c r="K7" s="479">
        <f>landbouw!K8</f>
        <v>0</v>
      </c>
      <c r="L7" s="479">
        <f>landbouw!L8</f>
        <v>0</v>
      </c>
      <c r="M7" s="479">
        <f>landbouw!M8</f>
        <v>0</v>
      </c>
      <c r="N7" s="479">
        <f>landbouw!N8</f>
        <v>0</v>
      </c>
      <c r="O7" s="479">
        <f>landbouw!O8</f>
        <v>0</v>
      </c>
      <c r="P7" s="480">
        <f>landbouw!P8</f>
        <v>0</v>
      </c>
      <c r="Q7" s="478">
        <f t="shared" si="0"/>
        <v>10068.729833869624</v>
      </c>
    </row>
    <row r="8" spans="1:17">
      <c r="A8" s="478" t="s">
        <v>650</v>
      </c>
      <c r="B8" s="479">
        <f>industrie!B18</f>
        <v>4473.085</v>
      </c>
      <c r="C8" s="479">
        <f>industrie!C18</f>
        <v>0</v>
      </c>
      <c r="D8" s="479">
        <f>industrie!D18</f>
        <v>6309.8652320000001</v>
      </c>
      <c r="E8" s="479">
        <f>industrie!E18</f>
        <v>672.88873910427219</v>
      </c>
      <c r="F8" s="479">
        <f>industrie!F18</f>
        <v>2669.44677941994</v>
      </c>
      <c r="G8" s="479">
        <f>industrie!G18</f>
        <v>0</v>
      </c>
      <c r="H8" s="479">
        <f>industrie!H18</f>
        <v>0</v>
      </c>
      <c r="I8" s="479">
        <f>industrie!I18</f>
        <v>0</v>
      </c>
      <c r="J8" s="479">
        <f>industrie!J18</f>
        <v>10.460034168964395</v>
      </c>
      <c r="K8" s="479">
        <f>industrie!K18</f>
        <v>0</v>
      </c>
      <c r="L8" s="479">
        <f>industrie!L18</f>
        <v>0</v>
      </c>
      <c r="M8" s="479">
        <f>industrie!M18</f>
        <v>0</v>
      </c>
      <c r="N8" s="479">
        <f>industrie!N18</f>
        <v>1109.7713220689866</v>
      </c>
      <c r="O8" s="479">
        <f>industrie!O18</f>
        <v>0</v>
      </c>
      <c r="P8" s="480">
        <f>industrie!P18</f>
        <v>0</v>
      </c>
      <c r="Q8" s="478">
        <f t="shared" si="0"/>
        <v>15245.51710676216</v>
      </c>
    </row>
    <row r="9" spans="1:17" s="484" customFormat="1">
      <c r="A9" s="482" t="s">
        <v>571</v>
      </c>
      <c r="B9" s="483">
        <f>transport!B14</f>
        <v>21.378961075766881</v>
      </c>
      <c r="C9" s="483"/>
      <c r="D9" s="483">
        <f>transport!D14</f>
        <v>53.144709117564545</v>
      </c>
      <c r="E9" s="483">
        <f>transport!E14</f>
        <v>397.09374348809962</v>
      </c>
      <c r="F9" s="483"/>
      <c r="G9" s="483">
        <f>transport!G14</f>
        <v>153142.44416090581</v>
      </c>
      <c r="H9" s="483">
        <f>transport!H14</f>
        <v>20761.347624225727</v>
      </c>
      <c r="I9" s="483"/>
      <c r="J9" s="483"/>
      <c r="K9" s="483"/>
      <c r="L9" s="483"/>
      <c r="M9" s="483">
        <f>transport!M14</f>
        <v>9497.6913694345967</v>
      </c>
      <c r="N9" s="483"/>
      <c r="O9" s="483"/>
      <c r="P9" s="483"/>
      <c r="Q9" s="482">
        <f>SUM(B9:P9)</f>
        <v>183873.10056824755</v>
      </c>
    </row>
    <row r="10" spans="1:17">
      <c r="A10" s="478" t="s">
        <v>561</v>
      </c>
      <c r="B10" s="479">
        <f>transport!B54</f>
        <v>0</v>
      </c>
      <c r="C10" s="479"/>
      <c r="D10" s="479">
        <f>transport!D54</f>
        <v>0</v>
      </c>
      <c r="E10" s="479"/>
      <c r="F10" s="479"/>
      <c r="G10" s="479">
        <f>transport!G54</f>
        <v>1340.2120694835496</v>
      </c>
      <c r="H10" s="479"/>
      <c r="I10" s="479"/>
      <c r="J10" s="479"/>
      <c r="K10" s="479"/>
      <c r="L10" s="479"/>
      <c r="M10" s="479">
        <f>transport!M54</f>
        <v>76.428387393412962</v>
      </c>
      <c r="N10" s="479"/>
      <c r="O10" s="479"/>
      <c r="P10" s="480"/>
      <c r="Q10" s="478">
        <f t="shared" si="0"/>
        <v>1416.6404568769626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41251.833081213808</v>
      </c>
      <c r="C14" s="489">
        <f t="shared" ref="C14:Q14" ca="1" si="1">SUM(C4:C13)</f>
        <v>1283.7857142857144</v>
      </c>
      <c r="D14" s="489">
        <f t="shared" ca="1" si="1"/>
        <v>73715.726075117564</v>
      </c>
      <c r="E14" s="489">
        <f t="shared" si="1"/>
        <v>3086.7210560723515</v>
      </c>
      <c r="F14" s="489">
        <f t="shared" ca="1" si="1"/>
        <v>10445.923356839176</v>
      </c>
      <c r="G14" s="489">
        <f t="shared" si="1"/>
        <v>154482.65623038937</v>
      </c>
      <c r="H14" s="489">
        <f t="shared" si="1"/>
        <v>20761.347624225727</v>
      </c>
      <c r="I14" s="489">
        <f t="shared" si="1"/>
        <v>0</v>
      </c>
      <c r="J14" s="489">
        <f t="shared" si="1"/>
        <v>1538.3905661406245</v>
      </c>
      <c r="K14" s="489">
        <f t="shared" si="1"/>
        <v>0</v>
      </c>
      <c r="L14" s="489">
        <f t="shared" ca="1" si="1"/>
        <v>0</v>
      </c>
      <c r="M14" s="489">
        <f t="shared" si="1"/>
        <v>9574.1197568280095</v>
      </c>
      <c r="N14" s="489">
        <f t="shared" ca="1" si="1"/>
        <v>13446.807655575049</v>
      </c>
      <c r="O14" s="489">
        <f t="shared" si="1"/>
        <v>251.69666666666669</v>
      </c>
      <c r="P14" s="490">
        <f t="shared" si="1"/>
        <v>286</v>
      </c>
      <c r="Q14" s="490">
        <f t="shared" ca="1" si="1"/>
        <v>330125.00778335403</v>
      </c>
    </row>
    <row r="16" spans="1:17">
      <c r="A16" s="492" t="s">
        <v>566</v>
      </c>
      <c r="B16" s="842">
        <f ca="1">huishoudens!B10</f>
        <v>5.7464248366157919E-2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1237.7777905334942</v>
      </c>
      <c r="C21" s="479">
        <f t="shared" ref="C21:C28" ca="1" si="3">C4*$C$16</f>
        <v>0</v>
      </c>
      <c r="D21" s="479">
        <f t="shared" ref="D21:D30" si="4">D4*$D$16</f>
        <v>10633.617665220001</v>
      </c>
      <c r="E21" s="479">
        <f t="shared" ref="E21:E30" si="5">E4*$E$16</f>
        <v>430.77977823782129</v>
      </c>
      <c r="F21" s="479">
        <f t="shared" ref="F21:F28" si="6">F4*$F$16</f>
        <v>0</v>
      </c>
      <c r="G21" s="479">
        <f t="shared" ref="G21:G30" si="7">G4*$G$16</f>
        <v>0</v>
      </c>
      <c r="H21" s="479">
        <f t="shared" ref="H21:H30" si="8">H4*$H$16</f>
        <v>0</v>
      </c>
      <c r="I21" s="479">
        <f t="shared" ref="I21:I28" si="9">I4*$I$16</f>
        <v>0</v>
      </c>
      <c r="J21" s="479">
        <f t="shared" ref="J21:J28" si="10">J4*$J$16</f>
        <v>410.90528187464861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12713.080515865968</v>
      </c>
    </row>
    <row r="22" spans="1:17">
      <c r="A22" s="478" t="s">
        <v>156</v>
      </c>
      <c r="B22" s="479">
        <f t="shared" ca="1" si="2"/>
        <v>675.93126640170374</v>
      </c>
      <c r="C22" s="479">
        <f t="shared" ca="1" si="3"/>
        <v>0</v>
      </c>
      <c r="D22" s="479">
        <f t="shared" ca="1" si="4"/>
        <v>2740.2570580000001</v>
      </c>
      <c r="E22" s="479">
        <f t="shared" si="5"/>
        <v>21.984212388886252</v>
      </c>
      <c r="F22" s="479">
        <f t="shared" ca="1" si="6"/>
        <v>453.87065863426676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3892.043195424857</v>
      </c>
    </row>
    <row r="23" spans="1:17">
      <c r="A23" s="478" t="s">
        <v>194</v>
      </c>
      <c r="B23" s="479">
        <f t="shared" ca="1" si="2"/>
        <v>60.898311848519519</v>
      </c>
      <c r="C23" s="479"/>
      <c r="D23" s="479"/>
      <c r="E23" s="479"/>
      <c r="F23" s="479"/>
      <c r="G23" s="479"/>
      <c r="H23" s="479"/>
      <c r="I23" s="479"/>
      <c r="J23" s="479"/>
      <c r="K23" s="479"/>
      <c r="L23" s="479"/>
      <c r="M23" s="479"/>
      <c r="N23" s="479"/>
      <c r="O23" s="479"/>
      <c r="P23" s="480"/>
      <c r="Q23" s="478">
        <f t="shared" ca="1" si="17"/>
        <v>60.898311848519519</v>
      </c>
    </row>
    <row r="24" spans="1:17">
      <c r="A24" s="478" t="s">
        <v>112</v>
      </c>
      <c r="B24" s="479">
        <f t="shared" ca="1" si="2"/>
        <v>137.62721962243842</v>
      </c>
      <c r="C24" s="479">
        <f t="shared" ca="1" si="3"/>
        <v>0</v>
      </c>
      <c r="D24" s="479">
        <f t="shared" si="4"/>
        <v>231.373935848</v>
      </c>
      <c r="E24" s="479">
        <f t="shared" si="5"/>
        <v>5.0356655532477994</v>
      </c>
      <c r="F24" s="479">
        <f t="shared" si="6"/>
        <v>1622.4485875366688</v>
      </c>
      <c r="G24" s="479">
        <f t="shared" si="7"/>
        <v>0</v>
      </c>
      <c r="H24" s="479">
        <f t="shared" si="8"/>
        <v>0</v>
      </c>
      <c r="I24" s="479">
        <f t="shared" si="9"/>
        <v>0</v>
      </c>
      <c r="J24" s="479">
        <f t="shared" si="10"/>
        <v>129.98212644331909</v>
      </c>
      <c r="K24" s="479">
        <f t="shared" si="11"/>
        <v>0</v>
      </c>
      <c r="L24" s="479">
        <f t="shared" si="12"/>
        <v>0</v>
      </c>
      <c r="M24" s="479">
        <f t="shared" si="13"/>
        <v>0</v>
      </c>
      <c r="N24" s="479">
        <f t="shared" si="14"/>
        <v>0</v>
      </c>
      <c r="O24" s="479">
        <f t="shared" si="15"/>
        <v>0</v>
      </c>
      <c r="P24" s="480">
        <f t="shared" si="16"/>
        <v>0</v>
      </c>
      <c r="Q24" s="478">
        <f t="shared" ca="1" si="17"/>
        <v>2126.4675350036741</v>
      </c>
    </row>
    <row r="25" spans="1:17">
      <c r="A25" s="478" t="s">
        <v>650</v>
      </c>
      <c r="B25" s="479">
        <f t="shared" ca="1" si="2"/>
        <v>257.04246740293547</v>
      </c>
      <c r="C25" s="479">
        <f t="shared" ca="1" si="3"/>
        <v>0</v>
      </c>
      <c r="D25" s="479">
        <f t="shared" si="4"/>
        <v>1274.5927768640001</v>
      </c>
      <c r="E25" s="479">
        <f t="shared" si="5"/>
        <v>152.7457437766698</v>
      </c>
      <c r="F25" s="479">
        <f t="shared" si="6"/>
        <v>712.74229010512397</v>
      </c>
      <c r="G25" s="479">
        <f t="shared" si="7"/>
        <v>0</v>
      </c>
      <c r="H25" s="479">
        <f t="shared" si="8"/>
        <v>0</v>
      </c>
      <c r="I25" s="479">
        <f t="shared" si="9"/>
        <v>0</v>
      </c>
      <c r="J25" s="479">
        <f t="shared" si="10"/>
        <v>3.7028520958133955</v>
      </c>
      <c r="K25" s="479">
        <f t="shared" si="11"/>
        <v>0</v>
      </c>
      <c r="L25" s="479">
        <f t="shared" si="12"/>
        <v>0</v>
      </c>
      <c r="M25" s="479">
        <f t="shared" si="13"/>
        <v>0</v>
      </c>
      <c r="N25" s="479">
        <f t="shared" si="14"/>
        <v>0</v>
      </c>
      <c r="O25" s="479">
        <f t="shared" si="15"/>
        <v>0</v>
      </c>
      <c r="P25" s="480">
        <f t="shared" si="16"/>
        <v>0</v>
      </c>
      <c r="Q25" s="478">
        <f t="shared" ca="1" si="17"/>
        <v>2400.8261302445426</v>
      </c>
    </row>
    <row r="26" spans="1:17" s="484" customFormat="1">
      <c r="A26" s="482" t="s">
        <v>571</v>
      </c>
      <c r="B26" s="836">
        <f t="shared" ca="1" si="2"/>
        <v>1.2285259290682908</v>
      </c>
      <c r="C26" s="483"/>
      <c r="D26" s="483">
        <f t="shared" si="4"/>
        <v>10.735231241748039</v>
      </c>
      <c r="E26" s="483">
        <f t="shared" si="5"/>
        <v>90.140279771798618</v>
      </c>
      <c r="F26" s="483"/>
      <c r="G26" s="483">
        <f t="shared" si="7"/>
        <v>40889.032590961855</v>
      </c>
      <c r="H26" s="483">
        <f t="shared" si="8"/>
        <v>5169.575558432206</v>
      </c>
      <c r="I26" s="483"/>
      <c r="J26" s="483"/>
      <c r="K26" s="483"/>
      <c r="L26" s="483"/>
      <c r="M26" s="483">
        <f t="shared" si="13"/>
        <v>0</v>
      </c>
      <c r="N26" s="483"/>
      <c r="O26" s="483"/>
      <c r="P26" s="494"/>
      <c r="Q26" s="482">
        <f t="shared" ca="1" si="17"/>
        <v>46160.71218633667</v>
      </c>
    </row>
    <row r="27" spans="1:17">
      <c r="A27" s="478" t="s">
        <v>561</v>
      </c>
      <c r="B27" s="479">
        <f t="shared" ca="1" si="2"/>
        <v>0</v>
      </c>
      <c r="C27" s="479"/>
      <c r="D27" s="483">
        <f t="shared" si="4"/>
        <v>0</v>
      </c>
      <c r="E27" s="479"/>
      <c r="F27" s="479"/>
      <c r="G27" s="479">
        <f t="shared" si="7"/>
        <v>357.83662255210777</v>
      </c>
      <c r="H27" s="479"/>
      <c r="I27" s="479"/>
      <c r="J27" s="479"/>
      <c r="K27" s="479"/>
      <c r="L27" s="479"/>
      <c r="M27" s="479">
        <f t="shared" si="13"/>
        <v>0</v>
      </c>
      <c r="N27" s="479"/>
      <c r="O27" s="479"/>
      <c r="P27" s="480"/>
      <c r="Q27" s="478">
        <f t="shared" ca="1" si="17"/>
        <v>357.83662255210777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2370.5055817381599</v>
      </c>
      <c r="C31" s="489">
        <f t="shared" ca="1" si="18"/>
        <v>0</v>
      </c>
      <c r="D31" s="489">
        <f t="shared" ca="1" si="18"/>
        <v>14890.576667173747</v>
      </c>
      <c r="E31" s="489">
        <f t="shared" si="18"/>
        <v>700.68567972842379</v>
      </c>
      <c r="F31" s="489">
        <f t="shared" ca="1" si="18"/>
        <v>2789.0615362760595</v>
      </c>
      <c r="G31" s="489">
        <f t="shared" si="18"/>
        <v>41246.869213513964</v>
      </c>
      <c r="H31" s="489">
        <f t="shared" si="18"/>
        <v>5169.575558432206</v>
      </c>
      <c r="I31" s="489">
        <f t="shared" si="18"/>
        <v>0</v>
      </c>
      <c r="J31" s="489">
        <f t="shared" si="18"/>
        <v>544.59026041378104</v>
      </c>
      <c r="K31" s="489">
        <f t="shared" si="18"/>
        <v>0</v>
      </c>
      <c r="L31" s="489">
        <f t="shared" ca="1" si="18"/>
        <v>0</v>
      </c>
      <c r="M31" s="489">
        <f t="shared" si="18"/>
        <v>0</v>
      </c>
      <c r="N31" s="489">
        <f t="shared" ca="1" si="18"/>
        <v>0</v>
      </c>
      <c r="O31" s="489">
        <f t="shared" si="18"/>
        <v>0</v>
      </c>
      <c r="P31" s="490">
        <f t="shared" si="18"/>
        <v>0</v>
      </c>
      <c r="Q31" s="490">
        <f t="shared" ca="1" si="18"/>
        <v>67711.864497276329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5.7464248366157919E-2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5.7464248366157919E-2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5.7464248366157919E-2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2019-01-01T21:32:35Z</dcterms:modified>
</cp:coreProperties>
</file>