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J12" i="17"/>
  <c r="K48" i="14" s="1"/>
  <c r="J15"/>
  <c r="J23" s="1"/>
  <c r="B34" i="13"/>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L53" i="14"/>
  <c r="F5" i="15"/>
  <c r="F16" s="1"/>
  <c r="B5"/>
  <c r="B16" s="1"/>
  <c r="E13" i="14"/>
  <c r="B5" i="16"/>
  <c r="B18" s="1"/>
  <c r="C13" i="14" s="1"/>
  <c r="N5" i="15"/>
  <c r="N16" s="1"/>
  <c r="F12" i="13"/>
  <c r="G37" i="14" s="1"/>
  <c r="P5" i="48"/>
  <c r="P22" s="1"/>
  <c r="F13" i="16"/>
  <c r="E13"/>
  <c r="N13"/>
  <c r="J13"/>
  <c r="N12"/>
  <c r="J12"/>
  <c r="F12"/>
  <c r="E12"/>
  <c r="Q11" i="48"/>
  <c r="O5"/>
  <c r="R9" i="14"/>
  <c r="O28" i="48"/>
  <c r="H22"/>
  <c r="B46" i="13"/>
  <c r="E5" s="1"/>
  <c r="E8" s="1"/>
  <c r="E12" s="1"/>
  <c r="F37" i="14" s="1"/>
  <c r="K31" i="48"/>
  <c r="M25"/>
  <c r="M24"/>
  <c r="I31"/>
  <c r="C50" i="13"/>
  <c r="J5" s="1"/>
  <c r="J8" s="1"/>
  <c r="C5" i="48"/>
  <c r="Q15" i="14" l="1"/>
  <c r="Q23" s="1"/>
  <c r="Q55" s="1"/>
  <c r="N7" i="48"/>
  <c r="N24"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C29" i="20" l="1"/>
  <c r="C17" i="19"/>
  <c r="C19" s="1"/>
  <c r="D35" i="14" s="1"/>
  <c r="C20" i="16"/>
  <c r="C22" s="1"/>
  <c r="D39" i="14" s="1"/>
  <c r="C17" i="49"/>
  <c r="C18" i="15"/>
  <c r="C20" s="1"/>
  <c r="D36" i="14" s="1"/>
  <c r="C10" i="13"/>
  <c r="C16" i="48" s="1"/>
  <c r="C24" s="1"/>
  <c r="C16" i="22"/>
  <c r="C10" i="17"/>
  <c r="C12" s="1"/>
  <c r="D48" i="14" s="1"/>
  <c r="C56" i="22"/>
  <c r="C58" s="1"/>
  <c r="D44" i="14" s="1"/>
  <c r="D46" s="1"/>
  <c r="N55"/>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28" i="48"/>
  <c r="C22"/>
  <c r="C25"/>
  <c r="C21"/>
  <c r="R13" i="14"/>
  <c r="R15" s="1"/>
  <c r="F25" i="48"/>
  <c r="F31" s="1"/>
  <c r="F14"/>
  <c r="C12" i="13" l="1"/>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<sst xmlns="http://schemas.openxmlformats.org/spreadsheetml/2006/main" count="2173" uniqueCount="887">
  <si>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</si>
  <si>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</si>
  <si>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</si>
  <si>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</si>
  <si>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</si>
  <si>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</si>
  <si>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</si>
  <si>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</si>
  <si>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</si>
  <si>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</si>
  <si>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</si>
  <si>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</si>
  <si>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</si>
  <si>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</si>
  <si>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</si>
  <si>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</si>
  <si>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</si>
  <si>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</si>
  <si>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</si>
  <si>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</si>
  <si>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</si>
  <si>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</si>
  <si>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</si>
  <si>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</si>
  <si>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</si>
  <si>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</si>
  <si>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</si>
  <si>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</si>
  <si>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</si>
  <si>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</si>
  <si>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</si>
  <si>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</si>
  <si>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</si>
  <si>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</si>
  <si>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</si>
  <si>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</si>
  <si>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</si>
  <si>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</si>
  <si>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</si>
  <si>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</si>
  <si>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</si>
  <si>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</si>
  <si>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</si>
  <si>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</si>
  <si>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</si>
  <si>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</si>
  <si>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</si>
  <si>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</si>
  <si>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</si>
  <si>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</si>
  <si>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</si>
  <si>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</si>
  <si>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</si>
  <si>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</si>
  <si>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</si>
  <si>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</si>
  <si>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</si>
  <si>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</si>
  <si>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</si>
  <si>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</si>
  <si>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</si>
  <si>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</si>
  <si>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</si>
  <si>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</si>
  <si>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</si>
  <si>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</si>
  <si>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</si>
  <si>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</si>
  <si>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</si>
  <si>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</si>
  <si>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</si>
  <si>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</si>
  <si>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</si>
  <si>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</si>
  <si>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</si>
  <si>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</si>
  <si>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</si>
  <si>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</si>
  <si>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</si>
  <si>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</si>
  <si>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</si>
  <si>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</si>
  <si>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</si>
  <si>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</si>
  <si>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</si>
  <si>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</si>
  <si>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</si>
  <si>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</si>
  <si>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</si>
  <si>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</si>
  <si>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</si>
  <si>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</si>
  <si>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</si>
  <si>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</si>
  <si>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</si>
  <si>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</si>
  <si>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</si>
  <si>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</si>
  <si>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</si>
  <si>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</si>
  <si>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</si>
  <si>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</si>
  <si>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</si>
  <si>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</si>
  <si>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</si>
  <si>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</si>
  <si>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</si>
  <si>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</si>
  <si>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</si>
  <si>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</si>
  <si>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</si>
  <si>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</si>
  <si>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</si>
  <si>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</si>
  <si>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</si>
  <si>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</si>
  <si>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</si>
  <si>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</si>
  <si>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</si>
  <si>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</si>
  <si>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</si>
  <si>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</si>
  <si>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</si>
  <si>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</si>
  <si>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</si>
  <si>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</si>
  <si>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</si>
  <si>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</si>
  <si>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</si>
  <si>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</si>
  <si>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</si>
  <si>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</si>
  <si>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</si>
  <si>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</si>
  <si>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</si>
  <si>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</si>
  <si>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</si>
  <si>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</si>
  <si>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</si>
  <si>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</si>
  <si>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</si>
  <si>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</si>
  <si>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</si>
  <si>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</si>
  <si>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</si>
  <si>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</si>
  <si>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</si>
  <si>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</si>
  <si>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</si>
  <si>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</si>
  <si>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</si>
  <si>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</si>
  <si>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</si>
  <si>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</si>
  <si>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</si>
  <si>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</si>
  <si>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</si>
  <si>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</si>
  <si>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</si>
  <si>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</si>
  <si>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</si>
  <si>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</si>
  <si>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</si>
  <si>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</si>
  <si>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</si>
  <si>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</si>
  <si>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</si>
  <si>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</si>
  <si>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</si>
  <si>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</si>
  <si>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</si>
  <si>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</si>
  <si>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</si>
  <si>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</si>
  <si>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</si>
  <si>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</si>
  <si>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</si>
  <si>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</si>
  <si>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</si>
  <si>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</si>
  <si>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</si>
  <si>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</si>
  <si>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</si>
  <si>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</si>
  <si>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</si>
  <si>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</si>
  <si>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</si>
  <si>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</si>
  <si>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</si>
  <si>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</si>
  <si>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</si>
  <si>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</si>
  <si>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</si>
  <si>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</si>
  <si>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</si>
  <si>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</si>
  <si>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</si>
  <si>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</si>
  <si>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</si>
  <si>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</si>
  <si>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</si>
  <si>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</si>
  <si>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</si>
  <si>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</si>
  <si>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</si>
  <si>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</si>
  <si>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</si>
  <si>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</si>
  <si>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</si>
  <si>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</si>
  <si>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</si>
  <si>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</si>
  <si>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</si>
  <si>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</si>
  <si>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</si>
  <si>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</si>
  <si>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</si>
  <si>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</si>
  <si>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</si>
  <si>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</si>
  <si>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</si>
  <si>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</si>
  <si>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</si>
  <si>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</si>
  <si>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</si>
  <si>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</si>
  <si>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</si>
  <si>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</si>
  <si>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</si>
  <si>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</si>
  <si>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</si>
  <si>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</si>
  <si>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</si>
  <si>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</si>
  <si>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</si>
  <si>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</si>
  <si>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</si>
  <si>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</si>
  <si>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</si>
  <si>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</si>
  <si>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</si>
  <si>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</si>
  <si>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</si>
  <si>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</si>
  <si>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</si>
  <si>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</si>
  <si>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</si>
  <si>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</si>
  <si>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</si>
  <si>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</si>
  <si>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</si>
  <si>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</si>
  <si>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</si>
  <si>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</si>
  <si>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</si>
  <si>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</si>
  <si>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</si>
  <si>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</si>
  <si>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</si>
  <si>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</si>
  <si>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</si>
  <si>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</si>
  <si>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</si>
  <si>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</si>
  <si>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</si>
  <si>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</si>
  <si>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</si>
  <si>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</si>
  <si>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</si>
  <si>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</si>
  <si>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</si>
  <si>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</si>
  <si>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</si>
  <si>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</si>
  <si>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</si>
  <si>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</si>
  <si>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</si>
  <si>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</si>
  <si>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</si>
  <si>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</si>
  <si>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</si>
  <si>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</si>
  <si>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</si>
  <si>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</si>
  <si>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</si>
  <si>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</si>
  <si>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</si>
  <si>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</si>
  <si>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</si>
  <si>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</si>
  <si>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</si>
  <si>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</si>
  <si>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</si>
  <si>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</si>
  <si>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</si>
  <si>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</si>
  <si>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</si>
  <si>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</si>
  <si>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</si>
  <si>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</si>
  <si>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</si>
  <si>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</si>
  <si>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</si>
  <si>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</si>
  <si>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</si>
  <si>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</si>
  <si>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</si>
  <si>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</si>
  <si>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</si>
  <si>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</si>
  <si>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</si>
  <si>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</si>
  <si>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</si>
  <si>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</si>
  <si>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</si>
  <si>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</si>
  <si>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</si>
  <si>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</si>
  <si>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</si>
  <si>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</si>
  <si>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</si>
  <si>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</si>
  <si>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</si>
  <si>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</si>
  <si>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</si>
  <si>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</si>
  <si>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</si>
  <si>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</si>
  <si>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</si>
  <si>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</si>
  <si>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</si>
  <si>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</si>
  <si>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</si>
  <si>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</si>
  <si>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</si>
  <si>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</si>
  <si>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</si>
  <si>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</si>
  <si>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</si>
  <si>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</si>
  <si>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</si>
  <si>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</si>
  <si>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</si>
  <si>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</si>
  <si>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</si>
  <si>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</si>
  <si>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</si>
  <si>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</si>
  <si>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</si>
  <si>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</si>
  <si>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</si>
  <si>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</si>
  <si>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</si>
  <si>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</si>
  <si>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</si>
  <si>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</si>
  <si>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</si>
  <si>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</si>
  <si>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</si>
  <si>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</si>
  <si>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</si>
  <si>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</si>
  <si>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</si>
  <si>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</si>
  <si>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</si>
  <si>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</si>
  <si>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</si>
  <si>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</si>
  <si>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</si>
  <si>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</si>
  <si>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</si>
  <si>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</si>
  <si>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</si>
  <si>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</si>
  <si>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</si>
  <si>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</si>
  <si>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</si>
  <si>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</si>
  <si>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</si>
  <si>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</si>
  <si>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</si>
  <si>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</si>
  <si>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</si>
  <si>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</si>
  <si>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</si>
  <si>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</si>
  <si>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</si>
  <si>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</si>
  <si>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</si>
  <si>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</si>
  <si>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</si>
  <si>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</si>
  <si>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</si>
  <si>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</si>
  <si>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</si>
  <si>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</si>
  <si>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</si>
  <si>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</si>
  <si>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</si>
  <si>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</si>
  <si>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</si>
  <si>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</si>
  <si>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</si>
  <si>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</si>
  <si>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</si>
  <si>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</si>
  <si>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</si>
  <si>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</si>
  <si>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</si>
  <si>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</si>
  <si>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</si>
  <si>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</si>
  <si>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</si>
  <si>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</si>
  <si>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</si>
  <si>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</si>
  <si>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</si>
  <si>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</si>
  <si>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</si>
  <si>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</si>
  <si>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</si>
  <si>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</si>
  <si>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</si>
  <si>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</si>
  <si>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</si>
  <si>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</si>
  <si>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</si>
  <si>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</si>
  <si>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</si>
  <si>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</si>
  <si>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</si>
  <si>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</si>
  <si>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</si>
  <si>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</si>
  <si>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</si>
  <si>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</si>
  <si>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</si>
  <si>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</si>
  <si>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</si>
  <si>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</si>
  <si>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</si>
  <si>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</si>
  <si>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</si>
  <si>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</si>
  <si>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</si>
  <si>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</si>
  <si>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</si>
  <si>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</si>
  <si>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</si>
  <si>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</si>
  <si>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</si>
  <si>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</si>
  <si>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</si>
  <si>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</si>
  <si>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</si>
  <si>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</si>
  <si>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</si>
  <si>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</si>
  <si>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</si>
  <si>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</si>
  <si>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</si>
  <si>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</si>
  <si>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</si>
  <si>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</si>
  <si>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</si>
  <si>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</si>
  <si>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</si>
  <si>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</si>
  <si>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</si>
  <si>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</si>
  <si>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</si>
  <si>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</si>
  <si>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</si>
  <si>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</si>
  <si>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</si>
  <si>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</si>
  <si>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</si>
  <si>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</si>
  <si>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</si>
  <si>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</si>
  <si>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</si>
  <si>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</si>
  <si>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</si>
  <si>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</si>
  <si>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</si>
  <si>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</si>
  <si>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</si>
  <si>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</si>
  <si>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</si>
  <si>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</si>
  <si>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</si>
  <si>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</si>
  <si>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</si>
  <si>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</si>
  <si>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</si>
  <si>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</si>
  <si>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</si>
  <si>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</si>
  <si>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</si>
  <si>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</si>
  <si>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</si>
  <si>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</si>
  <si>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</si>
  <si>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</si>
  <si>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</si>
  <si>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</si>
  <si>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</si>
  <si>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</si>
  <si>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</si>
  <si>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</si>
  <si>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</si>
  <si>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</si>
  <si>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</si>
  <si>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</si>
  <si>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</si>
  <si>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</si>
  <si>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</si>
  <si>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</si>
  <si>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</si>
  <si>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</si>
  <si>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</si>
  <si>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</si>
  <si>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</si>
  <si>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</si>
  <si>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</si>
  <si>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</si>
  <si>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</si>
  <si>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</si>
  <si>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</si>
  <si>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</si>
  <si>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</si>
  <si>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</si>
  <si>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</si>
  <si>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</si>
  <si>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</si>
  <si>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</si>
  <si>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</si>
  <si>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</si>
  <si>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</si>
  <si>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</si>
  <si>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</si>
  <si>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</si>
  <si>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</si>
  <si>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</si>
  <si>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</si>
  <si>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</si>
  <si>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</si>
  <si>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</si>
  <si>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</si>
  <si>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</si>
  <si>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</si>
  <si>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</si>
  <si>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</si>
  <si>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</si>
  <si>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</si>
  <si>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</si>
  <si>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</si>
  <si>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</si>
  <si>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</si>
  <si>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</si>
  <si>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</si>
  <si>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</si>
  <si>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</si>
  <si>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</si>
  <si>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</si>
  <si>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</si>
  <si>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</si>
  <si>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</si>
  <si>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</si>
  <si>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</si>
  <si>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</si>
  <si>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</si>
  <si>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</si>
  <si>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</si>
  <si>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</si>
  <si>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</si>
  <si>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</si>
  <si>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</si>
  <si>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</si>
  <si>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</si>
  <si>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</si>
  <si>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</si>
  <si>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</si>
  <si>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</si>
  <si>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</si>
  <si>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</si>
  <si>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</si>
  <si>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</si>
  <si>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</si>
  <si>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</si>
  <si>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</si>
  <si>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</si>
  <si>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</si>
  <si>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</si>
  <si>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</si>
  <si>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</si>
  <si>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</si>
  <si>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</si>
  <si>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</si>
  <si>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</si>
  <si>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</si>
  <si>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</si>
  <si>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</si>
  <si>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</si>
  <si>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</si>
  <si>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</si>
  <si>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</si>
  <si>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</si>
  <si>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</si>
  <si>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</si>
  <si>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</si>
  <si>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</si>
  <si>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</si>
  <si>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</si>
  <si>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</si>
  <si>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</si>
  <si>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</si>
  <si>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</si>
  <si>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</si>
  <si>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</si>
  <si>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</si>
  <si>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</si>
  <si>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</si>
  <si>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</si>
  <si>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</si>
  <si>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</si>
  <si>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</si>
  <si>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</si>
  <si>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</si>
  <si>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</si>
  <si>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</si>
  <si>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</si>
  <si>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</si>
  <si>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</si>
  <si>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</si>
  <si>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</si>
  <si>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</si>
  <si>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</si>
  <si>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</si>
  <si>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</si>
  <si>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</si>
  <si>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</si>
  <si>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</si>
  <si>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</si>
  <si>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</si>
  <si>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</si>
  <si>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</si>
  <si>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</si>
  <si>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</si>
  <si>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</si>
  <si>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</si>
  <si>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</si>
  <si>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</si>
  <si>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</si>
  <si>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</si>
  <si>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</si>
  <si>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</si>
  <si>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</si>
  <si>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</si>
  <si>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</si>
  <si>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</si>
  <si>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</si>
  <si>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</si>
  <si>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</si>
  <si>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</si>
  <si>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</si>
  <si>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</si>
  <si>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</si>
  <si>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</si>
  <si>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</si>
  <si>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</si>
  <si>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</si>
  <si>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</si>
  <si>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</si>
  <si>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</si>
  <si>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</si>
  <si>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</si>
  <si>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</si>
  <si>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</si>
  <si>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</si>
  <si>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</si>
  <si>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</si>
  <si>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</si>
  <si>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</si>
  <si>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</si>
  <si>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</si>
  <si>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</si>
  <si>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</si>
  <si>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</si>
  <si>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</si>
  <si>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</si>
  <si>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</si>
  <si>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</si>
  <si>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</si>
  <si>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</si>
  <si>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</si>
  <si>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</si>
  <si>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</si>
  <si>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</si>
  <si>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</si>
  <si>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</si>
  <si>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</si>
  <si>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</si>
  <si>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</si>
  <si>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</si>
  <si>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</si>
  <si>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</si>
  <si>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</si>
  <si>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</si>
  <si>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</si>
  <si>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</si>
  <si>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</si>
  <si>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</si>
  <si>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</si>
  <si>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</si>
  <si>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</si>
  <si>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</si>
  <si>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</si>
  <si>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</si>
  <si>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</si>
  <si>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</si>
  <si>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</si>
  <si>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</si>
  <si>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</si>
  <si>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</si>
  <si>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</si>
  <si>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</si>
  <si>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</si>
  <si>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</si>
  <si>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</si>
  <si>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</si>
  <si>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</si>
  <si>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</si>
  <si>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</si>
  <si>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</si>
  <si>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</si>
  <si>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</si>
  <si>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</si>
  <si>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</si>
  <si>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</si>
  <si>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</si>
  <si>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</si>
  <si>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</si>
  <si>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</si>
  <si>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</si>
  <si>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</si>
  <si>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</si>
  <si>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</si>
  <si>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</si>
  <si>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</si>
  <si>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</si>
  <si>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</si>
  <si>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</si>
  <si>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</si>
  <si>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</si>
  <si>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</si>
  <si>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</si>
  <si>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</si>
  <si>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</si>
  <si>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</si>
  <si>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</si>
  <si>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</si>
  <si>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</si>
  <si>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</si>
  <si>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</si>
  <si>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</si>
  <si>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</si>
  <si>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</si>
  <si>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</si>
  <si>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</si>
  <si>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</si>
  <si>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</si>
  <si>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</si>
  <si>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</si>
  <si>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</si>
  <si>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</si>
  <si>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</si>
  <si>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</si>
  <si>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</si>
  <si>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</si>
  <si>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</si>
  <si>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</si>
  <si>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</si>
  <si>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</si>
  <si>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</si>
  <si>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</si>
  <si>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</si>
  <si>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</si>
  <si>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</si>
  <si>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</si>
  <si>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</si>
  <si>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</si>
  <si>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</si>
  <si>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</si>
  <si>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</si>
  <si>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</si>
  <si>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</si>
  <si>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</si>
  <si>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</si>
  <si>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</si>
  <si>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</si>
  <si>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</si>
  <si>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</si>
  <si>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</si>
  <si>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</si>
  <si>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</si>
  <si>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</si>
  <si>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</si>
  <si>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</si>
  <si>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</si>
  <si>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</si>
  <si>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</si>
  <si>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</si>
  <si>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</si>
  <si>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</si>
  <si>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</si>
  <si>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</si>
  <si>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</si>
  <si>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</si>
  <si>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</si>
  <si>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</si>
  <si>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</si>
  <si>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</si>
  <si>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</si>
  <si>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</si>
  <si>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</si>
  <si>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</si>
  <si>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</si>
  <si>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</si>
  <si>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</si>
  <si>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</si>
  <si>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</si>
  <si>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</si>
  <si>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</si>
  <si>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</si>
  <si>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</si>
  <si>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</si>
  <si>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</si>
  <si>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</si>
  <si>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</si>
  <si>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</si>
  <si>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</si>
  <si>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</si>
  <si>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</si>
  <si>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</si>
  <si>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</si>
  <si>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</si>
  <si>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</si>
  <si>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</si>
  <si>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</si>
  <si>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</si>
  <si>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</si>
  <si>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</si>
  <si>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</si>
  <si>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</si>
  <si>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</si>
  <si>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</si>
  <si>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</si>
  <si>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</si>
  <si>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</si>
  <si>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</si>
  <si>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</si>
  <si>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</si>
  <si>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33011</t>
  </si>
  <si>
    <t>IEPER</t>
  </si>
  <si>
    <t>Paarden&amp;pony's 200 - 600 kg</t>
  </si>
  <si>
    <t>Paarden&amp;pony's &lt; 200 kg</t>
  </si>
  <si>
    <t>referentietaak LNE (2017); Jaarverslag De Lijn (2014)</t>
  </si>
  <si>
    <t>op basis van VEA (maart 2018) en Inventaris Hernieuwbare Energiebronnen (juni 2018)</t>
  </si>
  <si>
    <t>VEA (maart 2016)</t>
  </si>
  <si>
    <t>VEA (juni 2018)</t>
  </si>
  <si>
    <t>Biomass Center Ieper bvba</t>
  </si>
  <si>
    <t>Bargiestraat 1, 8900 Ieper</t>
  </si>
  <si>
    <t>WKK-0102 Biomass Center Ieper</t>
  </si>
  <si>
    <t>interne verbrandingsmotor</t>
  </si>
  <si>
    <t>WKK interne verbrandinsgmotor (gas)</t>
  </si>
  <si>
    <t>GASELWEST</t>
  </si>
  <si>
    <t>IVVO cvba</t>
  </si>
  <si>
    <t>Bargiestraat 6 , 8900 Ieper</t>
  </si>
  <si>
    <t>WKK-0267 IVVO</t>
  </si>
  <si>
    <t>Jan Yperman Ziekenhuis VZW</t>
  </si>
  <si>
    <t>Briekestraat 12 , 8900 Ieper</t>
  </si>
  <si>
    <t>WKK-0571 Jan Yperman Ziekenhuis</t>
  </si>
  <si>
    <t>Waterleau Newenergy Ieper nv</t>
  </si>
  <si>
    <t>Nieuwstraat 26 , 3150 Wespelaar</t>
  </si>
  <si>
    <t>WKK-0507 Waterleau Newenergy Ieper</t>
  </si>
  <si>
    <t>Bargiestraat 4 , 8900 Ieper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</si>
</sst>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249384.52795085017</c:v>
                </c:pt>
                <c:pt idx="1">
                  <c:v>213318.75221495132</c:v>
                </c:pt>
                <c:pt idx="2">
                  <c:v>3283.5529999999999</c:v>
                </c:pt>
                <c:pt idx="3">
                  <c:v>54552.210493227198</c:v>
                </c:pt>
                <c:pt idx="4">
                  <c:v>539779.8240488827</c:v>
                </c:pt>
                <c:pt idx="5">
                  <c:v>223030.1402274922</c:v>
                </c:pt>
                <c:pt idx="6">
                  <c:v>3659.8736391483526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249384.52795085017</c:v>
                </c:pt>
                <c:pt idx="1">
                  <c:v>213318.75221495132</c:v>
                </c:pt>
                <c:pt idx="2">
                  <c:v>3283.5529999999999</c:v>
                </c:pt>
                <c:pt idx="3">
                  <c:v>54552.210493227198</c:v>
                </c:pt>
                <c:pt idx="4">
                  <c:v>539779.8240488827</c:v>
                </c:pt>
                <c:pt idx="5">
                  <c:v>223030.1402274922</c:v>
                </c:pt>
                <c:pt idx="6">
                  <c:v>3659.8736391483526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45277.213676816551</c:v>
                </c:pt>
                <c:pt idx="1">
                  <c:v>34785.516489639471</c:v>
                </c:pt>
                <c:pt idx="2">
                  <c:v>559.18071970299684</c:v>
                </c:pt>
                <c:pt idx="3">
                  <c:v>9897.1476374313424</c:v>
                </c:pt>
                <c:pt idx="4">
                  <c:v>100363.09053904477</c:v>
                </c:pt>
                <c:pt idx="5">
                  <c:v>55927.230464084954</c:v>
                </c:pt>
                <c:pt idx="6">
                  <c:v>924.46662499494187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45277.213676816551</c:v>
                </c:pt>
                <c:pt idx="1">
                  <c:v>34785.516489639471</c:v>
                </c:pt>
                <c:pt idx="2">
                  <c:v>559.18071970299684</c:v>
                </c:pt>
                <c:pt idx="3">
                  <c:v>9897.1476374313424</c:v>
                </c:pt>
                <c:pt idx="4">
                  <c:v>100363.09053904477</c:v>
                </c:pt>
                <c:pt idx="5">
                  <c:v>55927.230464084954</c:v>
                </c:pt>
                <c:pt idx="6">
                  <c:v>924.46662499494187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33011</v>
      </c>
      <c r="B6" s="416"/>
      <c r="C6" s="417"/>
    </row>
    <row r="7" spans="1:7" s="414" customFormat="1" ht="15.75" customHeight="1">
      <c r="A7" s="418" t="str">
        <f>txtMunicipality</f>
        <v>IEPER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15045</v>
      </c>
      <c r="C9" s="342">
        <v>15115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9119</v>
      </c>
    </row>
    <row r="15" spans="1:6">
      <c r="A15" s="348" t="s">
        <v>184</v>
      </c>
      <c r="B15" s="334">
        <v>120</v>
      </c>
    </row>
    <row r="16" spans="1:6">
      <c r="A16" s="348" t="s">
        <v>6</v>
      </c>
      <c r="B16" s="334">
        <v>4062</v>
      </c>
    </row>
    <row r="17" spans="1:6">
      <c r="A17" s="348" t="s">
        <v>7</v>
      </c>
      <c r="B17" s="334">
        <v>2460</v>
      </c>
    </row>
    <row r="18" spans="1:6">
      <c r="A18" s="348" t="s">
        <v>8</v>
      </c>
      <c r="B18" s="334">
        <v>3883</v>
      </c>
    </row>
    <row r="19" spans="1:6">
      <c r="A19" s="348" t="s">
        <v>9</v>
      </c>
      <c r="B19" s="334">
        <v>3643</v>
      </c>
    </row>
    <row r="20" spans="1:6">
      <c r="A20" s="348" t="s">
        <v>10</v>
      </c>
      <c r="B20" s="334">
        <v>2478</v>
      </c>
    </row>
    <row r="21" spans="1:6">
      <c r="A21" s="348" t="s">
        <v>11</v>
      </c>
      <c r="B21" s="334">
        <v>48254</v>
      </c>
    </row>
    <row r="22" spans="1:6">
      <c r="A22" s="348" t="s">
        <v>12</v>
      </c>
      <c r="B22" s="334">
        <v>100726</v>
      </c>
    </row>
    <row r="23" spans="1:6">
      <c r="A23" s="348" t="s">
        <v>13</v>
      </c>
      <c r="B23" s="334">
        <v>2225</v>
      </c>
    </row>
    <row r="24" spans="1:6">
      <c r="A24" s="348" t="s">
        <v>14</v>
      </c>
      <c r="B24" s="334">
        <v>95</v>
      </c>
    </row>
    <row r="25" spans="1:6">
      <c r="A25" s="348" t="s">
        <v>15</v>
      </c>
      <c r="B25" s="334">
        <v>12760</v>
      </c>
    </row>
    <row r="26" spans="1:6">
      <c r="A26" s="348" t="s">
        <v>16</v>
      </c>
      <c r="B26" s="334">
        <v>928</v>
      </c>
    </row>
    <row r="27" spans="1:6">
      <c r="A27" s="348" t="s">
        <v>17</v>
      </c>
      <c r="B27" s="334">
        <v>26</v>
      </c>
    </row>
    <row r="28" spans="1:6" s="356" customFormat="1">
      <c r="A28" s="355" t="s">
        <v>18</v>
      </c>
      <c r="B28" s="355">
        <v>374265</v>
      </c>
    </row>
    <row r="29" spans="1:6">
      <c r="A29" s="355" t="s">
        <v>865</v>
      </c>
      <c r="B29" s="355">
        <v>183</v>
      </c>
      <c r="C29" s="356"/>
      <c r="D29" s="356"/>
      <c r="E29" s="356"/>
      <c r="F29" s="356"/>
    </row>
    <row r="30" spans="1:6">
      <c r="A30" s="341" t="s">
        <v>866</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16</v>
      </c>
      <c r="F36" s="334">
        <v>62418.1</v>
      </c>
    </row>
    <row r="37" spans="1:6">
      <c r="A37" s="348" t="s">
        <v>25</v>
      </c>
      <c r="B37" s="348" t="s">
        <v>28</v>
      </c>
      <c r="C37" s="334">
        <v>0</v>
      </c>
      <c r="D37" s="334">
        <v>0</v>
      </c>
      <c r="E37" s="334">
        <v>0</v>
      </c>
      <c r="F37" s="334">
        <v>0</v>
      </c>
    </row>
    <row r="38" spans="1:6">
      <c r="A38" s="348" t="s">
        <v>25</v>
      </c>
      <c r="B38" s="348" t="s">
        <v>29</v>
      </c>
      <c r="C38" s="334">
        <v>3</v>
      </c>
      <c r="D38" s="334">
        <v>4769297.242389</v>
      </c>
      <c r="E38" s="334">
        <v>4</v>
      </c>
      <c r="F38" s="334">
        <v>9124.375</v>
      </c>
    </row>
    <row r="39" spans="1:6">
      <c r="A39" s="348" t="s">
        <v>30</v>
      </c>
      <c r="B39" s="348" t="s">
        <v>31</v>
      </c>
      <c r="C39" s="334">
        <v>10505</v>
      </c>
      <c r="D39" s="334">
        <v>143604357.19748601</v>
      </c>
      <c r="E39" s="334">
        <v>14335</v>
      </c>
      <c r="F39" s="334">
        <v>53492710</v>
      </c>
    </row>
    <row r="40" spans="1:6">
      <c r="A40" s="348" t="s">
        <v>30</v>
      </c>
      <c r="B40" s="348" t="s">
        <v>29</v>
      </c>
      <c r="C40" s="334">
        <v>0</v>
      </c>
      <c r="D40" s="334">
        <v>0</v>
      </c>
      <c r="E40" s="334">
        <v>0</v>
      </c>
      <c r="F40" s="334">
        <v>0</v>
      </c>
    </row>
    <row r="41" spans="1:6">
      <c r="A41" s="348" t="s">
        <v>32</v>
      </c>
      <c r="B41" s="348" t="s">
        <v>33</v>
      </c>
      <c r="C41" s="334">
        <v>99</v>
      </c>
      <c r="D41" s="334">
        <v>1771673.7308020301</v>
      </c>
      <c r="E41" s="334">
        <v>241</v>
      </c>
      <c r="F41" s="334">
        <v>16152618</v>
      </c>
    </row>
    <row r="42" spans="1:6">
      <c r="A42" s="348" t="s">
        <v>32</v>
      </c>
      <c r="B42" s="348" t="s">
        <v>34</v>
      </c>
      <c r="C42" s="334">
        <v>4</v>
      </c>
      <c r="D42" s="334">
        <v>3929272.8272524802</v>
      </c>
      <c r="E42" s="334">
        <v>4</v>
      </c>
      <c r="F42" s="334">
        <v>19638013</v>
      </c>
    </row>
    <row r="43" spans="1:6">
      <c r="A43" s="348" t="s">
        <v>32</v>
      </c>
      <c r="B43" s="348" t="s">
        <v>35</v>
      </c>
      <c r="C43" s="334">
        <v>0</v>
      </c>
      <c r="D43" s="334">
        <v>0</v>
      </c>
      <c r="E43" s="334">
        <v>0</v>
      </c>
      <c r="F43" s="334">
        <v>0</v>
      </c>
    </row>
    <row r="44" spans="1:6">
      <c r="A44" s="348" t="s">
        <v>32</v>
      </c>
      <c r="B44" s="348" t="s">
        <v>36</v>
      </c>
      <c r="C44" s="334">
        <v>18</v>
      </c>
      <c r="D44" s="334">
        <v>23876201.165837999</v>
      </c>
      <c r="E44" s="334">
        <v>28</v>
      </c>
      <c r="F44" s="334">
        <v>5254548</v>
      </c>
    </row>
    <row r="45" spans="1:6">
      <c r="A45" s="348" t="s">
        <v>32</v>
      </c>
      <c r="B45" s="348" t="s">
        <v>37</v>
      </c>
      <c r="C45" s="334">
        <v>6</v>
      </c>
      <c r="D45" s="334">
        <v>207344.89535721001</v>
      </c>
      <c r="E45" s="334">
        <v>7</v>
      </c>
      <c r="F45" s="334">
        <v>127329.8</v>
      </c>
    </row>
    <row r="46" spans="1:6">
      <c r="A46" s="348" t="s">
        <v>32</v>
      </c>
      <c r="B46" s="348" t="s">
        <v>38</v>
      </c>
      <c r="C46" s="334">
        <v>0</v>
      </c>
      <c r="D46" s="334">
        <v>0</v>
      </c>
      <c r="E46" s="334">
        <v>0</v>
      </c>
      <c r="F46" s="334">
        <v>0</v>
      </c>
    </row>
    <row r="47" spans="1:6">
      <c r="A47" s="348" t="s">
        <v>32</v>
      </c>
      <c r="B47" s="348" t="s">
        <v>39</v>
      </c>
      <c r="C47" s="334">
        <v>8</v>
      </c>
      <c r="D47" s="334">
        <v>90831.0489173893</v>
      </c>
      <c r="E47" s="334">
        <v>10</v>
      </c>
      <c r="F47" s="334">
        <v>93716.51</v>
      </c>
    </row>
    <row r="48" spans="1:6">
      <c r="A48" s="348" t="s">
        <v>32</v>
      </c>
      <c r="B48" s="348" t="s">
        <v>29</v>
      </c>
      <c r="C48" s="334">
        <v>81</v>
      </c>
      <c r="D48" s="334">
        <v>235805807.69468901</v>
      </c>
      <c r="E48" s="334">
        <v>109</v>
      </c>
      <c r="F48" s="334">
        <v>136000000</v>
      </c>
    </row>
    <row r="49" spans="1:6">
      <c r="A49" s="348" t="s">
        <v>32</v>
      </c>
      <c r="B49" s="348" t="s">
        <v>40</v>
      </c>
      <c r="C49" s="334">
        <v>0</v>
      </c>
      <c r="D49" s="334">
        <v>0</v>
      </c>
      <c r="E49" s="334">
        <v>6</v>
      </c>
      <c r="F49" s="334">
        <v>56045.08</v>
      </c>
    </row>
    <row r="50" spans="1:6">
      <c r="A50" s="348" t="s">
        <v>32</v>
      </c>
      <c r="B50" s="348" t="s">
        <v>41</v>
      </c>
      <c r="C50" s="334">
        <v>26</v>
      </c>
      <c r="D50" s="334">
        <v>13717706.6696446</v>
      </c>
      <c r="E50" s="334">
        <v>38</v>
      </c>
      <c r="F50" s="334">
        <v>6202499</v>
      </c>
    </row>
    <row r="51" spans="1:6">
      <c r="A51" s="348" t="s">
        <v>42</v>
      </c>
      <c r="B51" s="348" t="s">
        <v>43</v>
      </c>
      <c r="C51" s="334">
        <v>56</v>
      </c>
      <c r="D51" s="334">
        <v>1092193.56773818</v>
      </c>
      <c r="E51" s="334">
        <v>359</v>
      </c>
      <c r="F51" s="334">
        <v>7606689</v>
      </c>
    </row>
    <row r="52" spans="1:6">
      <c r="A52" s="348" t="s">
        <v>42</v>
      </c>
      <c r="B52" s="348" t="s">
        <v>29</v>
      </c>
      <c r="C52" s="334">
        <v>10</v>
      </c>
      <c r="D52" s="334">
        <v>169675.255781391</v>
      </c>
      <c r="E52" s="334">
        <v>23</v>
      </c>
      <c r="F52" s="334">
        <v>1680774</v>
      </c>
    </row>
    <row r="53" spans="1:6">
      <c r="A53" s="348" t="s">
        <v>44</v>
      </c>
      <c r="B53" s="348" t="s">
        <v>45</v>
      </c>
      <c r="C53" s="334">
        <v>356</v>
      </c>
      <c r="D53" s="334">
        <v>6262762.0802800497</v>
      </c>
      <c r="E53" s="334">
        <v>568</v>
      </c>
      <c r="F53" s="334">
        <v>2342327</v>
      </c>
    </row>
    <row r="54" spans="1:6">
      <c r="A54" s="348" t="s">
        <v>46</v>
      </c>
      <c r="B54" s="348" t="s">
        <v>47</v>
      </c>
      <c r="C54" s="334">
        <v>0</v>
      </c>
      <c r="D54" s="334">
        <v>0</v>
      </c>
      <c r="E54" s="334">
        <v>2</v>
      </c>
      <c r="F54" s="334">
        <v>3283553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130</v>
      </c>
      <c r="D57" s="334">
        <v>5223784.1231484702</v>
      </c>
      <c r="E57" s="334">
        <v>204</v>
      </c>
      <c r="F57" s="334">
        <v>8221080</v>
      </c>
    </row>
    <row r="58" spans="1:6">
      <c r="A58" s="348" t="s">
        <v>49</v>
      </c>
      <c r="B58" s="348" t="s">
        <v>51</v>
      </c>
      <c r="C58" s="334">
        <v>126</v>
      </c>
      <c r="D58" s="334">
        <v>25210569.9600682</v>
      </c>
      <c r="E58" s="334">
        <v>163</v>
      </c>
      <c r="F58" s="334">
        <v>13893999</v>
      </c>
    </row>
    <row r="59" spans="1:6">
      <c r="A59" s="348" t="s">
        <v>49</v>
      </c>
      <c r="B59" s="348" t="s">
        <v>52</v>
      </c>
      <c r="C59" s="334">
        <v>297</v>
      </c>
      <c r="D59" s="334">
        <v>11302503.509847799</v>
      </c>
      <c r="E59" s="334">
        <v>569</v>
      </c>
      <c r="F59" s="334">
        <v>16763589</v>
      </c>
    </row>
    <row r="60" spans="1:6">
      <c r="A60" s="348" t="s">
        <v>49</v>
      </c>
      <c r="B60" s="348" t="s">
        <v>53</v>
      </c>
      <c r="C60" s="334">
        <v>193</v>
      </c>
      <c r="D60" s="334">
        <v>12766035.7963595</v>
      </c>
      <c r="E60" s="334">
        <v>241</v>
      </c>
      <c r="F60" s="334">
        <v>8134746</v>
      </c>
    </row>
    <row r="61" spans="1:6">
      <c r="A61" s="348" t="s">
        <v>49</v>
      </c>
      <c r="B61" s="348" t="s">
        <v>54</v>
      </c>
      <c r="C61" s="334">
        <v>348</v>
      </c>
      <c r="D61" s="334">
        <v>15626230.316347601</v>
      </c>
      <c r="E61" s="334">
        <v>829</v>
      </c>
      <c r="F61" s="334">
        <v>12250787</v>
      </c>
    </row>
    <row r="62" spans="1:6">
      <c r="A62" s="348" t="s">
        <v>49</v>
      </c>
      <c r="B62" s="348" t="s">
        <v>55</v>
      </c>
      <c r="C62" s="334">
        <v>25</v>
      </c>
      <c r="D62" s="334">
        <v>1136088.3051947099</v>
      </c>
      <c r="E62" s="334">
        <v>32</v>
      </c>
      <c r="F62" s="334">
        <v>449289.3</v>
      </c>
    </row>
    <row r="63" spans="1:6">
      <c r="A63" s="348" t="s">
        <v>49</v>
      </c>
      <c r="B63" s="348" t="s">
        <v>29</v>
      </c>
      <c r="C63" s="334">
        <v>244</v>
      </c>
      <c r="D63" s="334">
        <v>13537039.660922199</v>
      </c>
      <c r="E63" s="334">
        <v>304</v>
      </c>
      <c r="F63" s="334">
        <v>15974273</v>
      </c>
    </row>
    <row r="64" spans="1:6">
      <c r="A64" s="348" t="s">
        <v>56</v>
      </c>
      <c r="B64" s="348" t="s">
        <v>57</v>
      </c>
      <c r="C64" s="334">
        <v>0</v>
      </c>
      <c r="D64" s="334">
        <v>0</v>
      </c>
      <c r="E64" s="334">
        <v>0</v>
      </c>
      <c r="F64" s="334">
        <v>0</v>
      </c>
    </row>
    <row r="65" spans="1:6">
      <c r="A65" s="348" t="s">
        <v>56</v>
      </c>
      <c r="B65" s="348" t="s">
        <v>29</v>
      </c>
      <c r="C65" s="334">
        <v>4</v>
      </c>
      <c r="D65" s="334">
        <v>327781.39714984299</v>
      </c>
      <c r="E65" s="334">
        <v>12</v>
      </c>
      <c r="F65" s="334">
        <v>105549.9</v>
      </c>
    </row>
    <row r="66" spans="1:6">
      <c r="A66" s="348" t="s">
        <v>56</v>
      </c>
      <c r="B66" s="348" t="s">
        <v>58</v>
      </c>
      <c r="C66" s="334">
        <v>0</v>
      </c>
      <c r="D66" s="334">
        <v>0</v>
      </c>
      <c r="E66" s="334">
        <v>19</v>
      </c>
      <c r="F66" s="334">
        <v>662839.9</v>
      </c>
    </row>
    <row r="67" spans="1:6">
      <c r="A67" s="355" t="s">
        <v>56</v>
      </c>
      <c r="B67" s="355" t="s">
        <v>59</v>
      </c>
      <c r="C67" s="334">
        <v>0</v>
      </c>
      <c r="D67" s="334">
        <v>0</v>
      </c>
      <c r="E67" s="334">
        <v>0</v>
      </c>
      <c r="F67" s="334">
        <v>0</v>
      </c>
    </row>
    <row r="68" spans="1:6">
      <c r="A68" s="341" t="s">
        <v>56</v>
      </c>
      <c r="B68" s="341" t="s">
        <v>60</v>
      </c>
      <c r="C68" s="334">
        <v>10</v>
      </c>
      <c r="D68" s="334">
        <v>10964915.6580851</v>
      </c>
      <c r="E68" s="334">
        <v>20</v>
      </c>
      <c r="F68" s="334">
        <v>1583155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180235035</v>
      </c>
      <c r="E73" s="477">
        <v>185635895.57861805</v>
      </c>
    </row>
    <row r="74" spans="1:6">
      <c r="A74" s="348" t="s">
        <v>64</v>
      </c>
      <c r="B74" s="348" t="s">
        <v>714</v>
      </c>
      <c r="C74" s="1288" t="s">
        <v>716</v>
      </c>
      <c r="D74" s="477">
        <v>23755050.192896213</v>
      </c>
      <c r="E74" s="477">
        <v>24612337.722952738</v>
      </c>
    </row>
    <row r="75" spans="1:6">
      <c r="A75" s="348" t="s">
        <v>65</v>
      </c>
      <c r="B75" s="348" t="s">
        <v>713</v>
      </c>
      <c r="C75" s="1288" t="s">
        <v>717</v>
      </c>
      <c r="D75" s="477">
        <v>38848862</v>
      </c>
      <c r="E75" s="477">
        <v>40026652.499422878</v>
      </c>
    </row>
    <row r="76" spans="1:6">
      <c r="A76" s="348" t="s">
        <v>65</v>
      </c>
      <c r="B76" s="348" t="s">
        <v>714</v>
      </c>
      <c r="C76" s="1288" t="s">
        <v>718</v>
      </c>
      <c r="D76" s="477">
        <v>2391007.192896212</v>
      </c>
      <c r="E76" s="477">
        <v>2490202.7127044834</v>
      </c>
    </row>
    <row r="77" spans="1:6">
      <c r="A77" s="348" t="s">
        <v>66</v>
      </c>
      <c r="B77" s="348" t="s">
        <v>713</v>
      </c>
      <c r="C77" s="1288" t="s">
        <v>719</v>
      </c>
      <c r="D77" s="477">
        <v>8264982</v>
      </c>
      <c r="E77" s="477">
        <v>9251984.9655014891</v>
      </c>
    </row>
    <row r="78" spans="1:6">
      <c r="A78" s="341" t="s">
        <v>66</v>
      </c>
      <c r="B78" s="341" t="s">
        <v>714</v>
      </c>
      <c r="C78" s="341" t="s">
        <v>720</v>
      </c>
      <c r="D78" s="1284">
        <v>1512905</v>
      </c>
      <c r="E78" s="1284">
        <v>1690825.2304569394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978005.61420757638</v>
      </c>
      <c r="C83" s="477">
        <v>986354.33513946855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36265.170998942944</v>
      </c>
    </row>
    <row r="91" spans="1:6">
      <c r="A91" s="348" t="s">
        <v>68</v>
      </c>
      <c r="B91" s="334">
        <v>6589.4578144202023</v>
      </c>
    </row>
    <row r="92" spans="1:6">
      <c r="A92" s="341" t="s">
        <v>69</v>
      </c>
      <c r="B92" s="342">
        <v>8576.5834916521453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7879</v>
      </c>
    </row>
    <row r="98" spans="1:6">
      <c r="A98" s="348" t="s">
        <v>72</v>
      </c>
      <c r="B98" s="334">
        <v>2</v>
      </c>
    </row>
    <row r="99" spans="1:6">
      <c r="A99" s="348" t="s">
        <v>73</v>
      </c>
      <c r="B99" s="334">
        <v>295</v>
      </c>
    </row>
    <row r="100" spans="1:6">
      <c r="A100" s="348" t="s">
        <v>74</v>
      </c>
      <c r="B100" s="334">
        <v>1386</v>
      </c>
    </row>
    <row r="101" spans="1:6">
      <c r="A101" s="348" t="s">
        <v>75</v>
      </c>
      <c r="B101" s="334">
        <v>247</v>
      </c>
    </row>
    <row r="102" spans="1:6">
      <c r="A102" s="348" t="s">
        <v>76</v>
      </c>
      <c r="B102" s="334">
        <v>262</v>
      </c>
    </row>
    <row r="103" spans="1:6">
      <c r="A103" s="348" t="s">
        <v>77</v>
      </c>
      <c r="B103" s="334">
        <v>465</v>
      </c>
    </row>
    <row r="104" spans="1:6">
      <c r="A104" s="348" t="s">
        <v>78</v>
      </c>
      <c r="B104" s="334">
        <v>3046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44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358</v>
      </c>
    </row>
    <row r="130" spans="1:6">
      <c r="A130" s="348" t="s">
        <v>295</v>
      </c>
      <c r="B130" s="334">
        <v>8</v>
      </c>
    </row>
    <row r="131" spans="1:6">
      <c r="A131" s="348" t="s">
        <v>296</v>
      </c>
      <c r="B131" s="334">
        <v>5</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353550.87546880421</v>
      </c>
      <c r="C3" s="43" t="s">
        <v>170</v>
      </c>
      <c r="D3" s="43"/>
      <c r="E3" s="154"/>
      <c r="F3" s="43"/>
      <c r="G3" s="43"/>
      <c r="H3" s="43"/>
      <c r="I3" s="43"/>
      <c r="J3" s="43"/>
      <c r="K3" s="96"/>
    </row>
    <row r="4" spans="1:11">
      <c r="A4" s="384" t="s">
        <v>171</v>
      </c>
      <c r="B4" s="49">
        <f>IF(ISERROR('SEAP template'!B69),0,'SEAP template'!B69)</f>
        <v>82467.712305015288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299.43529411764717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0.17029745513564021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427.7647058823531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44337.857142857145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9.6478434784092008E-3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3283.5529999999999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3283.5529999999999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0.17029745513564021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559.18071970299684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53492.71</v>
      </c>
      <c r="C5" s="17">
        <f>IF(ISERROR('Eigen informatie GS &amp; warmtenet'!B57),0,'Eigen informatie GS &amp; warmtenet'!B57)</f>
        <v>0</v>
      </c>
      <c r="D5" s="30">
        <f>(SUM(HH_hh_gas_kWh,HH_rest_gas_kWh)/1000)*0.902</f>
        <v>129531.13019213239</v>
      </c>
      <c r="E5" s="17">
        <f>B46*B57</f>
        <v>8252.8990499885149</v>
      </c>
      <c r="F5" s="17">
        <f>B51*B62</f>
        <v>16803.213309609233</v>
      </c>
      <c r="G5" s="18"/>
      <c r="H5" s="17"/>
      <c r="I5" s="17"/>
      <c r="J5" s="17">
        <f>B50*B61+C50*C61</f>
        <v>7119.2628874703696</v>
      </c>
      <c r="K5" s="17"/>
      <c r="L5" s="17"/>
      <c r="M5" s="17"/>
      <c r="N5" s="17">
        <f>B48*B59+C48*C59</f>
        <v>26204.728030562816</v>
      </c>
      <c r="O5" s="17">
        <f>B69*B70*B71</f>
        <v>628.46</v>
      </c>
      <c r="P5" s="17">
        <f>B77*B78*B79/1000-B77*B78*B79/1000/B80</f>
        <v>762.66666666666674</v>
      </c>
    </row>
    <row r="6" spans="1:16">
      <c r="A6" s="16" t="s">
        <v>631</v>
      </c>
      <c r="B6" s="844">
        <f>kWh_PV_kleiner_dan_10kW</f>
        <v>6589.4578144202023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60082.167814420201</v>
      </c>
      <c r="C8" s="21">
        <f>C5</f>
        <v>0</v>
      </c>
      <c r="D8" s="21">
        <f>D5</f>
        <v>129531.13019213239</v>
      </c>
      <c r="E8" s="21">
        <f>E5</f>
        <v>8252.8990499885149</v>
      </c>
      <c r="F8" s="21">
        <f>F5</f>
        <v>16803.213309609233</v>
      </c>
      <c r="G8" s="21"/>
      <c r="H8" s="21"/>
      <c r="I8" s="21"/>
      <c r="J8" s="21">
        <f>J5</f>
        <v>7119.2628874703696</v>
      </c>
      <c r="K8" s="21"/>
      <c r="L8" s="21">
        <f>L5</f>
        <v>0</v>
      </c>
      <c r="M8" s="21">
        <f>M5</f>
        <v>0</v>
      </c>
      <c r="N8" s="21">
        <f>N5</f>
        <v>26204.728030562816</v>
      </c>
      <c r="O8" s="21">
        <f>O5</f>
        <v>628.46</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0.17029745513564021</v>
      </c>
      <c r="C10" s="25">
        <f ca="1">'EF ele_warmte'!B22</f>
        <v>9.6478434784092008E-3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10231.840277828231</v>
      </c>
      <c r="C12" s="23">
        <f ca="1">C10*C8</f>
        <v>0</v>
      </c>
      <c r="D12" s="23">
        <f>D8*D10</f>
        <v>26165.288298810745</v>
      </c>
      <c r="E12" s="23">
        <f>E10*E8</f>
        <v>1873.408084347393</v>
      </c>
      <c r="F12" s="23">
        <f>F10*F8</f>
        <v>4486.4579536656656</v>
      </c>
      <c r="G12" s="23"/>
      <c r="H12" s="23"/>
      <c r="I12" s="23"/>
      <c r="J12" s="23">
        <f>J10*J8</f>
        <v>2520.2190621645109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7879</v>
      </c>
      <c r="C18" s="166" t="s">
        <v>111</v>
      </c>
      <c r="D18" s="228"/>
      <c r="E18" s="15"/>
    </row>
    <row r="19" spans="1:7">
      <c r="A19" s="171" t="s">
        <v>72</v>
      </c>
      <c r="B19" s="37">
        <f>aantalw2001_ander</f>
        <v>2</v>
      </c>
      <c r="C19" s="166" t="s">
        <v>111</v>
      </c>
      <c r="D19" s="229"/>
      <c r="E19" s="15"/>
    </row>
    <row r="20" spans="1:7">
      <c r="A20" s="171" t="s">
        <v>73</v>
      </c>
      <c r="B20" s="37">
        <f>aantalw2001_propaan</f>
        <v>295</v>
      </c>
      <c r="C20" s="167">
        <f>IF(ISERROR(B20/SUM($B$20,$B$21,$B$22)*100),0,B20/SUM($B$20,$B$21,$B$22)*100)</f>
        <v>15.300829875518673</v>
      </c>
      <c r="D20" s="229"/>
      <c r="E20" s="15"/>
    </row>
    <row r="21" spans="1:7">
      <c r="A21" s="171" t="s">
        <v>74</v>
      </c>
      <c r="B21" s="37">
        <f>aantalw2001_elektriciteit</f>
        <v>1386</v>
      </c>
      <c r="C21" s="167">
        <f>IF(ISERROR(B21/SUM($B$20,$B$21,$B$22)*100),0,B21/SUM($B$20,$B$21,$B$22)*100)</f>
        <v>71.887966804979257</v>
      </c>
      <c r="D21" s="229"/>
      <c r="E21" s="15"/>
    </row>
    <row r="22" spans="1:7">
      <c r="A22" s="171" t="s">
        <v>75</v>
      </c>
      <c r="B22" s="37">
        <f>aantalw2001_hout</f>
        <v>247</v>
      </c>
      <c r="C22" s="167">
        <f>IF(ISERROR(B22/SUM($B$20,$B$21,$B$22)*100),0,B22/SUM($B$20,$B$21,$B$22)*100)</f>
        <v>12.811203319502074</v>
      </c>
      <c r="D22" s="229"/>
      <c r="E22" s="15"/>
    </row>
    <row r="23" spans="1:7">
      <c r="A23" s="171" t="s">
        <v>76</v>
      </c>
      <c r="B23" s="37">
        <f>aantalw2001_niet_gespec</f>
        <v>262</v>
      </c>
      <c r="C23" s="166" t="s">
        <v>111</v>
      </c>
      <c r="D23" s="228"/>
      <c r="E23" s="15"/>
    </row>
    <row r="24" spans="1:7">
      <c r="A24" s="171" t="s">
        <v>77</v>
      </c>
      <c r="B24" s="37">
        <f>aantalw2001_steenkool</f>
        <v>465</v>
      </c>
      <c r="C24" s="166" t="s">
        <v>111</v>
      </c>
      <c r="D24" s="229"/>
      <c r="E24" s="15"/>
    </row>
    <row r="25" spans="1:7">
      <c r="A25" s="171" t="s">
        <v>78</v>
      </c>
      <c r="B25" s="37">
        <f>aantalw2001_stookolie</f>
        <v>3046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15045</v>
      </c>
      <c r="C28" s="36"/>
      <c r="D28" s="228"/>
    </row>
    <row r="29" spans="1:7" s="15" customFormat="1">
      <c r="A29" s="230" t="s">
        <v>741</v>
      </c>
      <c r="B29" s="37">
        <f>SUM(HH_hh_gas_aantal,HH_rest_gas_aantal)</f>
        <v>10505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10505</v>
      </c>
      <c r="C32" s="167">
        <f>IF(ISERROR(B32/SUM($B$32,$B$34,$B$35,$B$36,$B$38,$B$39)*100),0,B32/SUM($B$32,$B$34,$B$35,$B$36,$B$38,$B$39)*100)</f>
        <v>70.009996667777415</v>
      </c>
      <c r="D32" s="233"/>
      <c r="G32" s="15"/>
    </row>
    <row r="33" spans="1:7">
      <c r="A33" s="171" t="s">
        <v>72</v>
      </c>
      <c r="B33" s="34" t="s">
        <v>111</v>
      </c>
      <c r="C33" s="167"/>
      <c r="D33" s="233"/>
      <c r="G33" s="15"/>
    </row>
    <row r="34" spans="1:7">
      <c r="A34" s="171" t="s">
        <v>73</v>
      </c>
      <c r="B34" s="33">
        <f>IF((($B$28-$B$32-$B$39-$B$77-$B$38)*C20/100)&lt;0,0,($B$28-$B$32-$B$39-$B$77-$B$38)*C20/100)</f>
        <v>553.125</v>
      </c>
      <c r="C34" s="167">
        <f>IF(ISERROR(B34/SUM($B$32,$B$34,$B$35,$B$36,$B$38,$B$39)*100),0,B34/SUM($B$32,$B$34,$B$35,$B$36,$B$38,$B$39)*100)</f>
        <v>3.6862712429190272</v>
      </c>
      <c r="D34" s="233"/>
      <c r="G34" s="15"/>
    </row>
    <row r="35" spans="1:7">
      <c r="A35" s="171" t="s">
        <v>74</v>
      </c>
      <c r="B35" s="33">
        <f>IF((($B$28-$B$32-$B$39-$B$77-$B$38)*C21/100)&lt;0,0,($B$28-$B$32-$B$39-$B$77-$B$38)*C21/100)</f>
        <v>2598.75</v>
      </c>
      <c r="C35" s="167">
        <f>IF(ISERROR(B35/SUM($B$32,$B$34,$B$35,$B$36,$B$38,$B$39)*100),0,B35/SUM($B$32,$B$34,$B$35,$B$36,$B$38,$B$39)*100)</f>
        <v>17.319226924358546</v>
      </c>
      <c r="D35" s="233"/>
      <c r="G35" s="15"/>
    </row>
    <row r="36" spans="1:7">
      <c r="A36" s="171" t="s">
        <v>75</v>
      </c>
      <c r="B36" s="33">
        <f>IF((($B$28-$B$32-$B$39-$B$77-$B$38)*C22/100)&lt;0,0,($B$28-$B$32-$B$39-$B$77-$B$38)*C22/100)</f>
        <v>463.12499999999994</v>
      </c>
      <c r="C36" s="167">
        <f>IF(ISERROR(B36/SUM($B$32,$B$34,$B$35,$B$36,$B$38,$B$39)*100),0,B36/SUM($B$32,$B$34,$B$35,$B$36,$B$38,$B$39)*100)</f>
        <v>3.0864711762745749</v>
      </c>
      <c r="D36" s="233"/>
      <c r="G36" s="15"/>
    </row>
    <row r="37" spans="1:7">
      <c r="A37" s="171" t="s">
        <v>76</v>
      </c>
      <c r="B37" s="34" t="s">
        <v>111</v>
      </c>
      <c r="C37" s="167"/>
      <c r="D37" s="173"/>
      <c r="G37" s="15"/>
    </row>
    <row r="38" spans="1:7">
      <c r="A38" s="171" t="s">
        <v>77</v>
      </c>
      <c r="B38" s="33">
        <f>IF((B24-(B29-B18)*0.1)&lt;0,0,B24-(B29-B18)*0.1)</f>
        <v>202.39999999999998</v>
      </c>
      <c r="C38" s="167">
        <f>IF(ISERROR(B38/SUM($B$32,$B$34,$B$35,$B$36,$B$38,$B$39)*100),0,B38/SUM($B$32,$B$34,$B$35,$B$36,$B$38,$B$39)*100)</f>
        <v>1.3488837054315226</v>
      </c>
      <c r="D38" s="234"/>
      <c r="G38" s="15"/>
    </row>
    <row r="39" spans="1:7">
      <c r="A39" s="171" t="s">
        <v>78</v>
      </c>
      <c r="B39" s="33">
        <f>IF((B25-(B29-B18))&lt;0,0,B25-(B29-B18)*0.9)</f>
        <v>682.59999999999991</v>
      </c>
      <c r="C39" s="167">
        <f>IF(ISERROR(B39/SUM($B$32,$B$34,$B$35,$B$36,$B$38,$B$39)*100),0,B39/SUM($B$32,$B$34,$B$35,$B$36,$B$38,$B$39)*100)</f>
        <v>4.5491502832389195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10505</v>
      </c>
      <c r="C44" s="34" t="s">
        <v>111</v>
      </c>
      <c r="D44" s="174"/>
    </row>
    <row r="45" spans="1:7">
      <c r="A45" s="171" t="s">
        <v>72</v>
      </c>
      <c r="B45" s="33" t="str">
        <f t="shared" si="0"/>
        <v>-</v>
      </c>
      <c r="C45" s="34" t="s">
        <v>111</v>
      </c>
      <c r="D45" s="174"/>
    </row>
    <row r="46" spans="1:7">
      <c r="A46" s="171" t="s">
        <v>73</v>
      </c>
      <c r="B46" s="33">
        <f t="shared" si="0"/>
        <v>553.125</v>
      </c>
      <c r="C46" s="34" t="s">
        <v>111</v>
      </c>
      <c r="D46" s="174"/>
    </row>
    <row r="47" spans="1:7">
      <c r="A47" s="171" t="s">
        <v>74</v>
      </c>
      <c r="B47" s="33">
        <f t="shared" si="0"/>
        <v>2598.75</v>
      </c>
      <c r="C47" s="34" t="s">
        <v>111</v>
      </c>
      <c r="D47" s="174"/>
    </row>
    <row r="48" spans="1:7">
      <c r="A48" s="171" t="s">
        <v>75</v>
      </c>
      <c r="B48" s="33">
        <f t="shared" si="0"/>
        <v>463.12499999999994</v>
      </c>
      <c r="C48" s="33">
        <f>B48*10</f>
        <v>4631.2499999999991</v>
      </c>
      <c r="D48" s="234"/>
    </row>
    <row r="49" spans="1:6">
      <c r="A49" s="171" t="s">
        <v>76</v>
      </c>
      <c r="B49" s="33" t="str">
        <f t="shared" si="0"/>
        <v>-</v>
      </c>
      <c r="C49" s="34" t="s">
        <v>111</v>
      </c>
      <c r="D49" s="234"/>
    </row>
    <row r="50" spans="1:6">
      <c r="A50" s="171" t="s">
        <v>77</v>
      </c>
      <c r="B50" s="33">
        <f t="shared" si="0"/>
        <v>202.39999999999998</v>
      </c>
      <c r="C50" s="33">
        <f>B50*2</f>
        <v>404.79999999999995</v>
      </c>
      <c r="D50" s="234"/>
    </row>
    <row r="51" spans="1:6">
      <c r="A51" s="171" t="s">
        <v>78</v>
      </c>
      <c r="B51" s="33">
        <f t="shared" si="0"/>
        <v>682.59999999999991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75687.763299999991</v>
      </c>
      <c r="C5" s="17">
        <f>IF(ISERROR('Eigen informatie GS &amp; warmtenet'!B58),0,'Eigen informatie GS &amp; warmtenet'!B58)</f>
        <v>0</v>
      </c>
      <c r="D5" s="30">
        <f>SUM(D6:D12)</f>
        <v>76491.63100804342</v>
      </c>
      <c r="E5" s="17">
        <f>SUM(E6:E12)</f>
        <v>740.9921127273584</v>
      </c>
      <c r="F5" s="17">
        <f>SUM(F6:F12)</f>
        <v>11302.24007989484</v>
      </c>
      <c r="G5" s="18"/>
      <c r="H5" s="17"/>
      <c r="I5" s="17"/>
      <c r="J5" s="17">
        <f>SUM(J6:J12)</f>
        <v>0</v>
      </c>
      <c r="K5" s="17"/>
      <c r="L5" s="17"/>
      <c r="M5" s="17"/>
      <c r="N5" s="17">
        <f>SUM(N6:N12)</f>
        <v>7526.7494936791618</v>
      </c>
      <c r="O5" s="17">
        <f>B38*B39*B40</f>
        <v>12.506666666666668</v>
      </c>
      <c r="P5" s="17">
        <f>B46*B47*B48/1000-B46*B47*B48/1000/B49</f>
        <v>95.333333333333343</v>
      </c>
      <c r="R5" s="32"/>
    </row>
    <row r="6" spans="1:18">
      <c r="A6" s="32" t="s">
        <v>54</v>
      </c>
      <c r="B6" s="37">
        <f>B26</f>
        <v>12250.787</v>
      </c>
      <c r="C6" s="33"/>
      <c r="D6" s="37">
        <f>IF(ISERROR(TER_kantoor_gas_kWh/1000),0,TER_kantoor_gas_kWh/1000)*0.902</f>
        <v>14094.859745345537</v>
      </c>
      <c r="E6" s="33">
        <f>$C$26*'E Balans VL '!I12/100/3.6*1000000</f>
        <v>35.492327384317342</v>
      </c>
      <c r="F6" s="33">
        <f>$C$26*('E Balans VL '!L12+'E Balans VL '!N12)/100/3.6*1000000</f>
        <v>1386.519182635963</v>
      </c>
      <c r="G6" s="34"/>
      <c r="H6" s="33"/>
      <c r="I6" s="33"/>
      <c r="J6" s="33">
        <f>$C$26*('E Balans VL '!D12+'E Balans VL '!E12)/100/3.6*1000000</f>
        <v>0</v>
      </c>
      <c r="K6" s="33"/>
      <c r="L6" s="33"/>
      <c r="M6" s="33"/>
      <c r="N6" s="33">
        <f>$C$26*'E Balans VL '!Y12/100/3.6*1000000</f>
        <v>122.62135108710368</v>
      </c>
      <c r="O6" s="33"/>
      <c r="P6" s="33"/>
      <c r="R6" s="32"/>
    </row>
    <row r="7" spans="1:18">
      <c r="A7" s="32" t="s">
        <v>53</v>
      </c>
      <c r="B7" s="37">
        <f t="shared" ref="B7:B12" si="0">B27</f>
        <v>8134.7460000000001</v>
      </c>
      <c r="C7" s="33"/>
      <c r="D7" s="37">
        <f>IF(ISERROR(TER_horeca_gas_kWh/1000),0,TER_horeca_gas_kWh/1000)*0.902</f>
        <v>11514.964288316269</v>
      </c>
      <c r="E7" s="33">
        <f>$C$27*'E Balans VL '!I9/100/3.6*1000000</f>
        <v>341.47390904886907</v>
      </c>
      <c r="F7" s="33">
        <f>$C$27*('E Balans VL '!L9+'E Balans VL '!N9)/100/3.6*1000000</f>
        <v>1747.916996778205</v>
      </c>
      <c r="G7" s="34"/>
      <c r="H7" s="33"/>
      <c r="I7" s="33"/>
      <c r="J7" s="33">
        <f>$C$27*('E Balans VL '!D9+'E Balans VL '!E9)/100/3.6*1000000</f>
        <v>0</v>
      </c>
      <c r="K7" s="33"/>
      <c r="L7" s="33"/>
      <c r="M7" s="33"/>
      <c r="N7" s="33">
        <f>$C$27*'E Balans VL '!Y9/100/3.6*1000000</f>
        <v>2.0962529032654285</v>
      </c>
      <c r="O7" s="33"/>
      <c r="P7" s="33"/>
      <c r="R7" s="32"/>
    </row>
    <row r="8" spans="1:18">
      <c r="A8" s="6" t="s">
        <v>52</v>
      </c>
      <c r="B8" s="37">
        <f t="shared" si="0"/>
        <v>16763.589</v>
      </c>
      <c r="C8" s="33"/>
      <c r="D8" s="37">
        <f>IF(ISERROR(TER_handel_gas_kWh/1000),0,TER_handel_gas_kWh/1000)*0.902</f>
        <v>10194.858165882715</v>
      </c>
      <c r="E8" s="33">
        <f>$C$28*'E Balans VL '!I13/100/3.6*1000000</f>
        <v>180.05489779851862</v>
      </c>
      <c r="F8" s="33">
        <f>$C$28*('E Balans VL '!L13+'E Balans VL '!N13)/100/3.6*1000000</f>
        <v>2170.1850269142383</v>
      </c>
      <c r="G8" s="34"/>
      <c r="H8" s="33"/>
      <c r="I8" s="33"/>
      <c r="J8" s="33">
        <f>$C$28*('E Balans VL '!D13+'E Balans VL '!E13)/100/3.6*1000000</f>
        <v>0</v>
      </c>
      <c r="K8" s="33"/>
      <c r="L8" s="33"/>
      <c r="M8" s="33"/>
      <c r="N8" s="33">
        <f>$C$28*'E Balans VL '!Y13/100/3.6*1000000</f>
        <v>135.98714929975759</v>
      </c>
      <c r="O8" s="33"/>
      <c r="P8" s="33"/>
      <c r="R8" s="32"/>
    </row>
    <row r="9" spans="1:18">
      <c r="A9" s="32" t="s">
        <v>51</v>
      </c>
      <c r="B9" s="37">
        <f t="shared" si="0"/>
        <v>13893.999</v>
      </c>
      <c r="C9" s="33"/>
      <c r="D9" s="37">
        <f>IF(ISERROR(TER_gezond_gas_kWh/1000),0,TER_gezond_gas_kWh/1000)*0.902</f>
        <v>22739.934103981515</v>
      </c>
      <c r="E9" s="33">
        <f>$C$29*'E Balans VL '!I10/100/3.6*1000000</f>
        <v>11.060521843780046</v>
      </c>
      <c r="F9" s="33">
        <f>$C$29*('E Balans VL '!L10+'E Balans VL '!N10)/100/3.6*1000000</f>
        <v>1689.0163648204591</v>
      </c>
      <c r="G9" s="34"/>
      <c r="H9" s="33"/>
      <c r="I9" s="33"/>
      <c r="J9" s="33">
        <f>$C$29*('E Balans VL '!D10+'E Balans VL '!E10)/100/3.6*1000000</f>
        <v>0</v>
      </c>
      <c r="K9" s="33"/>
      <c r="L9" s="33"/>
      <c r="M9" s="33"/>
      <c r="N9" s="33">
        <f>$C$29*'E Balans VL '!Y10/100/3.6*1000000</f>
        <v>112.23204294881852</v>
      </c>
      <c r="O9" s="33"/>
      <c r="P9" s="33"/>
      <c r="R9" s="32"/>
    </row>
    <row r="10" spans="1:18">
      <c r="A10" s="32" t="s">
        <v>50</v>
      </c>
      <c r="B10" s="37">
        <f t="shared" si="0"/>
        <v>8221.08</v>
      </c>
      <c r="C10" s="33"/>
      <c r="D10" s="37">
        <f>IF(ISERROR(TER_ander_gas_kWh/1000),0,TER_ander_gas_kWh/1000)*0.902</f>
        <v>4711.85327907992</v>
      </c>
      <c r="E10" s="33">
        <f>$C$30*'E Balans VL '!I14/100/3.6*1000000</f>
        <v>28.174073040182225</v>
      </c>
      <c r="F10" s="33">
        <f>$C$30*('E Balans VL '!L14+'E Balans VL '!N14)/100/3.6*1000000</f>
        <v>1836.2552066605281</v>
      </c>
      <c r="G10" s="34"/>
      <c r="H10" s="33"/>
      <c r="I10" s="33"/>
      <c r="J10" s="33">
        <f>$C$30*('E Balans VL '!D14+'E Balans VL '!E14)/100/3.6*1000000</f>
        <v>0</v>
      </c>
      <c r="K10" s="33"/>
      <c r="L10" s="33"/>
      <c r="M10" s="33"/>
      <c r="N10" s="33">
        <f>$C$30*'E Balans VL '!Y14/100/3.6*1000000</f>
        <v>5790.973662882152</v>
      </c>
      <c r="O10" s="33"/>
      <c r="P10" s="33"/>
      <c r="R10" s="32"/>
    </row>
    <row r="11" spans="1:18">
      <c r="A11" s="32" t="s">
        <v>55</v>
      </c>
      <c r="B11" s="37">
        <f t="shared" si="0"/>
        <v>449.28929999999997</v>
      </c>
      <c r="C11" s="33"/>
      <c r="D11" s="37">
        <f>IF(ISERROR(TER_onderwijs_gas_kWh/1000),0,TER_onderwijs_gas_kWh/1000)*0.902</f>
        <v>1024.7516512856282</v>
      </c>
      <c r="E11" s="33">
        <f>$C$31*'E Balans VL '!I11/100/3.6*1000000</f>
        <v>0.31057985606855076</v>
      </c>
      <c r="F11" s="33">
        <f>$C$31*('E Balans VL '!L11+'E Balans VL '!N11)/100/3.6*1000000</f>
        <v>117.61088777136449</v>
      </c>
      <c r="G11" s="34"/>
      <c r="H11" s="33"/>
      <c r="I11" s="33"/>
      <c r="J11" s="33">
        <f>$C$31*('E Balans VL '!D11+'E Balans VL '!E11)/100/3.6*1000000</f>
        <v>0</v>
      </c>
      <c r="K11" s="33"/>
      <c r="L11" s="33"/>
      <c r="M11" s="33"/>
      <c r="N11" s="33">
        <f>$C$31*'E Balans VL '!Y11/100/3.6*1000000</f>
        <v>0.44722923067260528</v>
      </c>
      <c r="O11" s="33"/>
      <c r="P11" s="33"/>
      <c r="R11" s="32"/>
    </row>
    <row r="12" spans="1:18">
      <c r="A12" s="32" t="s">
        <v>260</v>
      </c>
      <c r="B12" s="37">
        <f t="shared" si="0"/>
        <v>15974.272999999999</v>
      </c>
      <c r="C12" s="33"/>
      <c r="D12" s="37">
        <f>IF(ISERROR(TER_rest_gas_kWh/1000),0,TER_rest_gas_kWh/1000)*0.902</f>
        <v>12210.409774151824</v>
      </c>
      <c r="E12" s="33">
        <f>$C$32*'E Balans VL '!I8/100/3.6*1000000</f>
        <v>144.42580375562258</v>
      </c>
      <c r="F12" s="33">
        <f>$C$32*('E Balans VL '!L8+'E Balans VL '!N8)/100/3.6*1000000</f>
        <v>2354.7364143140821</v>
      </c>
      <c r="G12" s="34"/>
      <c r="H12" s="33"/>
      <c r="I12" s="33"/>
      <c r="J12" s="33">
        <f>$C$32*('E Balans VL '!D8+'E Balans VL '!E8)/100/3.6*1000000</f>
        <v>0</v>
      </c>
      <c r="K12" s="33"/>
      <c r="L12" s="33"/>
      <c r="M12" s="33"/>
      <c r="N12" s="33">
        <f>$C$32*'E Balans VL '!Y8/100/3.6*1000000</f>
        <v>1362.3918053273919</v>
      </c>
      <c r="O12" s="33"/>
      <c r="P12" s="33"/>
      <c r="R12" s="32"/>
    </row>
    <row r="13" spans="1:18">
      <c r="A13" s="16" t="s">
        <v>494</v>
      </c>
      <c r="B13" s="247">
        <f ca="1">'lokale energieproductie'!N90+'lokale energieproductie'!N59</f>
        <v>21654</v>
      </c>
      <c r="C13" s="247">
        <f ca="1">'lokale energieproductie'!O90+'lokale energieproductie'!O59</f>
        <v>30934.285714285714</v>
      </c>
      <c r="D13" s="310">
        <f ca="1">('lokale energieproductie'!P59+'lokale energieproductie'!P90)*(-1)</f>
        <v>-3600.0000000000009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-58268.571428571435</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97341.763299999991</v>
      </c>
      <c r="C16" s="21">
        <f t="shared" ca="1" si="1"/>
        <v>30934.285714285714</v>
      </c>
      <c r="D16" s="21">
        <f t="shared" ca="1" si="1"/>
        <v>72891.63100804342</v>
      </c>
      <c r="E16" s="21">
        <f t="shared" si="1"/>
        <v>740.9921127273584</v>
      </c>
      <c r="F16" s="21">
        <f t="shared" ca="1" si="1"/>
        <v>11302.24007989484</v>
      </c>
      <c r="G16" s="21">
        <f t="shared" si="1"/>
        <v>0</v>
      </c>
      <c r="H16" s="21">
        <f t="shared" si="1"/>
        <v>0</v>
      </c>
      <c r="I16" s="21">
        <f t="shared" si="1"/>
        <v>0</v>
      </c>
      <c r="J16" s="21">
        <f t="shared" si="1"/>
        <v>0</v>
      </c>
      <c r="K16" s="21">
        <f t="shared" si="1"/>
        <v>0</v>
      </c>
      <c r="L16" s="21">
        <f t="shared" ca="1" si="1"/>
        <v>0</v>
      </c>
      <c r="M16" s="21">
        <f t="shared" si="1"/>
        <v>0</v>
      </c>
      <c r="N16" s="21">
        <f t="shared" ca="1" si="1"/>
        <v>0</v>
      </c>
      <c r="O16" s="21">
        <f>O5</f>
        <v>12.506666666666668</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0.17029745513564021</v>
      </c>
      <c r="C18" s="25">
        <f ca="1">'EF ele_warmte'!B22</f>
        <v>9.6478434784092008E-3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16577.054568405856</v>
      </c>
      <c r="C20" s="23">
        <f t="shared" ref="C20:P20" ca="1" si="2">C16*C18</f>
        <v>298.44914668781831</v>
      </c>
      <c r="D20" s="23">
        <f t="shared" ca="1" si="2"/>
        <v>14724.109463624771</v>
      </c>
      <c r="E20" s="23">
        <f t="shared" si="2"/>
        <v>168.20520958911035</v>
      </c>
      <c r="F20" s="23">
        <f t="shared" ca="1" si="2"/>
        <v>3017.6981013319223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12250.787</v>
      </c>
      <c r="C26" s="39">
        <f>IF(ISERROR(B26*3.6/1000000/'E Balans VL '!Z12*100),0,B26*3.6/1000000/'E Balans VL '!Z12*100)</f>
        <v>0.26910269978304863</v>
      </c>
      <c r="D26" s="237" t="s">
        <v>692</v>
      </c>
      <c r="F26" s="6"/>
    </row>
    <row r="27" spans="1:18">
      <c r="A27" s="231" t="s">
        <v>53</v>
      </c>
      <c r="B27" s="33">
        <f>IF(ISERROR(TER_horeca_ele_kWh/1000),0,TER_horeca_ele_kWh/1000)</f>
        <v>8134.7460000000001</v>
      </c>
      <c r="C27" s="39">
        <f>IF(ISERROR(B27*3.6/1000000/'E Balans VL '!Z9*100),0,B27*3.6/1000000/'E Balans VL '!Z9*100)</f>
        <v>0.65370792920586618</v>
      </c>
      <c r="D27" s="237" t="s">
        <v>692</v>
      </c>
      <c r="F27" s="6"/>
    </row>
    <row r="28" spans="1:18">
      <c r="A28" s="171" t="s">
        <v>52</v>
      </c>
      <c r="B28" s="33">
        <f>IF(ISERROR(TER_handel_ele_kWh/1000),0,TER_handel_ele_kWh/1000)</f>
        <v>16763.589</v>
      </c>
      <c r="C28" s="39">
        <f>IF(ISERROR(B28*3.6/1000000/'E Balans VL '!Z13*100),0,B28*3.6/1000000/'E Balans VL '!Z13*100)</f>
        <v>0.49568761544082768</v>
      </c>
      <c r="D28" s="237" t="s">
        <v>692</v>
      </c>
      <c r="F28" s="6"/>
    </row>
    <row r="29" spans="1:18">
      <c r="A29" s="231" t="s">
        <v>51</v>
      </c>
      <c r="B29" s="33">
        <f>IF(ISERROR(TER_gezond_ele_kWh/1000),0,TER_gezond_ele_kWh/1000)</f>
        <v>13893.999</v>
      </c>
      <c r="C29" s="39">
        <f>IF(ISERROR(B29*3.6/1000000/'E Balans VL '!Z10*100),0,B29*3.6/1000000/'E Balans VL '!Z10*100)</f>
        <v>1.5654949758663126</v>
      </c>
      <c r="D29" s="237" t="s">
        <v>692</v>
      </c>
      <c r="F29" s="6"/>
    </row>
    <row r="30" spans="1:18">
      <c r="A30" s="231" t="s">
        <v>50</v>
      </c>
      <c r="B30" s="33">
        <f>IF(ISERROR(TER_ander_ele_kWh/1000),0,TER_ander_ele_kWh/1000)</f>
        <v>8221.08</v>
      </c>
      <c r="C30" s="39">
        <f>IF(ISERROR(B30*3.6/1000000/'E Balans VL '!Z14*100),0,B30*3.6/1000000/'E Balans VL '!Z14*100)</f>
        <v>0.62174622709852845</v>
      </c>
      <c r="D30" s="237" t="s">
        <v>692</v>
      </c>
      <c r="F30" s="6"/>
    </row>
    <row r="31" spans="1:18">
      <c r="A31" s="231" t="s">
        <v>55</v>
      </c>
      <c r="B31" s="33">
        <f>IF(ISERROR(TER_onderwijs_ele_kWh/1000),0,TER_onderwijs_ele_kWh/1000)</f>
        <v>449.28929999999997</v>
      </c>
      <c r="C31" s="39">
        <f>IF(ISERROR(B31*3.6/1000000/'E Balans VL '!Z11*100),0,B31*3.6/1000000/'E Balans VL '!Z11*100)</f>
        <v>9.3262028876656369E-2</v>
      </c>
      <c r="D31" s="237" t="s">
        <v>692</v>
      </c>
    </row>
    <row r="32" spans="1:18">
      <c r="A32" s="231" t="s">
        <v>260</v>
      </c>
      <c r="B32" s="33">
        <f>IF(ISERROR(TER_rest_ele_kWh/1000),0,TER_rest_ele_kWh/1000)</f>
        <v>15974.272999999999</v>
      </c>
      <c r="C32" s="39">
        <f>IF(ISERROR(B32*3.6/1000000/'E Balans VL '!Z8*100),0,B32*3.6/1000000/'E Balans VL '!Z8*100)</f>
        <v>0.13457385267843189</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183524.76939</v>
      </c>
      <c r="C5" s="17">
        <f>IF(ISERROR('Eigen informatie GS &amp; warmtenet'!B59),0,'Eigen informatie GS &amp; warmtenet'!B59)</f>
        <v>0</v>
      </c>
      <c r="D5" s="30">
        <f>SUM(D6:D15)</f>
        <v>252017.75190531567</v>
      </c>
      <c r="E5" s="17">
        <f>SUM(E6:E15)</f>
        <v>11629.138865701148</v>
      </c>
      <c r="F5" s="17">
        <f>SUM(F6:F15)</f>
        <v>57330.68244027318</v>
      </c>
      <c r="G5" s="18"/>
      <c r="H5" s="17"/>
      <c r="I5" s="17"/>
      <c r="J5" s="17">
        <f>SUM(J6:J15)</f>
        <v>719.19982664313375</v>
      </c>
      <c r="K5" s="17"/>
      <c r="L5" s="17"/>
      <c r="M5" s="17"/>
      <c r="N5" s="17">
        <f>SUM(N6:N15)</f>
        <v>34558.28162094955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5254.5479999999998</v>
      </c>
      <c r="C8" s="33"/>
      <c r="D8" s="37">
        <f>IF( ISERROR(IND_metaal_Gas_kWH/1000),0,IND_metaal_Gas_kWH/1000)*0.902</f>
        <v>21536.333451585877</v>
      </c>
      <c r="E8" s="33">
        <f>C30*'E Balans VL '!I18/100/3.6*1000000</f>
        <v>131.50294591599126</v>
      </c>
      <c r="F8" s="33">
        <f>C30*'E Balans VL '!L18/100/3.6*1000000+C30*'E Balans VL '!N18/100/3.6*1000000</f>
        <v>1646.8014806659487</v>
      </c>
      <c r="G8" s="34"/>
      <c r="H8" s="33"/>
      <c r="I8" s="33"/>
      <c r="J8" s="40">
        <f>C30*'E Balans VL '!D18/100/3.6*1000000+C30*'E Balans VL '!E18/100/3.6*1000000</f>
        <v>0</v>
      </c>
      <c r="K8" s="33"/>
      <c r="L8" s="33"/>
      <c r="M8" s="33"/>
      <c r="N8" s="33">
        <f>C30*'E Balans VL '!Y18/100/3.6*1000000</f>
        <v>132.00788250119302</v>
      </c>
      <c r="O8" s="33"/>
      <c r="P8" s="33"/>
      <c r="R8" s="32"/>
    </row>
    <row r="9" spans="1:18">
      <c r="A9" s="6" t="s">
        <v>33</v>
      </c>
      <c r="B9" s="37">
        <f t="shared" si="0"/>
        <v>16152.618</v>
      </c>
      <c r="C9" s="33"/>
      <c r="D9" s="37">
        <f>IF( ISERROR(IND_andere_gas_kWh/1000),0,IND_andere_gas_kWh/1000)*0.902</f>
        <v>1598.0497051834313</v>
      </c>
      <c r="E9" s="33">
        <f>C31*'E Balans VL '!I19/100/3.6*1000000</f>
        <v>4441.307449474738</v>
      </c>
      <c r="F9" s="33">
        <f>C31*'E Balans VL '!L19/100/3.6*1000000+C31*'E Balans VL '!N19/100/3.6*1000000</f>
        <v>12731.073741338643</v>
      </c>
      <c r="G9" s="34"/>
      <c r="H9" s="33"/>
      <c r="I9" s="33"/>
      <c r="J9" s="40">
        <f>C31*'E Balans VL '!D19/100/3.6*1000000+C31*'E Balans VL '!E19/100/3.6*1000000</f>
        <v>0</v>
      </c>
      <c r="K9" s="33"/>
      <c r="L9" s="33"/>
      <c r="M9" s="33"/>
      <c r="N9" s="33">
        <f>C31*'E Balans VL '!Y19/100/3.6*1000000</f>
        <v>5229.0288043688543</v>
      </c>
      <c r="O9" s="33"/>
      <c r="P9" s="33"/>
      <c r="R9" s="32"/>
    </row>
    <row r="10" spans="1:18">
      <c r="A10" s="6" t="s">
        <v>41</v>
      </c>
      <c r="B10" s="37">
        <f t="shared" si="0"/>
        <v>6202.4989999999998</v>
      </c>
      <c r="C10" s="33"/>
      <c r="D10" s="37">
        <f>IF( ISERROR(IND_voed_gas_kWh/1000),0,IND_voed_gas_kWh/1000)*0.902</f>
        <v>12373.37141601943</v>
      </c>
      <c r="E10" s="33">
        <f>C32*'E Balans VL '!I20/100/3.6*1000000</f>
        <v>63.231060328803551</v>
      </c>
      <c r="F10" s="33">
        <f>C32*'E Balans VL '!L20/100/3.6*1000000+C32*'E Balans VL '!N20/100/3.6*1000000</f>
        <v>11716.481818113469</v>
      </c>
      <c r="G10" s="34"/>
      <c r="H10" s="33"/>
      <c r="I10" s="33"/>
      <c r="J10" s="40">
        <f>C32*'E Balans VL '!D20/100/3.6*1000000+C32*'E Balans VL '!E20/100/3.6*1000000</f>
        <v>148.44609573861004</v>
      </c>
      <c r="K10" s="33"/>
      <c r="L10" s="33"/>
      <c r="M10" s="33"/>
      <c r="N10" s="33">
        <f>C32*'E Balans VL '!Y20/100/3.6*1000000</f>
        <v>3269.4314132775853</v>
      </c>
      <c r="O10" s="33"/>
      <c r="P10" s="33"/>
      <c r="R10" s="32"/>
    </row>
    <row r="11" spans="1:18">
      <c r="A11" s="6" t="s">
        <v>40</v>
      </c>
      <c r="B11" s="37">
        <f t="shared" si="0"/>
        <v>56.045079999999999</v>
      </c>
      <c r="C11" s="33"/>
      <c r="D11" s="37">
        <f>IF( ISERROR(IND_textiel_gas_kWh/1000),0,IND_textiel_gas_kWh/1000)*0.902</f>
        <v>0</v>
      </c>
      <c r="E11" s="33">
        <f>C33*'E Balans VL '!I21/100/3.6*1000000</f>
        <v>0.1485468802340616</v>
      </c>
      <c r="F11" s="33">
        <f>C33*'E Balans VL '!L21/100/3.6*1000000+C33*'E Balans VL '!N21/100/3.6*1000000</f>
        <v>2.5030310876050246</v>
      </c>
      <c r="G11" s="34"/>
      <c r="H11" s="33"/>
      <c r="I11" s="33"/>
      <c r="J11" s="40">
        <f>C33*'E Balans VL '!D21/100/3.6*1000000+C33*'E Balans VL '!E21/100/3.6*1000000</f>
        <v>0</v>
      </c>
      <c r="K11" s="33"/>
      <c r="L11" s="33"/>
      <c r="M11" s="33"/>
      <c r="N11" s="33">
        <f>C33*'E Balans VL '!Y21/100/3.6*1000000</f>
        <v>0.52818481561672037</v>
      </c>
      <c r="O11" s="33"/>
      <c r="P11" s="33"/>
      <c r="R11" s="32"/>
    </row>
    <row r="12" spans="1:18">
      <c r="A12" s="6" t="s">
        <v>37</v>
      </c>
      <c r="B12" s="37">
        <f t="shared" si="0"/>
        <v>127.32980000000001</v>
      </c>
      <c r="C12" s="33"/>
      <c r="D12" s="37">
        <f>IF( ISERROR(IND_min_gas_kWh/1000),0,IND_min_gas_kWh/1000)*0.902</f>
        <v>187.02509561220344</v>
      </c>
      <c r="E12" s="33">
        <f>C34*'E Balans VL '!I22/100/3.6*1000000</f>
        <v>0.38562436619152829</v>
      </c>
      <c r="F12" s="33">
        <f>C34*'E Balans VL '!L22/100/3.6*1000000+C34*'E Balans VL '!N22/100/3.6*1000000</f>
        <v>3.9791657200263026</v>
      </c>
      <c r="G12" s="34"/>
      <c r="H12" s="33"/>
      <c r="I12" s="33"/>
      <c r="J12" s="40">
        <f>C34*'E Balans VL '!D22/100/3.6*1000000+C34*'E Balans VL '!E22/100/3.6*1000000</f>
        <v>0.18880182764090725</v>
      </c>
      <c r="K12" s="33"/>
      <c r="L12" s="33"/>
      <c r="M12" s="33"/>
      <c r="N12" s="33">
        <f>C34*'E Balans VL '!Y22/100/3.6*1000000</f>
        <v>0</v>
      </c>
      <c r="O12" s="33"/>
      <c r="P12" s="33"/>
      <c r="R12" s="32"/>
    </row>
    <row r="13" spans="1:18">
      <c r="A13" s="6" t="s">
        <v>39</v>
      </c>
      <c r="B13" s="37">
        <f t="shared" si="0"/>
        <v>93.71651</v>
      </c>
      <c r="C13" s="33"/>
      <c r="D13" s="37">
        <f>IF( ISERROR(IND_papier_gas_kWh/1000),0,IND_papier_gas_kWh/1000)*0.902</f>
        <v>81.929606123485144</v>
      </c>
      <c r="E13" s="33">
        <f>C35*'E Balans VL '!I23/100/3.6*1000000</f>
        <v>0.19409321792210454</v>
      </c>
      <c r="F13" s="33">
        <f>C35*'E Balans VL '!L23/100/3.6*1000000+C35*'E Balans VL '!N23/100/3.6*1000000</f>
        <v>1.8585993055287791</v>
      </c>
      <c r="G13" s="34"/>
      <c r="H13" s="33"/>
      <c r="I13" s="33"/>
      <c r="J13" s="40">
        <f>C35*'E Balans VL '!D23/100/3.6*1000000+C35*'E Balans VL '!E23/100/3.6*1000000</f>
        <v>0</v>
      </c>
      <c r="K13" s="33"/>
      <c r="L13" s="33"/>
      <c r="M13" s="33"/>
      <c r="N13" s="33">
        <f>C35*'E Balans VL '!Y23/100/3.6*1000000</f>
        <v>39.571596617023403</v>
      </c>
      <c r="O13" s="33"/>
      <c r="P13" s="33"/>
      <c r="R13" s="32"/>
    </row>
    <row r="14" spans="1:18">
      <c r="A14" s="6" t="s">
        <v>34</v>
      </c>
      <c r="B14" s="37">
        <f t="shared" si="0"/>
        <v>19638.012999999999</v>
      </c>
      <c r="C14" s="33"/>
      <c r="D14" s="37">
        <f>IF( ISERROR(IND_chemie_gas_kWh/1000),0,IND_chemie_gas_kWh/1000)*0.902</f>
        <v>3544.2040901817372</v>
      </c>
      <c r="E14" s="33">
        <f>C36*'E Balans VL '!I24/100/3.6*1000000</f>
        <v>73.626138111135546</v>
      </c>
      <c r="F14" s="33">
        <f>C36*'E Balans VL '!L24/100/3.6*1000000+C36*'E Balans VL '!N24/100/3.6*1000000</f>
        <v>228.46771079060198</v>
      </c>
      <c r="G14" s="34"/>
      <c r="H14" s="33"/>
      <c r="I14" s="33"/>
      <c r="J14" s="40">
        <f>C36*'E Balans VL '!D24/100/3.6*1000000+C36*'E Balans VL '!E24/100/3.6*1000000</f>
        <v>0</v>
      </c>
      <c r="K14" s="33"/>
      <c r="L14" s="33"/>
      <c r="M14" s="33"/>
      <c r="N14" s="33">
        <f>C36*'E Balans VL '!Y24/100/3.6*1000000</f>
        <v>335.50602743949077</v>
      </c>
      <c r="O14" s="33"/>
      <c r="P14" s="33"/>
      <c r="R14" s="32"/>
    </row>
    <row r="15" spans="1:18">
      <c r="A15" s="6" t="s">
        <v>270</v>
      </c>
      <c r="B15" s="37">
        <f t="shared" si="0"/>
        <v>136000</v>
      </c>
      <c r="C15" s="33"/>
      <c r="D15" s="37">
        <f>IF( ISERROR(IND_rest_gas_kWh/1000),0,IND_rest_gas_kWh/1000)*0.902</f>
        <v>212696.83854060949</v>
      </c>
      <c r="E15" s="33">
        <f>C37*'E Balans VL '!I15/100/3.6*1000000</f>
        <v>6918.7430074061331</v>
      </c>
      <c r="F15" s="33">
        <f>C37*'E Balans VL '!L15/100/3.6*1000000+C37*'E Balans VL '!N15/100/3.6*1000000</f>
        <v>30999.516893251355</v>
      </c>
      <c r="G15" s="34"/>
      <c r="H15" s="33"/>
      <c r="I15" s="33"/>
      <c r="J15" s="40">
        <f>C37*'E Balans VL '!D15/100/3.6*1000000+C37*'E Balans VL '!E15/100/3.6*1000000</f>
        <v>570.56492907688278</v>
      </c>
      <c r="K15" s="33"/>
      <c r="L15" s="33"/>
      <c r="M15" s="33"/>
      <c r="N15" s="33">
        <f>C37*'E Balans VL '!Y15/100/3.6*1000000</f>
        <v>25552.207711929786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183524.76939</v>
      </c>
      <c r="C18" s="21">
        <f>C5+C16</f>
        <v>0</v>
      </c>
      <c r="D18" s="21">
        <f>MAX((D5+D16),0)</f>
        <v>252017.75190531567</v>
      </c>
      <c r="E18" s="21">
        <f>MAX((E5+E16),0)</f>
        <v>11629.138865701148</v>
      </c>
      <c r="F18" s="21">
        <f>MAX((F5+F16),0)</f>
        <v>57330.68244027318</v>
      </c>
      <c r="G18" s="21"/>
      <c r="H18" s="21"/>
      <c r="I18" s="21"/>
      <c r="J18" s="21">
        <f>MAX((J5+J16),0)</f>
        <v>719.19982664313375</v>
      </c>
      <c r="K18" s="21"/>
      <c r="L18" s="21">
        <f>MAX((L5+L16),0)</f>
        <v>0</v>
      </c>
      <c r="M18" s="21"/>
      <c r="N18" s="21">
        <f>MAX((N5+N16),0)</f>
        <v>34558.28162094955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0.17029745513564021</v>
      </c>
      <c r="C20" s="25">
        <f ca="1">'EF ele_warmte'!B22</f>
        <v>9.6478434784092008E-3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31253.801181472241</v>
      </c>
      <c r="C22" s="23">
        <f ca="1">C18*C20</f>
        <v>0</v>
      </c>
      <c r="D22" s="23">
        <f>D18*D20</f>
        <v>50907.58588487377</v>
      </c>
      <c r="E22" s="23">
        <f>E18*E20</f>
        <v>2639.8145225141607</v>
      </c>
      <c r="F22" s="23">
        <f>F18*F20</f>
        <v>15307.29221155294</v>
      </c>
      <c r="G22" s="23"/>
      <c r="H22" s="23"/>
      <c r="I22" s="23"/>
      <c r="J22" s="23">
        <f>J18*J20</f>
        <v>254.59673863166933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5254.5479999999998</v>
      </c>
      <c r="C30" s="39">
        <f>IF(ISERROR(B30*3.6/1000000/'E Balans VL '!Z18*100),0,B30*3.6/1000000/'E Balans VL '!Z18*100)</f>
        <v>0.73546161025340917</v>
      </c>
      <c r="D30" s="237" t="s">
        <v>692</v>
      </c>
    </row>
    <row r="31" spans="1:18">
      <c r="A31" s="6" t="s">
        <v>33</v>
      </c>
      <c r="B31" s="37">
        <f>IF( ISERROR(IND_ander_ele_kWh/1000),0,IND_ander_ele_kWh/1000)</f>
        <v>16152.618</v>
      </c>
      <c r="C31" s="39">
        <f>IF(ISERROR(B31*3.6/1000000/'E Balans VL '!Z19*100),0,B31*3.6/1000000/'E Balans VL '!Z19*100)</f>
        <v>0.70699746953307918</v>
      </c>
      <c r="D31" s="237" t="s">
        <v>692</v>
      </c>
    </row>
    <row r="32" spans="1:18">
      <c r="A32" s="171" t="s">
        <v>41</v>
      </c>
      <c r="B32" s="37">
        <f>IF( ISERROR(IND_voed_ele_kWh/1000),0,IND_voed_ele_kWh/1000)</f>
        <v>6202.4989999999998</v>
      </c>
      <c r="C32" s="39">
        <f>IF(ISERROR(B32*3.6/1000000/'E Balans VL '!Z20*100),0,B32*3.6/1000000/'E Balans VL '!Z20*100)</f>
        <v>1.5355327775680174</v>
      </c>
      <c r="D32" s="237" t="s">
        <v>692</v>
      </c>
    </row>
    <row r="33" spans="1:5">
      <c r="A33" s="171" t="s">
        <v>40</v>
      </c>
      <c r="B33" s="37">
        <f>IF( ISERROR(IND_textiel_ele_kWh/1000),0,IND_textiel_ele_kWh/1000)</f>
        <v>56.045079999999999</v>
      </c>
      <c r="C33" s="39">
        <f>IF(ISERROR(B33*3.6/1000000/'E Balans VL '!Z21*100),0,B33*3.6/1000000/'E Balans VL '!Z21*100)</f>
        <v>6.3152932728203076E-3</v>
      </c>
      <c r="D33" s="237" t="s">
        <v>692</v>
      </c>
    </row>
    <row r="34" spans="1:5">
      <c r="A34" s="171" t="s">
        <v>37</v>
      </c>
      <c r="B34" s="37">
        <f>IF( ISERROR(IND_min_ele_kWh/1000),0,IND_min_ele_kWh/1000)</f>
        <v>127.32980000000001</v>
      </c>
      <c r="C34" s="39">
        <f>IF(ISERROR(B34*3.6/1000000/'E Balans VL '!Z22*100),0,B34*3.6/1000000/'E Balans VL '!Z22*100)</f>
        <v>3.6131002463350445E-3</v>
      </c>
      <c r="D34" s="237" t="s">
        <v>692</v>
      </c>
    </row>
    <row r="35" spans="1:5">
      <c r="A35" s="171" t="s">
        <v>39</v>
      </c>
      <c r="B35" s="37">
        <f>IF( ISERROR(IND_papier_ele_kWh/1000),0,IND_papier_ele_kWh/1000)</f>
        <v>93.71651</v>
      </c>
      <c r="C35" s="39">
        <f>IF(ISERROR(B35*3.6/1000000/'E Balans VL '!Z22*100),0,B35*3.6/1000000/'E Balans VL '!Z22*100)</f>
        <v>2.6592922109880063E-3</v>
      </c>
      <c r="D35" s="237" t="s">
        <v>692</v>
      </c>
    </row>
    <row r="36" spans="1:5">
      <c r="A36" s="171" t="s">
        <v>34</v>
      </c>
      <c r="B36" s="37">
        <f>IF( ISERROR(IND_chemie_ele_kWh/1000),0,IND_chemie_ele_kWh/1000)</f>
        <v>19638.012999999999</v>
      </c>
      <c r="C36" s="39">
        <f>IF(ISERROR(B36*3.6/1000000/'E Balans VL '!Z24*100),0,B36*3.6/1000000/'E Balans VL '!Z24*100)</f>
        <v>0.50073935727574326</v>
      </c>
      <c r="D36" s="237" t="s">
        <v>692</v>
      </c>
    </row>
    <row r="37" spans="1:5">
      <c r="A37" s="171" t="s">
        <v>270</v>
      </c>
      <c r="B37" s="37">
        <f>IF( ISERROR(IND_rest_ele_kWh/1000),0,IND_rest_ele_kWh/1000)</f>
        <v>136000</v>
      </c>
      <c r="C37" s="39">
        <f>IF(ISERROR(B37*3.6/1000000/'E Balans VL '!Z15*100),0,B37*3.6/1000000/'E Balans VL '!Z15*100)</f>
        <v>1.0084167158146962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9287.4629999999997</v>
      </c>
      <c r="C5" s="17">
        <f>'Eigen informatie GS &amp; warmtenet'!B60</f>
        <v>0</v>
      </c>
      <c r="D5" s="30">
        <f>IF(ISERROR(SUM(LB_lb_gas_kWh,LB_rest_gas_kWh,onbekend_gas_kWh)/1000),0,SUM(LB_lb_gas_kWh,LB_rest_gas_kWh,onbekend_gas_kWh)/1000)*0.902</f>
        <v>6787.2170752272577</v>
      </c>
      <c r="E5" s="17">
        <f>B17*'E Balans VL '!I25/3.6*1000000/100</f>
        <v>86.024372253075811</v>
      </c>
      <c r="F5" s="17">
        <f>B17*('E Balans VL '!L25/3.6*1000000+'E Balans VL '!N25/3.6*1000000)/100</f>
        <v>23564.062890885849</v>
      </c>
      <c r="G5" s="18"/>
      <c r="H5" s="17"/>
      <c r="I5" s="17"/>
      <c r="J5" s="17">
        <f>('E Balans VL '!D25+'E Balans VL '!E25)/3.6*1000000*landbouw!B17/100</f>
        <v>1423.8717262895877</v>
      </c>
      <c r="K5" s="17"/>
      <c r="L5" s="17">
        <f>L6*(-1)</f>
        <v>0</v>
      </c>
      <c r="M5" s="17"/>
      <c r="N5" s="17">
        <f>N6*(-1)</f>
        <v>26807.142857142859</v>
      </c>
      <c r="O5" s="17"/>
      <c r="P5" s="17"/>
      <c r="R5" s="32"/>
    </row>
    <row r="6" spans="1:18">
      <c r="A6" s="16" t="s">
        <v>494</v>
      </c>
      <c r="B6" s="17" t="s">
        <v>211</v>
      </c>
      <c r="C6" s="17">
        <f>'lokale energieproductie'!O91+'lokale energieproductie'!O60</f>
        <v>13403.571428571429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-26807.142857142859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9287.4629999999997</v>
      </c>
      <c r="C8" s="21">
        <f>C5+C6</f>
        <v>13403.571428571429</v>
      </c>
      <c r="D8" s="21">
        <f>MAX((D5+D6),0)</f>
        <v>6787.2170752272577</v>
      </c>
      <c r="E8" s="21">
        <f>MAX((E5+E6),0)</f>
        <v>86.024372253075811</v>
      </c>
      <c r="F8" s="21">
        <f>MAX((F5+F6),0)</f>
        <v>23564.062890885849</v>
      </c>
      <c r="G8" s="21"/>
      <c r="H8" s="21"/>
      <c r="I8" s="21"/>
      <c r="J8" s="21">
        <f>MAX((J5+J6),0)</f>
        <v>1423.8717262895877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0.17029745513564021</v>
      </c>
      <c r="C10" s="31">
        <f ca="1">'EF ele_warmte'!B22</f>
        <v>9.6478434784092008E-3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1581.6313135664184</v>
      </c>
      <c r="C12" s="23">
        <f ca="1">C8*C10</f>
        <v>129.31555919453476</v>
      </c>
      <c r="D12" s="23">
        <f>D8*D10</f>
        <v>1371.0178491959061</v>
      </c>
      <c r="E12" s="23">
        <f>E8*E10</f>
        <v>19.52753250144821</v>
      </c>
      <c r="F12" s="23">
        <f>F8*F10</f>
        <v>6291.6047918665217</v>
      </c>
      <c r="G12" s="23"/>
      <c r="H12" s="23"/>
      <c r="I12" s="23"/>
      <c r="J12" s="23">
        <f>J8*J10</f>
        <v>504.05059110651405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1.3204803103455343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1484.1602427442845</v>
      </c>
      <c r="C26" s="247">
        <f>B26*'GWP N2O_CH4'!B5</f>
        <v>31167.365097629972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949.41261727907511</v>
      </c>
      <c r="C27" s="247">
        <f>B27*'GWP N2O_CH4'!B5</f>
        <v>19937.664962860577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20.628024639429913</v>
      </c>
      <c r="C28" s="247">
        <f>B28*'GWP N2O_CH4'!B4</f>
        <v>6394.6876382232731</v>
      </c>
      <c r="D28" s="50"/>
    </row>
    <row r="29" spans="1:4">
      <c r="A29" s="41" t="s">
        <v>277</v>
      </c>
      <c r="B29" s="247">
        <f>B34*'ha_N2O bodem landbouw'!B4</f>
        <v>60.365838998867531</v>
      </c>
      <c r="C29" s="247">
        <f>B29*'GWP N2O_CH4'!B4</f>
        <v>18713.410089648936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1.3538994203724819E-2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1.1217227178254955E-4</v>
      </c>
      <c r="C5" s="464" t="s">
        <v>211</v>
      </c>
      <c r="D5" s="449">
        <f>SUM(D6:D11)</f>
        <v>2.9400660173724898E-4</v>
      </c>
      <c r="E5" s="449">
        <f>SUM(E6:E11)</f>
        <v>1.8909125660350251E-3</v>
      </c>
      <c r="F5" s="462" t="s">
        <v>211</v>
      </c>
      <c r="G5" s="449">
        <f>SUM(G6:G11)</f>
        <v>0.64831824443770125</v>
      </c>
      <c r="H5" s="449">
        <f>SUM(H6:H11)</f>
        <v>0.11136276814207778</v>
      </c>
      <c r="I5" s="464" t="s">
        <v>211</v>
      </c>
      <c r="J5" s="464" t="s">
        <v>211</v>
      </c>
      <c r="K5" s="464" t="s">
        <v>211</v>
      </c>
      <c r="L5" s="464" t="s">
        <v>211</v>
      </c>
      <c r="M5" s="449">
        <f>SUM(M6:M11)</f>
        <v>4.0930400799638209E-2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8.8926646217408125E-5</v>
      </c>
      <c r="C6" s="450"/>
      <c r="D6" s="963">
        <f>vkm_2011_GW_PW*SUMIFS(TableVerdeelsleutelVkm[CNG],TableVerdeelsleutelVkm[Voertuigtype],"Lichte voertuigen")*SUMIFS(TableECFTransport[EnergieConsumptieFactor (PJ per km)],TableECFTransport[Index],CONCATENATE($A6,"_CNG_CNG"))</f>
        <v>2.0569712311904848E-4</v>
      </c>
      <c r="E6" s="963">
        <f>vkm_2011_GW_PW*SUMIFS(TableVerdeelsleutelVkm[LPG],TableVerdeelsleutelVkm[Voertuigtype],"Lichte voertuigen")*SUMIFS(TableECFTransport[EnergieConsumptieFactor (PJ per km)],TableECFTransport[Index],CONCATENATE($A6,"_LPG_LPG"))</f>
        <v>1.3393754487379963E-3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0.27824534041423588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7.8431611351015576E-2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1.8509684807622762E-2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0.22160716862135466</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7.5785627094847275E-5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1.2821230831181812E-2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1.916774397953711E-5</v>
      </c>
      <c r="C8" s="450"/>
      <c r="D8" s="452">
        <f>vkm_2011_NGW_PW*SUMIFS(TableVerdeelsleutelVkm[CNG],TableVerdeelsleutelVkm[Voertuigtype],"Lichte voertuigen")*SUMIFS(TableECFTransport[EnergieConsumptieFactor (PJ per km)],TableECFTransport[Index],CONCATENATE($A8,"_CNG_CNG"))</f>
        <v>7.8419376375626394E-5</v>
      </c>
      <c r="E8" s="452">
        <f>vkm_2011_NGW_PW*SUMIFS(TableVerdeelsleutelVkm[LPG],TableVerdeelsleutelVkm[Voertuigtype],"Lichte voertuigen")*SUMIFS(TableECFTransport[EnergieConsumptieFactor (PJ per km)],TableECFTransport[Index],CONCATENATE($A8,"_LPG_LPG"))</f>
        <v>4.7124878805333067E-4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9.1515822345080294E-2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2.8912196110995825E-2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6.1838174567129629E-3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2.8455742670951883E-2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9.2079468563450525E-6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1.6463098949241696E-3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4.0778815856042987E-6</v>
      </c>
      <c r="C10" s="450"/>
      <c r="D10" s="452">
        <f>vkm_2011_SW_PW*SUMIFS(TableVerdeelsleutelVkm[CNG],TableVerdeelsleutelVkm[Voertuigtype],"Lichte voertuigen")*SUMIFS(TableECFTransport[EnergieConsumptieFactor (PJ per km)],TableECFTransport[Index],CONCATENATE($A10,"_CNG_CNG"))</f>
        <v>9.8901022425741315E-6</v>
      </c>
      <c r="E10" s="452">
        <f>vkm_2011_SW_PW*SUMIFS(TableVerdeelsleutelVkm[LPG],TableVerdeelsleutelVkm[Voertuigtype],"Lichte voertuigen")*SUMIFS(TableECFTransport[EnergieConsumptieFactor (PJ per km)],TableECFTransport[Index],CONCATENATE($A10,"_LPG_LPG"))</f>
        <v>8.0288329243698278E-5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1.5016222846013299E-2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3.9289996432736538E-3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9.8957111869463427E-4</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1.347794754006529E-2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4.9674628415322591E-6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7.7978669050187267E-4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31.158964384041543</v>
      </c>
      <c r="C14" s="21"/>
      <c r="D14" s="21">
        <f t="shared" ref="D14:M14" si="0">((D5)*10^9/3600)+D12</f>
        <v>81.668500482569172</v>
      </c>
      <c r="E14" s="21">
        <f t="shared" si="0"/>
        <v>525.25349056528478</v>
      </c>
      <c r="F14" s="21"/>
      <c r="G14" s="21">
        <f t="shared" si="0"/>
        <v>180088.40123269477</v>
      </c>
      <c r="H14" s="21">
        <f t="shared" si="0"/>
        <v>30934.102261688269</v>
      </c>
      <c r="I14" s="21"/>
      <c r="J14" s="21"/>
      <c r="K14" s="21"/>
      <c r="L14" s="21"/>
      <c r="M14" s="21">
        <f t="shared" si="0"/>
        <v>11369.55577767728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0.17029745513564021</v>
      </c>
      <c r="C16" s="56">
        <f ca="1">'EF ele_warmte'!B22</f>
        <v>9.6478434784092008E-3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5.306292339264326</v>
      </c>
      <c r="C18" s="23"/>
      <c r="D18" s="23">
        <f t="shared" ref="D18:M18" si="1">D14*D16</f>
        <v>16.497037097478973</v>
      </c>
      <c r="E18" s="23">
        <f t="shared" si="1"/>
        <v>119.23254235831965</v>
      </c>
      <c r="F18" s="23"/>
      <c r="G18" s="23">
        <f t="shared" si="1"/>
        <v>48083.603129129508</v>
      </c>
      <c r="H18" s="23">
        <f t="shared" si="1"/>
        <v>7702.5914631603791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1.2464718539257642E-2</v>
      </c>
      <c r="H50" s="321">
        <f t="shared" si="2"/>
        <v>0</v>
      </c>
      <c r="I50" s="321">
        <f t="shared" si="2"/>
        <v>0</v>
      </c>
      <c r="J50" s="321">
        <f t="shared" si="2"/>
        <v>0</v>
      </c>
      <c r="K50" s="321">
        <f t="shared" si="2"/>
        <v>0</v>
      </c>
      <c r="L50" s="321">
        <f t="shared" si="2"/>
        <v>0</v>
      </c>
      <c r="M50" s="321">
        <f t="shared" si="2"/>
        <v>7.1082656167642641E-4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1.2464718539257642E-2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7.1082656167642641E-4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3462.4218164604563</v>
      </c>
      <c r="H54" s="21">
        <f t="shared" si="3"/>
        <v>0</v>
      </c>
      <c r="I54" s="21">
        <f t="shared" si="3"/>
        <v>0</v>
      </c>
      <c r="J54" s="21">
        <f t="shared" si="3"/>
        <v>0</v>
      </c>
      <c r="K54" s="21">
        <f t="shared" si="3"/>
        <v>0</v>
      </c>
      <c r="L54" s="21">
        <f t="shared" si="3"/>
        <v>0</v>
      </c>
      <c r="M54" s="21">
        <f t="shared" si="3"/>
        <v>197.45182268789623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0.17029745513564021</v>
      </c>
      <c r="C56" s="56">
        <f ca="1">'EF ele_warmte'!B22</f>
        <v>9.6478434784092008E-3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924.46662499494187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36265.170998942944</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15166.041306072348</v>
      </c>
      <c r="C6" s="1223"/>
      <c r="D6" s="1226"/>
      <c r="E6" s="1226"/>
      <c r="F6" s="1229"/>
      <c r="G6" s="1232"/>
      <c r="H6" s="1220"/>
      <c r="I6" s="1226"/>
      <c r="J6" s="1226"/>
      <c r="K6" s="1226"/>
      <c r="L6" s="1256"/>
      <c r="M6" s="576"/>
      <c r="N6" s="1268"/>
      <c r="O6" s="1269"/>
      <c r="Q6" s="574"/>
      <c r="R6" s="1253"/>
      <c r="S6" s="1253"/>
    </row>
    <row r="7" spans="1:19" s="564" customFormat="1">
      <c r="A7" s="577" t="s">
        <v>252</v>
      </c>
      <c r="B7" s="578">
        <f>N57</f>
        <v>31036.5</v>
      </c>
      <c r="C7" s="579">
        <f>B100</f>
        <v>1482.3529411764709</v>
      </c>
      <c r="D7" s="580"/>
      <c r="E7" s="580">
        <f>E100</f>
        <v>0</v>
      </c>
      <c r="F7" s="581"/>
      <c r="G7" s="582"/>
      <c r="H7" s="580">
        <f>I100</f>
        <v>0</v>
      </c>
      <c r="I7" s="580">
        <f>G100+F100</f>
        <v>0</v>
      </c>
      <c r="J7" s="580">
        <f>H100+D100+C100</f>
        <v>35031.176470588238</v>
      </c>
      <c r="K7" s="580"/>
      <c r="L7" s="583"/>
      <c r="M7" s="584">
        <f>C7*$C$11+D7*$D$11+E7*$E$11+F7*$F$11+G7*$G$11+H7*$H$11+I7*$I$11+J7*$J$11</f>
        <v>299.43529411764717</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82467.712305015288</v>
      </c>
      <c r="C9" s="595">
        <f t="shared" ref="C9:L9" si="0">SUM(C7:C8)</f>
        <v>1482.3529411764709</v>
      </c>
      <c r="D9" s="595">
        <f t="shared" si="0"/>
        <v>0</v>
      </c>
      <c r="E9" s="595">
        <f t="shared" si="0"/>
        <v>0</v>
      </c>
      <c r="F9" s="595">
        <f t="shared" si="0"/>
        <v>0</v>
      </c>
      <c r="G9" s="595">
        <f t="shared" si="0"/>
        <v>0</v>
      </c>
      <c r="H9" s="595">
        <f t="shared" si="0"/>
        <v>0</v>
      </c>
      <c r="I9" s="595">
        <f t="shared" si="0"/>
        <v>0</v>
      </c>
      <c r="J9" s="595">
        <f t="shared" si="0"/>
        <v>35031.176470588238</v>
      </c>
      <c r="K9" s="595">
        <f t="shared" si="0"/>
        <v>0</v>
      </c>
      <c r="L9" s="595">
        <f t="shared" si="0"/>
        <v>0</v>
      </c>
      <c r="M9" s="596">
        <f>SUM(M4:M8)</f>
        <v>299.43529411764717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44337.857142857145</v>
      </c>
      <c r="C16" s="611">
        <f>B101</f>
        <v>2117.6470588235302</v>
      </c>
      <c r="D16" s="612"/>
      <c r="E16" s="612">
        <f>E101</f>
        <v>0</v>
      </c>
      <c r="F16" s="613"/>
      <c r="G16" s="614"/>
      <c r="H16" s="611">
        <f>I101</f>
        <v>0</v>
      </c>
      <c r="I16" s="612">
        <f>G101+F101</f>
        <v>0</v>
      </c>
      <c r="J16" s="612">
        <f>H101+D101+C101</f>
        <v>50044.537815126052</v>
      </c>
      <c r="K16" s="612"/>
      <c r="L16" s="615"/>
      <c r="M16" s="616">
        <f>C16*$C$21+E16*$E$21+H16*$H$21+I16*$I$21+J16*$J$21+D16*$D$21+F16*$F$21+G16*$G$21+K16*$K$21+L16*$L$21</f>
        <v>427.7647058823531</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44337.857142857145</v>
      </c>
      <c r="C19" s="594">
        <f>SUM(C16:C18)</f>
        <v>2117.6470588235302</v>
      </c>
      <c r="D19" s="594">
        <f t="shared" ref="D19:M19" si="1">SUM(D16:D18)</f>
        <v>0</v>
      </c>
      <c r="E19" s="594">
        <f t="shared" si="1"/>
        <v>0</v>
      </c>
      <c r="F19" s="594">
        <f t="shared" si="1"/>
        <v>0</v>
      </c>
      <c r="G19" s="594">
        <f t="shared" si="1"/>
        <v>0</v>
      </c>
      <c r="H19" s="594">
        <f t="shared" si="1"/>
        <v>0</v>
      </c>
      <c r="I19" s="594">
        <f t="shared" si="1"/>
        <v>0</v>
      </c>
      <c r="J19" s="594">
        <f t="shared" si="1"/>
        <v>50044.537815126052</v>
      </c>
      <c r="K19" s="594">
        <f t="shared" si="1"/>
        <v>0</v>
      </c>
      <c r="L19" s="594">
        <f t="shared" si="1"/>
        <v>0</v>
      </c>
      <c r="M19" s="621">
        <f t="shared" si="1"/>
        <v>427.7647058823531</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33011</v>
      </c>
      <c r="C27" s="852">
        <v>8900</v>
      </c>
      <c r="D27" s="673" t="s">
        <v>871</v>
      </c>
      <c r="E27" s="672" t="s">
        <v>872</v>
      </c>
      <c r="F27" s="672" t="s">
        <v>873</v>
      </c>
      <c r="G27" s="672" t="s">
        <v>874</v>
      </c>
      <c r="H27" s="672" t="s">
        <v>875</v>
      </c>
      <c r="I27" s="672" t="s">
        <v>872</v>
      </c>
      <c r="J27" s="851">
        <v>40199</v>
      </c>
      <c r="K27" s="851">
        <v>39360</v>
      </c>
      <c r="L27" s="672" t="s">
        <v>876</v>
      </c>
      <c r="M27" s="672">
        <v>2085</v>
      </c>
      <c r="N27" s="672">
        <v>9382.5</v>
      </c>
      <c r="O27" s="672">
        <v>13403.571428571429</v>
      </c>
      <c r="P27" s="672">
        <v>0</v>
      </c>
      <c r="Q27" s="672">
        <v>26807.142857142859</v>
      </c>
      <c r="R27" s="672">
        <v>0</v>
      </c>
      <c r="S27" s="672">
        <v>0</v>
      </c>
      <c r="T27" s="672">
        <v>0</v>
      </c>
      <c r="U27" s="672">
        <v>0</v>
      </c>
      <c r="V27" s="672">
        <v>0</v>
      </c>
      <c r="W27" s="672">
        <v>0</v>
      </c>
      <c r="X27" s="672">
        <v>10</v>
      </c>
      <c r="Y27" s="672" t="s">
        <v>112</v>
      </c>
      <c r="Z27" s="674" t="s">
        <v>112</v>
      </c>
    </row>
    <row r="28" spans="1:26" s="626" customFormat="1" ht="63.75">
      <c r="A28" s="625"/>
      <c r="B28" s="852">
        <v>33011</v>
      </c>
      <c r="C28" s="852">
        <v>8900</v>
      </c>
      <c r="D28" s="673" t="s">
        <v>877</v>
      </c>
      <c r="E28" s="672" t="s">
        <v>878</v>
      </c>
      <c r="F28" s="672" t="s">
        <v>879</v>
      </c>
      <c r="G28" s="672" t="s">
        <v>874</v>
      </c>
      <c r="H28" s="672" t="s">
        <v>875</v>
      </c>
      <c r="I28" s="672" t="s">
        <v>878</v>
      </c>
      <c r="J28" s="851">
        <v>37824</v>
      </c>
      <c r="K28" s="851">
        <v>40350</v>
      </c>
      <c r="L28" s="672" t="s">
        <v>876</v>
      </c>
      <c r="M28" s="672">
        <v>1340</v>
      </c>
      <c r="N28" s="672">
        <v>6030</v>
      </c>
      <c r="O28" s="672">
        <v>8614.2857142857138</v>
      </c>
      <c r="P28" s="672">
        <v>0</v>
      </c>
      <c r="Q28" s="672">
        <v>17228.571428571431</v>
      </c>
      <c r="R28" s="672">
        <v>0</v>
      </c>
      <c r="S28" s="672">
        <v>0</v>
      </c>
      <c r="T28" s="672">
        <v>0</v>
      </c>
      <c r="U28" s="672">
        <v>0</v>
      </c>
      <c r="V28" s="672">
        <v>0</v>
      </c>
      <c r="W28" s="672">
        <v>0</v>
      </c>
      <c r="X28" s="672">
        <v>1600</v>
      </c>
      <c r="Y28" s="672" t="s">
        <v>50</v>
      </c>
      <c r="Z28" s="674" t="s">
        <v>156</v>
      </c>
    </row>
    <row r="29" spans="1:26" s="626" customFormat="1" ht="38.25">
      <c r="A29" s="625"/>
      <c r="B29" s="852">
        <v>33011</v>
      </c>
      <c r="C29" s="852">
        <v>8900</v>
      </c>
      <c r="D29" s="673" t="s">
        <v>880</v>
      </c>
      <c r="E29" s="672" t="s">
        <v>881</v>
      </c>
      <c r="F29" s="672" t="s">
        <v>882</v>
      </c>
      <c r="G29" s="672" t="s">
        <v>874</v>
      </c>
      <c r="H29" s="672" t="s">
        <v>875</v>
      </c>
      <c r="I29" s="672" t="s">
        <v>881</v>
      </c>
      <c r="J29" s="851">
        <v>41484</v>
      </c>
      <c r="K29" s="851">
        <v>41484</v>
      </c>
      <c r="L29" s="672" t="s">
        <v>876</v>
      </c>
      <c r="M29" s="672">
        <v>280</v>
      </c>
      <c r="N29" s="672">
        <v>1260.0000000000002</v>
      </c>
      <c r="O29" s="672">
        <v>1800.0000000000005</v>
      </c>
      <c r="P29" s="672">
        <v>3600.0000000000009</v>
      </c>
      <c r="Q29" s="672">
        <v>0</v>
      </c>
      <c r="R29" s="672">
        <v>0</v>
      </c>
      <c r="S29" s="672">
        <v>0</v>
      </c>
      <c r="T29" s="672">
        <v>0</v>
      </c>
      <c r="U29" s="672">
        <v>0</v>
      </c>
      <c r="V29" s="672">
        <v>0</v>
      </c>
      <c r="W29" s="672">
        <v>0</v>
      </c>
      <c r="X29" s="672">
        <v>1501</v>
      </c>
      <c r="Y29" s="672" t="s">
        <v>51</v>
      </c>
      <c r="Z29" s="674" t="s">
        <v>156</v>
      </c>
    </row>
    <row r="30" spans="1:26" s="626" customFormat="1" ht="63.75">
      <c r="A30" s="625"/>
      <c r="B30" s="852">
        <v>33011</v>
      </c>
      <c r="C30" s="852">
        <v>8900</v>
      </c>
      <c r="D30" s="673" t="s">
        <v>883</v>
      </c>
      <c r="E30" s="672" t="s">
        <v>884</v>
      </c>
      <c r="F30" s="672" t="s">
        <v>885</v>
      </c>
      <c r="G30" s="672" t="s">
        <v>874</v>
      </c>
      <c r="H30" s="672" t="s">
        <v>875</v>
      </c>
      <c r="I30" s="672" t="s">
        <v>886</v>
      </c>
      <c r="J30" s="851">
        <v>41487</v>
      </c>
      <c r="K30" s="851">
        <v>41487</v>
      </c>
      <c r="L30" s="672" t="s">
        <v>876</v>
      </c>
      <c r="M30" s="672">
        <v>3192</v>
      </c>
      <c r="N30" s="672">
        <v>14364</v>
      </c>
      <c r="O30" s="672">
        <v>20520</v>
      </c>
      <c r="P30" s="672">
        <v>0</v>
      </c>
      <c r="Q30" s="672">
        <v>41040</v>
      </c>
      <c r="R30" s="672">
        <v>0</v>
      </c>
      <c r="S30" s="672">
        <v>0</v>
      </c>
      <c r="T30" s="672">
        <v>0</v>
      </c>
      <c r="U30" s="672">
        <v>0</v>
      </c>
      <c r="V30" s="672">
        <v>0</v>
      </c>
      <c r="W30" s="672">
        <v>0</v>
      </c>
      <c r="X30" s="672">
        <v>1600</v>
      </c>
      <c r="Y30" s="672" t="s">
        <v>50</v>
      </c>
      <c r="Z30" s="674" t="s">
        <v>156</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6897</v>
      </c>
      <c r="N57" s="630">
        <f>SUM(N27:N56)</f>
        <v>31036.5</v>
      </c>
      <c r="O57" s="630">
        <f t="shared" ref="O57:W57" si="2">SUM(O27:O56)</f>
        <v>44337.857142857145</v>
      </c>
      <c r="P57" s="630">
        <f t="shared" si="2"/>
        <v>3600.0000000000009</v>
      </c>
      <c r="Q57" s="630">
        <f t="shared" si="2"/>
        <v>85075.71428571429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4812</v>
      </c>
      <c r="N59" s="630">
        <f ca="1">SUMIF($Z$27:AB56,"tertiair",N27:N56)</f>
        <v>21654</v>
      </c>
      <c r="O59" s="630">
        <f ca="1">SUMIF($Z$27:AC56,"tertiair",O27:O56)</f>
        <v>30934.285714285714</v>
      </c>
      <c r="P59" s="630">
        <f ca="1">SUMIF($Z$27:AD56,"tertiair",P27:P56)</f>
        <v>3600.0000000000009</v>
      </c>
      <c r="Q59" s="630">
        <f ca="1">SUMIF($Z$27:AE56,"tertiair",Q27:Q56)</f>
        <v>58268.571428571435</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2085</v>
      </c>
      <c r="N60" s="635">
        <f t="shared" ref="N60:W60" si="4">SUMIF($Z$27:$Z$56,"landbouw",N27:N56)</f>
        <v>9382.5</v>
      </c>
      <c r="O60" s="635">
        <f t="shared" si="4"/>
        <v>13403.571428571429</v>
      </c>
      <c r="P60" s="635">
        <f t="shared" si="4"/>
        <v>0</v>
      </c>
      <c r="Q60" s="635">
        <f t="shared" si="4"/>
        <v>26807.142857142859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1482.3529411764709</v>
      </c>
      <c r="C100" s="664">
        <f t="shared" si="9"/>
        <v>35031.176470588238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2117.6470588235302</v>
      </c>
      <c r="C101" s="667">
        <f t="shared" ref="C101:H101" si="10">$B$97*Q57</f>
        <v>50044.537815126052</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100625.31629999999</v>
      </c>
      <c r="D10" s="719">
        <f ca="1">tertiair!C16</f>
        <v>30934.285714285714</v>
      </c>
      <c r="E10" s="719">
        <f ca="1">tertiair!D16</f>
        <v>72891.63100804342</v>
      </c>
      <c r="F10" s="719">
        <f>tertiair!E16</f>
        <v>740.9921127273584</v>
      </c>
      <c r="G10" s="719">
        <f ca="1">tertiair!F16</f>
        <v>11302.24007989484</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12.506666666666668</v>
      </c>
      <c r="Q10" s="720">
        <f>tertiair!P16</f>
        <v>95.333333333333343</v>
      </c>
      <c r="R10" s="722">
        <f ca="1">SUM(C10:Q10)</f>
        <v>216602.30521495134</v>
      </c>
      <c r="S10" s="67"/>
    </row>
    <row r="11" spans="1:19" s="475" customFormat="1">
      <c r="A11" s="871" t="s">
        <v>225</v>
      </c>
      <c r="B11" s="876"/>
      <c r="C11" s="719">
        <f>huishoudens!B8</f>
        <v>60082.167814420201</v>
      </c>
      <c r="D11" s="719">
        <f>huishoudens!C8</f>
        <v>0</v>
      </c>
      <c r="E11" s="719">
        <f>huishoudens!D8</f>
        <v>129531.13019213239</v>
      </c>
      <c r="F11" s="719">
        <f>huishoudens!E8</f>
        <v>8252.8990499885149</v>
      </c>
      <c r="G11" s="719">
        <f>huishoudens!F8</f>
        <v>16803.213309609233</v>
      </c>
      <c r="H11" s="719">
        <f>huishoudens!G8</f>
        <v>0</v>
      </c>
      <c r="I11" s="719">
        <f>huishoudens!H8</f>
        <v>0</v>
      </c>
      <c r="J11" s="719">
        <f>huishoudens!I8</f>
        <v>0</v>
      </c>
      <c r="K11" s="719">
        <f>huishoudens!J8</f>
        <v>7119.2628874703696</v>
      </c>
      <c r="L11" s="719">
        <f>huishoudens!K8</f>
        <v>0</v>
      </c>
      <c r="M11" s="719">
        <f>huishoudens!L8</f>
        <v>0</v>
      </c>
      <c r="N11" s="719">
        <f>huishoudens!M8</f>
        <v>0</v>
      </c>
      <c r="O11" s="719">
        <f>huishoudens!N8</f>
        <v>26204.728030562816</v>
      </c>
      <c r="P11" s="719">
        <f>huishoudens!O8</f>
        <v>628.46</v>
      </c>
      <c r="Q11" s="720">
        <f>huishoudens!P8</f>
        <v>762.66666666666674</v>
      </c>
      <c r="R11" s="722">
        <f>SUM(C11:Q11)</f>
        <v>249384.52795085017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183524.76939</v>
      </c>
      <c r="D13" s="719">
        <f>industrie!C18</f>
        <v>0</v>
      </c>
      <c r="E13" s="719">
        <f>industrie!D18</f>
        <v>252017.75190531567</v>
      </c>
      <c r="F13" s="719">
        <f>industrie!E18</f>
        <v>11629.138865701148</v>
      </c>
      <c r="G13" s="719">
        <f>industrie!F18</f>
        <v>57330.68244027318</v>
      </c>
      <c r="H13" s="719">
        <f>industrie!G18</f>
        <v>0</v>
      </c>
      <c r="I13" s="719">
        <f>industrie!H18</f>
        <v>0</v>
      </c>
      <c r="J13" s="719">
        <f>industrie!I18</f>
        <v>0</v>
      </c>
      <c r="K13" s="719">
        <f>industrie!J18</f>
        <v>719.19982664313375</v>
      </c>
      <c r="L13" s="719">
        <f>industrie!K18</f>
        <v>0</v>
      </c>
      <c r="M13" s="719">
        <f>industrie!L18</f>
        <v>0</v>
      </c>
      <c r="N13" s="719">
        <f>industrie!M18</f>
        <v>0</v>
      </c>
      <c r="O13" s="719">
        <f>industrie!N18</f>
        <v>34558.28162094955</v>
      </c>
      <c r="P13" s="719">
        <f>industrie!O18</f>
        <v>0</v>
      </c>
      <c r="Q13" s="720">
        <f>industrie!P18</f>
        <v>0</v>
      </c>
      <c r="R13" s="722">
        <f>SUM(C13:Q13)</f>
        <v>539779.8240488827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344232.25350442016</v>
      </c>
      <c r="D15" s="724">
        <f t="shared" ref="D15:Q15" ca="1" si="0">SUM(D9:D14)</f>
        <v>30934.285714285714</v>
      </c>
      <c r="E15" s="724">
        <f t="shared" ca="1" si="0"/>
        <v>454440.51310549147</v>
      </c>
      <c r="F15" s="724">
        <f t="shared" si="0"/>
        <v>20623.030028417023</v>
      </c>
      <c r="G15" s="724">
        <f t="shared" ca="1" si="0"/>
        <v>85436.135829777253</v>
      </c>
      <c r="H15" s="724">
        <f t="shared" si="0"/>
        <v>0</v>
      </c>
      <c r="I15" s="724">
        <f t="shared" si="0"/>
        <v>0</v>
      </c>
      <c r="J15" s="724">
        <f t="shared" si="0"/>
        <v>0</v>
      </c>
      <c r="K15" s="724">
        <f t="shared" si="0"/>
        <v>7838.4627141135034</v>
      </c>
      <c r="L15" s="724">
        <f t="shared" si="0"/>
        <v>0</v>
      </c>
      <c r="M15" s="724">
        <f t="shared" ca="1" si="0"/>
        <v>0</v>
      </c>
      <c r="N15" s="724">
        <f t="shared" si="0"/>
        <v>0</v>
      </c>
      <c r="O15" s="724">
        <f t="shared" ca="1" si="0"/>
        <v>60763.009651512366</v>
      </c>
      <c r="P15" s="724">
        <f t="shared" si="0"/>
        <v>640.9666666666667</v>
      </c>
      <c r="Q15" s="725">
        <f t="shared" si="0"/>
        <v>858.00000000000011</v>
      </c>
      <c r="R15" s="726">
        <f ca="1">SUM(R9:R14)</f>
        <v>1005766.6572146842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3462.4218164604563</v>
      </c>
      <c r="I18" s="719">
        <f>transport!H54</f>
        <v>0</v>
      </c>
      <c r="J18" s="719">
        <f>transport!I54</f>
        <v>0</v>
      </c>
      <c r="K18" s="719">
        <f>transport!J54</f>
        <v>0</v>
      </c>
      <c r="L18" s="719">
        <f>transport!K54</f>
        <v>0</v>
      </c>
      <c r="M18" s="719">
        <f>transport!L54</f>
        <v>0</v>
      </c>
      <c r="N18" s="719">
        <f>transport!M54</f>
        <v>197.45182268789623</v>
      </c>
      <c r="O18" s="719">
        <f>transport!N54</f>
        <v>0</v>
      </c>
      <c r="P18" s="719">
        <f>transport!O54</f>
        <v>0</v>
      </c>
      <c r="Q18" s="720">
        <f>transport!P54</f>
        <v>0</v>
      </c>
      <c r="R18" s="722">
        <f>SUM(C18:Q18)</f>
        <v>3659.8736391483526</v>
      </c>
      <c r="S18" s="67"/>
    </row>
    <row r="19" spans="1:19" s="475" customFormat="1" ht="15" thickBot="1">
      <c r="A19" s="871" t="s">
        <v>307</v>
      </c>
      <c r="B19" s="876"/>
      <c r="C19" s="728">
        <f>transport!B14</f>
        <v>31.158964384041543</v>
      </c>
      <c r="D19" s="728">
        <f>transport!C14</f>
        <v>0</v>
      </c>
      <c r="E19" s="728">
        <f>transport!D14</f>
        <v>81.668500482569172</v>
      </c>
      <c r="F19" s="728">
        <f>transport!E14</f>
        <v>525.25349056528478</v>
      </c>
      <c r="G19" s="728">
        <f>transport!F14</f>
        <v>0</v>
      </c>
      <c r="H19" s="728">
        <f>transport!G14</f>
        <v>180088.40123269477</v>
      </c>
      <c r="I19" s="728">
        <f>transport!H14</f>
        <v>30934.102261688269</v>
      </c>
      <c r="J19" s="728">
        <f>transport!I14</f>
        <v>0</v>
      </c>
      <c r="K19" s="728">
        <f>transport!J14</f>
        <v>0</v>
      </c>
      <c r="L19" s="728">
        <f>transport!K14</f>
        <v>0</v>
      </c>
      <c r="M19" s="728">
        <f>transport!L14</f>
        <v>0</v>
      </c>
      <c r="N19" s="728">
        <f>transport!M14</f>
        <v>11369.55577767728</v>
      </c>
      <c r="O19" s="728">
        <f>transport!N14</f>
        <v>0</v>
      </c>
      <c r="P19" s="728">
        <f>transport!O14</f>
        <v>0</v>
      </c>
      <c r="Q19" s="729">
        <f>transport!P14</f>
        <v>0</v>
      </c>
      <c r="R19" s="730">
        <f>SUM(C19:Q19)</f>
        <v>223030.1402274922</v>
      </c>
      <c r="S19" s="67"/>
    </row>
    <row r="20" spans="1:19" s="475" customFormat="1" ht="15.75" thickBot="1">
      <c r="A20" s="731" t="s">
        <v>230</v>
      </c>
      <c r="B20" s="879"/>
      <c r="C20" s="874">
        <f>SUM(C17:C19)</f>
        <v>31.158964384041543</v>
      </c>
      <c r="D20" s="732">
        <f t="shared" ref="D20:R20" si="1">SUM(D17:D19)</f>
        <v>0</v>
      </c>
      <c r="E20" s="732">
        <f t="shared" si="1"/>
        <v>81.668500482569172</v>
      </c>
      <c r="F20" s="732">
        <f t="shared" si="1"/>
        <v>525.25349056528478</v>
      </c>
      <c r="G20" s="732">
        <f t="shared" si="1"/>
        <v>0</v>
      </c>
      <c r="H20" s="732">
        <f t="shared" si="1"/>
        <v>183550.82304915524</v>
      </c>
      <c r="I20" s="732">
        <f t="shared" si="1"/>
        <v>30934.102261688269</v>
      </c>
      <c r="J20" s="732">
        <f t="shared" si="1"/>
        <v>0</v>
      </c>
      <c r="K20" s="732">
        <f t="shared" si="1"/>
        <v>0</v>
      </c>
      <c r="L20" s="732">
        <f t="shared" si="1"/>
        <v>0</v>
      </c>
      <c r="M20" s="732">
        <f t="shared" si="1"/>
        <v>0</v>
      </c>
      <c r="N20" s="732">
        <f t="shared" si="1"/>
        <v>11567.007600365176</v>
      </c>
      <c r="O20" s="732">
        <f t="shared" si="1"/>
        <v>0</v>
      </c>
      <c r="P20" s="732">
        <f t="shared" si="1"/>
        <v>0</v>
      </c>
      <c r="Q20" s="733">
        <f t="shared" si="1"/>
        <v>0</v>
      </c>
      <c r="R20" s="734">
        <f t="shared" si="1"/>
        <v>226690.01386664054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9287.4629999999997</v>
      </c>
      <c r="D22" s="728">
        <f>+landbouw!C8</f>
        <v>13403.571428571429</v>
      </c>
      <c r="E22" s="728">
        <f>+landbouw!D8</f>
        <v>6787.2170752272577</v>
      </c>
      <c r="F22" s="728">
        <f>+landbouw!E8</f>
        <v>86.024372253075811</v>
      </c>
      <c r="G22" s="728">
        <f>+landbouw!F8</f>
        <v>23564.062890885849</v>
      </c>
      <c r="H22" s="728">
        <f>+landbouw!G8</f>
        <v>0</v>
      </c>
      <c r="I22" s="728">
        <f>+landbouw!H8</f>
        <v>0</v>
      </c>
      <c r="J22" s="728">
        <f>+landbouw!I8</f>
        <v>0</v>
      </c>
      <c r="K22" s="728">
        <f>+landbouw!J8</f>
        <v>1423.8717262895877</v>
      </c>
      <c r="L22" s="728">
        <f>+landbouw!K8</f>
        <v>0</v>
      </c>
      <c r="M22" s="728">
        <f>+landbouw!L8</f>
        <v>0</v>
      </c>
      <c r="N22" s="728">
        <f>+landbouw!M8</f>
        <v>0</v>
      </c>
      <c r="O22" s="728">
        <f>+landbouw!N8</f>
        <v>0</v>
      </c>
      <c r="P22" s="728">
        <f>+landbouw!O8</f>
        <v>0</v>
      </c>
      <c r="Q22" s="729">
        <f>+landbouw!P8</f>
        <v>0</v>
      </c>
      <c r="R22" s="730">
        <f>SUM(C22:Q22)</f>
        <v>54552.210493227198</v>
      </c>
      <c r="S22" s="67"/>
    </row>
    <row r="23" spans="1:19" s="475" customFormat="1" ht="17.25" thickTop="1" thickBot="1">
      <c r="A23" s="735" t="s">
        <v>116</v>
      </c>
      <c r="B23" s="865"/>
      <c r="C23" s="736">
        <f ca="1">C20+C15+C22</f>
        <v>353550.87546880421</v>
      </c>
      <c r="D23" s="736">
        <f t="shared" ref="D23:Q23" ca="1" si="2">D20+D15+D22</f>
        <v>44337.857142857145</v>
      </c>
      <c r="E23" s="736">
        <f t="shared" ca="1" si="2"/>
        <v>461309.39868120127</v>
      </c>
      <c r="F23" s="736">
        <f t="shared" si="2"/>
        <v>21234.307891235385</v>
      </c>
      <c r="G23" s="736">
        <f t="shared" ca="1" si="2"/>
        <v>109000.1987206631</v>
      </c>
      <c r="H23" s="736">
        <f t="shared" si="2"/>
        <v>183550.82304915524</v>
      </c>
      <c r="I23" s="736">
        <f t="shared" si="2"/>
        <v>30934.102261688269</v>
      </c>
      <c r="J23" s="736">
        <f t="shared" si="2"/>
        <v>0</v>
      </c>
      <c r="K23" s="736">
        <f t="shared" si="2"/>
        <v>9262.3344404030904</v>
      </c>
      <c r="L23" s="736">
        <f t="shared" si="2"/>
        <v>0</v>
      </c>
      <c r="M23" s="736">
        <f t="shared" ca="1" si="2"/>
        <v>0</v>
      </c>
      <c r="N23" s="736">
        <f t="shared" si="2"/>
        <v>11567.007600365176</v>
      </c>
      <c r="O23" s="736">
        <f t="shared" ca="1" si="2"/>
        <v>60763.009651512366</v>
      </c>
      <c r="P23" s="736">
        <f t="shared" si="2"/>
        <v>640.9666666666667</v>
      </c>
      <c r="Q23" s="737">
        <f t="shared" si="2"/>
        <v>858.00000000000011</v>
      </c>
      <c r="R23" s="738">
        <f ca="1">R20+R15+R22</f>
        <v>1287008.881574552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17136.235288108852</v>
      </c>
      <c r="D36" s="719">
        <f ca="1">tertiair!C20</f>
        <v>298.44914668781831</v>
      </c>
      <c r="E36" s="719">
        <f ca="1">tertiair!D20</f>
        <v>14724.109463624771</v>
      </c>
      <c r="F36" s="719">
        <f>tertiair!E20</f>
        <v>168.20520958911035</v>
      </c>
      <c r="G36" s="719">
        <f ca="1">tertiair!F20</f>
        <v>3017.6981013319223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35344.69720934247</v>
      </c>
    </row>
    <row r="37" spans="1:18">
      <c r="A37" s="886" t="s">
        <v>225</v>
      </c>
      <c r="B37" s="893"/>
      <c r="C37" s="719">
        <f ca="1">huishoudens!B12</f>
        <v>10231.840277828231</v>
      </c>
      <c r="D37" s="719">
        <f ca="1">huishoudens!C12</f>
        <v>0</v>
      </c>
      <c r="E37" s="719">
        <f>huishoudens!D12</f>
        <v>26165.288298810745</v>
      </c>
      <c r="F37" s="719">
        <f>huishoudens!E12</f>
        <v>1873.408084347393</v>
      </c>
      <c r="G37" s="719">
        <f>huishoudens!F12</f>
        <v>4486.4579536656656</v>
      </c>
      <c r="H37" s="719">
        <f>huishoudens!G12</f>
        <v>0</v>
      </c>
      <c r="I37" s="719">
        <f>huishoudens!H12</f>
        <v>0</v>
      </c>
      <c r="J37" s="719">
        <f>huishoudens!I12</f>
        <v>0</v>
      </c>
      <c r="K37" s="719">
        <f>huishoudens!J12</f>
        <v>2520.2190621645109</v>
      </c>
      <c r="L37" s="719">
        <f>huishoudens!K12</f>
        <v>0</v>
      </c>
      <c r="M37" s="719">
        <f>huishoudens!L12</f>
        <v>0</v>
      </c>
      <c r="N37" s="719">
        <f>huishoudens!M12</f>
        <v>0</v>
      </c>
      <c r="O37" s="719">
        <f>huishoudens!N12</f>
        <v>0</v>
      </c>
      <c r="P37" s="719">
        <f>huishoudens!O12</f>
        <v>0</v>
      </c>
      <c r="Q37" s="829">
        <f>huishoudens!P12</f>
        <v>0</v>
      </c>
      <c r="R37" s="918">
        <f ca="1">SUM(C37:Q37)</f>
        <v>45277.213676816551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31253.801181472241</v>
      </c>
      <c r="D39" s="719">
        <f ca="1">industrie!C22</f>
        <v>0</v>
      </c>
      <c r="E39" s="719">
        <f>industrie!D22</f>
        <v>50907.58588487377</v>
      </c>
      <c r="F39" s="719">
        <f>industrie!E22</f>
        <v>2639.8145225141607</v>
      </c>
      <c r="G39" s="719">
        <f>industrie!F22</f>
        <v>15307.29221155294</v>
      </c>
      <c r="H39" s="719">
        <f>industrie!G22</f>
        <v>0</v>
      </c>
      <c r="I39" s="719">
        <f>industrie!H22</f>
        <v>0</v>
      </c>
      <c r="J39" s="719">
        <f>industrie!I22</f>
        <v>0</v>
      </c>
      <c r="K39" s="719">
        <f>industrie!J22</f>
        <v>254.59673863166933</v>
      </c>
      <c r="L39" s="719">
        <f>industrie!K22</f>
        <v>0</v>
      </c>
      <c r="M39" s="719">
        <f>industrie!L22</f>
        <v>0</v>
      </c>
      <c r="N39" s="719">
        <f>industrie!M22</f>
        <v>0</v>
      </c>
      <c r="O39" s="719">
        <f>industrie!N22</f>
        <v>0</v>
      </c>
      <c r="P39" s="719">
        <f>industrie!O22</f>
        <v>0</v>
      </c>
      <c r="Q39" s="829">
        <f>industrie!P22</f>
        <v>0</v>
      </c>
      <c r="R39" s="919">
        <f ca="1">SUM(C39:Q39)</f>
        <v>100363.09053904477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58621.876747409326</v>
      </c>
      <c r="D41" s="764">
        <f t="shared" ref="D41:R41" ca="1" si="4">SUM(D35:D40)</f>
        <v>298.44914668781831</v>
      </c>
      <c r="E41" s="764">
        <f t="shared" ca="1" si="4"/>
        <v>91796.983647309287</v>
      </c>
      <c r="F41" s="764">
        <f t="shared" si="4"/>
        <v>4681.4278164506641</v>
      </c>
      <c r="G41" s="764">
        <f t="shared" ca="1" si="4"/>
        <v>22811.448266550527</v>
      </c>
      <c r="H41" s="764">
        <f t="shared" si="4"/>
        <v>0</v>
      </c>
      <c r="I41" s="764">
        <f t="shared" si="4"/>
        <v>0</v>
      </c>
      <c r="J41" s="764">
        <f t="shared" si="4"/>
        <v>0</v>
      </c>
      <c r="K41" s="764">
        <f t="shared" si="4"/>
        <v>2774.8158007961802</v>
      </c>
      <c r="L41" s="764">
        <f t="shared" si="4"/>
        <v>0</v>
      </c>
      <c r="M41" s="764">
        <f t="shared" ca="1" si="4"/>
        <v>0</v>
      </c>
      <c r="N41" s="764">
        <f t="shared" si="4"/>
        <v>0</v>
      </c>
      <c r="O41" s="764">
        <f t="shared" ca="1" si="4"/>
        <v>0</v>
      </c>
      <c r="P41" s="764">
        <f t="shared" si="4"/>
        <v>0</v>
      </c>
      <c r="Q41" s="765">
        <f t="shared" si="4"/>
        <v>0</v>
      </c>
      <c r="R41" s="766">
        <f t="shared" ca="1" si="4"/>
        <v>180985.00142520381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924.46662499494187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924.46662499494187</v>
      </c>
    </row>
    <row r="45" spans="1:18" ht="15" thickBot="1">
      <c r="A45" s="889" t="s">
        <v>307</v>
      </c>
      <c r="B45" s="899"/>
      <c r="C45" s="728">
        <f ca="1">transport!B18</f>
        <v>5.306292339264326</v>
      </c>
      <c r="D45" s="728">
        <f>transport!C18</f>
        <v>0</v>
      </c>
      <c r="E45" s="728">
        <f>transport!D18</f>
        <v>16.497037097478973</v>
      </c>
      <c r="F45" s="728">
        <f>transport!E18</f>
        <v>119.23254235831965</v>
      </c>
      <c r="G45" s="728">
        <f>transport!F18</f>
        <v>0</v>
      </c>
      <c r="H45" s="728">
        <f>transport!G18</f>
        <v>48083.603129129508</v>
      </c>
      <c r="I45" s="728">
        <f>transport!H18</f>
        <v>7702.5914631603791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55927.230464084954</v>
      </c>
    </row>
    <row r="46" spans="1:18" ht="15.75" thickBot="1">
      <c r="A46" s="887" t="s">
        <v>230</v>
      </c>
      <c r="B46" s="900"/>
      <c r="C46" s="764">
        <f t="shared" ref="C46:R46" ca="1" si="5">SUM(C43:C45)</f>
        <v>5.306292339264326</v>
      </c>
      <c r="D46" s="764">
        <f t="shared" ca="1" si="5"/>
        <v>0</v>
      </c>
      <c r="E46" s="764">
        <f t="shared" si="5"/>
        <v>16.497037097478973</v>
      </c>
      <c r="F46" s="764">
        <f t="shared" si="5"/>
        <v>119.23254235831965</v>
      </c>
      <c r="G46" s="764">
        <f t="shared" si="5"/>
        <v>0</v>
      </c>
      <c r="H46" s="764">
        <f t="shared" si="5"/>
        <v>49008.069754124452</v>
      </c>
      <c r="I46" s="764">
        <f t="shared" si="5"/>
        <v>7702.5914631603791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56851.697089079898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1581.6313135664184</v>
      </c>
      <c r="D48" s="719">
        <f ca="1">+landbouw!C12</f>
        <v>129.31555919453476</v>
      </c>
      <c r="E48" s="719">
        <f>+landbouw!D12</f>
        <v>1371.0178491959061</v>
      </c>
      <c r="F48" s="719">
        <f>+landbouw!E12</f>
        <v>19.52753250144821</v>
      </c>
      <c r="G48" s="719">
        <f>+landbouw!F12</f>
        <v>6291.6047918665217</v>
      </c>
      <c r="H48" s="719">
        <f>+landbouw!G12</f>
        <v>0</v>
      </c>
      <c r="I48" s="719">
        <f>+landbouw!H12</f>
        <v>0</v>
      </c>
      <c r="J48" s="719">
        <f>+landbouw!I12</f>
        <v>0</v>
      </c>
      <c r="K48" s="719">
        <f>+landbouw!J12</f>
        <v>504.05059110651405</v>
      </c>
      <c r="L48" s="719">
        <f>+landbouw!K12</f>
        <v>0</v>
      </c>
      <c r="M48" s="719">
        <f>+landbouw!L12</f>
        <v>0</v>
      </c>
      <c r="N48" s="719">
        <f>+landbouw!M12</f>
        <v>0</v>
      </c>
      <c r="O48" s="719">
        <f>+landbouw!N12</f>
        <v>0</v>
      </c>
      <c r="P48" s="719">
        <f>+landbouw!O12</f>
        <v>0</v>
      </c>
      <c r="Q48" s="720">
        <f>+landbouw!P12</f>
        <v>0</v>
      </c>
      <c r="R48" s="762">
        <f ca="1">SUM(C48:Q48)</f>
        <v>9897.1476374313424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60208.814353315007</v>
      </c>
      <c r="D53" s="774">
        <f t="shared" ref="D53:Q53" ca="1" si="6">D41+D46+D48</f>
        <v>427.76470588235304</v>
      </c>
      <c r="E53" s="774">
        <f t="shared" ca="1" si="6"/>
        <v>93184.498533602673</v>
      </c>
      <c r="F53" s="774">
        <f t="shared" si="6"/>
        <v>4820.187891310432</v>
      </c>
      <c r="G53" s="774">
        <f t="shared" ca="1" si="6"/>
        <v>29103.053058417048</v>
      </c>
      <c r="H53" s="774">
        <f t="shared" si="6"/>
        <v>49008.069754124452</v>
      </c>
      <c r="I53" s="774">
        <f t="shared" si="6"/>
        <v>7702.5914631603791</v>
      </c>
      <c r="J53" s="774">
        <f t="shared" si="6"/>
        <v>0</v>
      </c>
      <c r="K53" s="774">
        <f t="shared" si="6"/>
        <v>3278.866391902694</v>
      </c>
      <c r="L53" s="774">
        <f t="shared" si="6"/>
        <v>0</v>
      </c>
      <c r="M53" s="774">
        <f t="shared" ca="1" si="6"/>
        <v>0</v>
      </c>
      <c r="N53" s="774">
        <f t="shared" si="6"/>
        <v>0</v>
      </c>
      <c r="O53" s="774">
        <f t="shared" ca="1" si="6"/>
        <v>0</v>
      </c>
      <c r="P53" s="774">
        <f>P41+P46+P48</f>
        <v>0</v>
      </c>
      <c r="Q53" s="775">
        <f t="shared" si="6"/>
        <v>0</v>
      </c>
      <c r="R53" s="776">
        <f ca="1">R41+R46+R48</f>
        <v>247733.84615171503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0.17029745513564021</v>
      </c>
      <c r="D55" s="837">
        <f t="shared" ca="1" si="7"/>
        <v>9.6478434784091991E-3</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36265.170998942944</v>
      </c>
      <c r="C64" s="796">
        <f>'lokale energieproductie'!B4</f>
        <v>36265.170998942944</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15166.041306072348</v>
      </c>
      <c r="C66" s="796">
        <f>'lokale energieproductie'!B6</f>
        <v>15166.041306072348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31036.5</v>
      </c>
      <c r="C67" s="795">
        <f>B67*IFERROR(SUM(J67:L67)/SUM(D67:M67),0)</f>
        <v>29776.5</v>
      </c>
      <c r="D67" s="827">
        <f>'lokale energieproductie'!C7</f>
        <v>1482.3529411764709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35031.176470588238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299.43529411764717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82467.712305015288</v>
      </c>
      <c r="C69" s="804">
        <f>SUM(C64:C68)</f>
        <v>81207.712305015288</v>
      </c>
      <c r="D69" s="805">
        <f t="shared" ref="D69:M69" si="8">SUM(D67:D68)</f>
        <v>1482.3529411764709</v>
      </c>
      <c r="E69" s="805">
        <f t="shared" si="8"/>
        <v>0</v>
      </c>
      <c r="F69" s="805">
        <f t="shared" si="8"/>
        <v>0</v>
      </c>
      <c r="G69" s="805">
        <f t="shared" si="8"/>
        <v>0</v>
      </c>
      <c r="H69" s="805">
        <f t="shared" si="8"/>
        <v>0</v>
      </c>
      <c r="I69" s="805">
        <f t="shared" si="8"/>
        <v>0</v>
      </c>
      <c r="J69" s="805">
        <f t="shared" si="8"/>
        <v>0</v>
      </c>
      <c r="K69" s="805">
        <f t="shared" si="8"/>
        <v>35031.176470588238</v>
      </c>
      <c r="L69" s="805">
        <f t="shared" si="8"/>
        <v>0</v>
      </c>
      <c r="M69" s="931">
        <f t="shared" si="8"/>
        <v>0</v>
      </c>
      <c r="N69" s="806">
        <v>0</v>
      </c>
      <c r="O69" s="806">
        <f>SUM(O67:O68)</f>
        <v>299.43529411764717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44337.857142857145</v>
      </c>
      <c r="C78" s="818">
        <f>B78*IFERROR(SUM(I78:L78)/SUM(D78:M78),0)</f>
        <v>42537.857142857145</v>
      </c>
      <c r="D78" s="833">
        <f>'lokale energieproductie'!C16</f>
        <v>2117.6470588235302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50044.537815126052</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427.7647058823531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44337.857142857145</v>
      </c>
      <c r="C81" s="804">
        <f>SUM(C78:C80)</f>
        <v>42537.857142857145</v>
      </c>
      <c r="D81" s="804">
        <f t="shared" ref="D81:P81" si="9">SUM(D78:D80)</f>
        <v>2117.6470588235302</v>
      </c>
      <c r="E81" s="804">
        <f t="shared" si="9"/>
        <v>0</v>
      </c>
      <c r="F81" s="804">
        <f t="shared" si="9"/>
        <v>0</v>
      </c>
      <c r="G81" s="804">
        <f t="shared" si="9"/>
        <v>0</v>
      </c>
      <c r="H81" s="804">
        <f t="shared" si="9"/>
        <v>0</v>
      </c>
      <c r="I81" s="804">
        <f t="shared" si="9"/>
        <v>0</v>
      </c>
      <c r="J81" s="804">
        <f t="shared" si="9"/>
        <v>0</v>
      </c>
      <c r="K81" s="804">
        <f t="shared" si="9"/>
        <v>50044.537815126052</v>
      </c>
      <c r="L81" s="804">
        <f t="shared" si="9"/>
        <v>0</v>
      </c>
      <c r="M81" s="804">
        <f t="shared" si="9"/>
        <v>0</v>
      </c>
      <c r="N81" s="804">
        <v>0</v>
      </c>
      <c r="O81" s="804">
        <f>SUM(O78:O80)</f>
        <v>427.7647058823531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60082.167814420201</v>
      </c>
      <c r="C4" s="479">
        <f>huishoudens!C8</f>
        <v>0</v>
      </c>
      <c r="D4" s="479">
        <f>huishoudens!D8</f>
        <v>129531.13019213239</v>
      </c>
      <c r="E4" s="479">
        <f>huishoudens!E8</f>
        <v>8252.8990499885149</v>
      </c>
      <c r="F4" s="479">
        <f>huishoudens!F8</f>
        <v>16803.213309609233</v>
      </c>
      <c r="G4" s="479">
        <f>huishoudens!G8</f>
        <v>0</v>
      </c>
      <c r="H4" s="479">
        <f>huishoudens!H8</f>
        <v>0</v>
      </c>
      <c r="I4" s="479">
        <f>huishoudens!I8</f>
        <v>0</v>
      </c>
      <c r="J4" s="479">
        <f>huishoudens!J8</f>
        <v>7119.2628874703696</v>
      </c>
      <c r="K4" s="479">
        <f>huishoudens!K8</f>
        <v>0</v>
      </c>
      <c r="L4" s="479">
        <f>huishoudens!L8</f>
        <v>0</v>
      </c>
      <c r="M4" s="479">
        <f>huishoudens!M8</f>
        <v>0</v>
      </c>
      <c r="N4" s="479">
        <f>huishoudens!N8</f>
        <v>26204.728030562816</v>
      </c>
      <c r="O4" s="479">
        <f>huishoudens!O8</f>
        <v>628.46</v>
      </c>
      <c r="P4" s="480">
        <f>huishoudens!P8</f>
        <v>762.66666666666674</v>
      </c>
      <c r="Q4" s="481">
        <f>SUM(B4:P4)</f>
        <v>249384.52795085017</v>
      </c>
    </row>
    <row r="5" spans="1:17">
      <c r="A5" s="478" t="s">
        <v>156</v>
      </c>
      <c r="B5" s="479">
        <f ca="1">tertiair!B16</f>
        <v>97341.763299999991</v>
      </c>
      <c r="C5" s="479">
        <f ca="1">tertiair!C16</f>
        <v>30934.285714285714</v>
      </c>
      <c r="D5" s="479">
        <f ca="1">tertiair!D16</f>
        <v>72891.63100804342</v>
      </c>
      <c r="E5" s="479">
        <f>tertiair!E16</f>
        <v>740.9921127273584</v>
      </c>
      <c r="F5" s="479">
        <f ca="1">tertiair!F16</f>
        <v>11302.24007989484</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12.506666666666668</v>
      </c>
      <c r="P5" s="480">
        <f>tertiair!P16</f>
        <v>95.333333333333343</v>
      </c>
      <c r="Q5" s="478">
        <f t="shared" ref="Q5:Q13" ca="1" si="0">SUM(B5:P5)</f>
        <v>213318.75221495132</v>
      </c>
    </row>
    <row r="6" spans="1:17">
      <c r="A6" s="478" t="s">
        <v>194</v>
      </c>
      <c r="B6" s="479">
        <f>'openbare verlichting'!B8</f>
        <v>3283.5529999999999</v>
      </c>
      <c r="C6" s="479"/>
      <c r="D6" s="479"/>
      <c r="E6" s="479"/>
      <c r="F6" s="479"/>
      <c r="G6" s="479"/>
      <c r="H6" s="479"/>
      <c r="I6" s="479"/>
      <c r="J6" s="479"/>
      <c r="K6" s="479"/>
      <c r="L6" s="479"/>
      <c r="M6" s="479"/>
      <c r="N6" s="479"/>
      <c r="O6" s="479"/>
      <c r="P6" s="480"/>
      <c r="Q6" s="478">
        <f t="shared" si="0"/>
        <v>3283.5529999999999</v>
      </c>
    </row>
    <row r="7" spans="1:17">
      <c r="A7" s="478" t="s">
        <v>112</v>
      </c>
      <c r="B7" s="479">
        <f>landbouw!B8</f>
        <v>9287.4629999999997</v>
      </c>
      <c r="C7" s="479">
        <f>landbouw!C8</f>
        <v>13403.571428571429</v>
      </c>
      <c r="D7" s="479">
        <f>landbouw!D8</f>
        <v>6787.2170752272577</v>
      </c>
      <c r="E7" s="479">
        <f>landbouw!E8</f>
        <v>86.024372253075811</v>
      </c>
      <c r="F7" s="479">
        <f>landbouw!F8</f>
        <v>23564.062890885849</v>
      </c>
      <c r="G7" s="479">
        <f>landbouw!G8</f>
        <v>0</v>
      </c>
      <c r="H7" s="479">
        <f>landbouw!H8</f>
        <v>0</v>
      </c>
      <c r="I7" s="479">
        <f>landbouw!I8</f>
        <v>0</v>
      </c>
      <c r="J7" s="479">
        <f>landbouw!J8</f>
        <v>1423.8717262895877</v>
      </c>
      <c r="K7" s="479">
        <f>landbouw!K8</f>
        <v>0</v>
      </c>
      <c r="L7" s="479">
        <f>landbouw!L8</f>
        <v>0</v>
      </c>
      <c r="M7" s="479">
        <f>landbouw!M8</f>
        <v>0</v>
      </c>
      <c r="N7" s="479">
        <f>landbouw!N8</f>
        <v>0</v>
      </c>
      <c r="O7" s="479">
        <f>landbouw!O8</f>
        <v>0</v>
      </c>
      <c r="P7" s="480">
        <f>landbouw!P8</f>
        <v>0</v>
      </c>
      <c r="Q7" s="478">
        <f t="shared" si="0"/>
        <v>54552.210493227198</v>
      </c>
    </row>
    <row r="8" spans="1:17">
      <c r="A8" s="478" t="s">
        <v>650</v>
      </c>
      <c r="B8" s="479">
        <f>industrie!B18</f>
        <v>183524.76939</v>
      </c>
      <c r="C8" s="479">
        <f>industrie!C18</f>
        <v>0</v>
      </c>
      <c r="D8" s="479">
        <f>industrie!D18</f>
        <v>252017.75190531567</v>
      </c>
      <c r="E8" s="479">
        <f>industrie!E18</f>
        <v>11629.138865701148</v>
      </c>
      <c r="F8" s="479">
        <f>industrie!F18</f>
        <v>57330.68244027318</v>
      </c>
      <c r="G8" s="479">
        <f>industrie!G18</f>
        <v>0</v>
      </c>
      <c r="H8" s="479">
        <f>industrie!H18</f>
        <v>0</v>
      </c>
      <c r="I8" s="479">
        <f>industrie!I18</f>
        <v>0</v>
      </c>
      <c r="J8" s="479">
        <f>industrie!J18</f>
        <v>719.19982664313375</v>
      </c>
      <c r="K8" s="479">
        <f>industrie!K18</f>
        <v>0</v>
      </c>
      <c r="L8" s="479">
        <f>industrie!L18</f>
        <v>0</v>
      </c>
      <c r="M8" s="479">
        <f>industrie!M18</f>
        <v>0</v>
      </c>
      <c r="N8" s="479">
        <f>industrie!N18</f>
        <v>34558.28162094955</v>
      </c>
      <c r="O8" s="479">
        <f>industrie!O18</f>
        <v>0</v>
      </c>
      <c r="P8" s="480">
        <f>industrie!P18</f>
        <v>0</v>
      </c>
      <c r="Q8" s="478">
        <f t="shared" si="0"/>
        <v>539779.8240488827</v>
      </c>
    </row>
    <row r="9" spans="1:17" s="484" customFormat="1">
      <c r="A9" s="482" t="s">
        <v>571</v>
      </c>
      <c r="B9" s="483">
        <f>transport!B14</f>
        <v>31.158964384041543</v>
      </c>
      <c r="C9" s="483"/>
      <c r="D9" s="483">
        <f>transport!D14</f>
        <v>81.668500482569172</v>
      </c>
      <c r="E9" s="483">
        <f>transport!E14</f>
        <v>525.25349056528478</v>
      </c>
      <c r="F9" s="483"/>
      <c r="G9" s="483">
        <f>transport!G14</f>
        <v>180088.40123269477</v>
      </c>
      <c r="H9" s="483">
        <f>transport!H14</f>
        <v>30934.102261688269</v>
      </c>
      <c r="I9" s="483"/>
      <c r="J9" s="483"/>
      <c r="K9" s="483"/>
      <c r="L9" s="483"/>
      <c r="M9" s="483">
        <f>transport!M14</f>
        <v>11369.55577767728</v>
      </c>
      <c r="N9" s="483"/>
      <c r="O9" s="483"/>
      <c r="P9" s="483"/>
      <c r="Q9" s="482">
        <f>SUM(B9:P9)</f>
        <v>223030.1402274922</v>
      </c>
    </row>
    <row r="10" spans="1:17">
      <c r="A10" s="478" t="s">
        <v>561</v>
      </c>
      <c r="B10" s="479">
        <f>transport!B54</f>
        <v>0</v>
      </c>
      <c r="C10" s="479"/>
      <c r="D10" s="479">
        <f>transport!D54</f>
        <v>0</v>
      </c>
      <c r="E10" s="479"/>
      <c r="F10" s="479"/>
      <c r="G10" s="479">
        <f>transport!G54</f>
        <v>3462.4218164604563</v>
      </c>
      <c r="H10" s="479"/>
      <c r="I10" s="479"/>
      <c r="J10" s="479"/>
      <c r="K10" s="479"/>
      <c r="L10" s="479"/>
      <c r="M10" s="479">
        <f>transport!M54</f>
        <v>197.45182268789623</v>
      </c>
      <c r="N10" s="479"/>
      <c r="O10" s="479"/>
      <c r="P10" s="480"/>
      <c r="Q10" s="478">
        <f t="shared" si="0"/>
        <v>3659.8736391483526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353550.87546880421</v>
      </c>
      <c r="C14" s="489">
        <f t="shared" ref="C14:Q14" ca="1" si="1">SUM(C4:C13)</f>
        <v>44337.857142857145</v>
      </c>
      <c r="D14" s="489">
        <f t="shared" ca="1" si="1"/>
        <v>461309.39868120127</v>
      </c>
      <c r="E14" s="489">
        <f t="shared" si="1"/>
        <v>21234.307891235385</v>
      </c>
      <c r="F14" s="489">
        <f t="shared" ca="1" si="1"/>
        <v>109000.1987206631</v>
      </c>
      <c r="G14" s="489">
        <f t="shared" si="1"/>
        <v>183550.82304915524</v>
      </c>
      <c r="H14" s="489">
        <f t="shared" si="1"/>
        <v>30934.102261688269</v>
      </c>
      <c r="I14" s="489">
        <f t="shared" si="1"/>
        <v>0</v>
      </c>
      <c r="J14" s="489">
        <f t="shared" si="1"/>
        <v>9262.3344404030904</v>
      </c>
      <c r="K14" s="489">
        <f t="shared" si="1"/>
        <v>0</v>
      </c>
      <c r="L14" s="489">
        <f t="shared" ca="1" si="1"/>
        <v>0</v>
      </c>
      <c r="M14" s="489">
        <f t="shared" si="1"/>
        <v>11567.007600365176</v>
      </c>
      <c r="N14" s="489">
        <f t="shared" ca="1" si="1"/>
        <v>60763.009651512366</v>
      </c>
      <c r="O14" s="489">
        <f t="shared" si="1"/>
        <v>640.9666666666667</v>
      </c>
      <c r="P14" s="490">
        <f t="shared" si="1"/>
        <v>858.00000000000011</v>
      </c>
      <c r="Q14" s="490">
        <f t="shared" ca="1" si="1"/>
        <v>1287008.881574552</v>
      </c>
    </row>
    <row r="16" spans="1:17">
      <c r="A16" s="492" t="s">
        <v>566</v>
      </c>
      <c r="B16" s="842">
        <f ca="1">huishoudens!B10</f>
        <v>0.17029745513564021</v>
      </c>
      <c r="C16" s="842">
        <f ca="1">huishoudens!C10</f>
        <v>9.6478434784092008E-3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10231.840277828231</v>
      </c>
      <c r="C21" s="479">
        <f t="shared" ref="C21:C28" ca="1" si="3">C4*$C$16</f>
        <v>0</v>
      </c>
      <c r="D21" s="479">
        <f t="shared" ref="D21:D30" si="4">D4*$D$16</f>
        <v>26165.288298810745</v>
      </c>
      <c r="E21" s="479">
        <f t="shared" ref="E21:E30" si="5">E4*$E$16</f>
        <v>1873.408084347393</v>
      </c>
      <c r="F21" s="479">
        <f t="shared" ref="F21:F28" si="6">F4*$F$16</f>
        <v>4486.4579536656656</v>
      </c>
      <c r="G21" s="479">
        <f t="shared" ref="G21:G30" si="7">G4*$G$16</f>
        <v>0</v>
      </c>
      <c r="H21" s="479">
        <f t="shared" ref="H21:H30" si="8">H4*$H$16</f>
        <v>0</v>
      </c>
      <c r="I21" s="479">
        <f t="shared" ref="I21:I28" si="9">I4*$I$16</f>
        <v>0</v>
      </c>
      <c r="J21" s="479">
        <f t="shared" ref="J21:J28" si="10">J4*$J$16</f>
        <v>2520.2190621645109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45277.213676816551</v>
      </c>
    </row>
    <row r="22" spans="1:17">
      <c r="A22" s="478" t="s">
        <v>156</v>
      </c>
      <c r="B22" s="479">
        <f t="shared" ca="1" si="2"/>
        <v>16577.054568405856</v>
      </c>
      <c r="C22" s="479">
        <f t="shared" ca="1" si="3"/>
        <v>298.44914668781831</v>
      </c>
      <c r="D22" s="479">
        <f t="shared" ca="1" si="4"/>
        <v>14724.109463624771</v>
      </c>
      <c r="E22" s="479">
        <f t="shared" si="5"/>
        <v>168.20520958911035</v>
      </c>
      <c r="F22" s="479">
        <f t="shared" ca="1" si="6"/>
        <v>3017.6981013319223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34785.516489639471</v>
      </c>
    </row>
    <row r="23" spans="1:17">
      <c r="A23" s="478" t="s">
        <v>194</v>
      </c>
      <c r="B23" s="479">
        <f t="shared" ca="1" si="2"/>
        <v>559.18071970299684</v>
      </c>
      <c r="C23" s="479"/>
      <c r="D23" s="479"/>
      <c r="E23" s="479"/>
      <c r="F23" s="479"/>
      <c r="G23" s="479"/>
      <c r="H23" s="479"/>
      <c r="I23" s="479"/>
      <c r="J23" s="479"/>
      <c r="K23" s="479"/>
      <c r="L23" s="479"/>
      <c r="M23" s="479"/>
      <c r="N23" s="479"/>
      <c r="O23" s="479"/>
      <c r="P23" s="480"/>
      <c r="Q23" s="478">
        <f t="shared" ca="1" si="17"/>
        <v>559.18071970299684</v>
      </c>
    </row>
    <row r="24" spans="1:17">
      <c r="A24" s="478" t="s">
        <v>112</v>
      </c>
      <c r="B24" s="479">
        <f t="shared" ca="1" si="2"/>
        <v>1581.6313135664184</v>
      </c>
      <c r="C24" s="479">
        <f t="shared" ca="1" si="3"/>
        <v>129.31555919453476</v>
      </c>
      <c r="D24" s="479">
        <f t="shared" si="4"/>
        <v>1371.0178491959061</v>
      </c>
      <c r="E24" s="479">
        <f t="shared" si="5"/>
        <v>19.52753250144821</v>
      </c>
      <c r="F24" s="479">
        <f t="shared" si="6"/>
        <v>6291.6047918665217</v>
      </c>
      <c r="G24" s="479">
        <f t="shared" si="7"/>
        <v>0</v>
      </c>
      <c r="H24" s="479">
        <f t="shared" si="8"/>
        <v>0</v>
      </c>
      <c r="I24" s="479">
        <f t="shared" si="9"/>
        <v>0</v>
      </c>
      <c r="J24" s="479">
        <f t="shared" si="10"/>
        <v>504.05059110651405</v>
      </c>
      <c r="K24" s="479">
        <f t="shared" si="11"/>
        <v>0</v>
      </c>
      <c r="L24" s="479">
        <f t="shared" si="12"/>
        <v>0</v>
      </c>
      <c r="M24" s="479">
        <f t="shared" si="13"/>
        <v>0</v>
      </c>
      <c r="N24" s="479">
        <f t="shared" si="14"/>
        <v>0</v>
      </c>
      <c r="O24" s="479">
        <f t="shared" si="15"/>
        <v>0</v>
      </c>
      <c r="P24" s="480">
        <f t="shared" si="16"/>
        <v>0</v>
      </c>
      <c r="Q24" s="478">
        <f t="shared" ca="1" si="17"/>
        <v>9897.1476374313424</v>
      </c>
    </row>
    <row r="25" spans="1:17">
      <c r="A25" s="478" t="s">
        <v>650</v>
      </c>
      <c r="B25" s="479">
        <f t="shared" ca="1" si="2"/>
        <v>31253.801181472241</v>
      </c>
      <c r="C25" s="479">
        <f t="shared" ca="1" si="3"/>
        <v>0</v>
      </c>
      <c r="D25" s="479">
        <f t="shared" si="4"/>
        <v>50907.58588487377</v>
      </c>
      <c r="E25" s="479">
        <f t="shared" si="5"/>
        <v>2639.8145225141607</v>
      </c>
      <c r="F25" s="479">
        <f t="shared" si="6"/>
        <v>15307.29221155294</v>
      </c>
      <c r="G25" s="479">
        <f t="shared" si="7"/>
        <v>0</v>
      </c>
      <c r="H25" s="479">
        <f t="shared" si="8"/>
        <v>0</v>
      </c>
      <c r="I25" s="479">
        <f t="shared" si="9"/>
        <v>0</v>
      </c>
      <c r="J25" s="479">
        <f t="shared" si="10"/>
        <v>254.59673863166933</v>
      </c>
      <c r="K25" s="479">
        <f t="shared" si="11"/>
        <v>0</v>
      </c>
      <c r="L25" s="479">
        <f t="shared" si="12"/>
        <v>0</v>
      </c>
      <c r="M25" s="479">
        <f t="shared" si="13"/>
        <v>0</v>
      </c>
      <c r="N25" s="479">
        <f t="shared" si="14"/>
        <v>0</v>
      </c>
      <c r="O25" s="479">
        <f t="shared" si="15"/>
        <v>0</v>
      </c>
      <c r="P25" s="480">
        <f t="shared" si="16"/>
        <v>0</v>
      </c>
      <c r="Q25" s="478">
        <f t="shared" ca="1" si="17"/>
        <v>100363.09053904477</v>
      </c>
    </row>
    <row r="26" spans="1:17" s="484" customFormat="1">
      <c r="A26" s="482" t="s">
        <v>571</v>
      </c>
      <c r="B26" s="836">
        <f t="shared" ca="1" si="2"/>
        <v>5.306292339264326</v>
      </c>
      <c r="C26" s="483"/>
      <c r="D26" s="483">
        <f t="shared" si="4"/>
        <v>16.497037097478973</v>
      </c>
      <c r="E26" s="483">
        <f t="shared" si="5"/>
        <v>119.23254235831965</v>
      </c>
      <c r="F26" s="483"/>
      <c r="G26" s="483">
        <f t="shared" si="7"/>
        <v>48083.603129129508</v>
      </c>
      <c r="H26" s="483">
        <f t="shared" si="8"/>
        <v>7702.5914631603791</v>
      </c>
      <c r="I26" s="483"/>
      <c r="J26" s="483"/>
      <c r="K26" s="483"/>
      <c r="L26" s="483"/>
      <c r="M26" s="483">
        <f t="shared" si="13"/>
        <v>0</v>
      </c>
      <c r="N26" s="483"/>
      <c r="O26" s="483"/>
      <c r="P26" s="494"/>
      <c r="Q26" s="482">
        <f t="shared" ca="1" si="17"/>
        <v>55927.230464084954</v>
      </c>
    </row>
    <row r="27" spans="1:17">
      <c r="A27" s="478" t="s">
        <v>561</v>
      </c>
      <c r="B27" s="479">
        <f t="shared" ca="1" si="2"/>
        <v>0</v>
      </c>
      <c r="C27" s="479"/>
      <c r="D27" s="483">
        <f t="shared" si="4"/>
        <v>0</v>
      </c>
      <c r="E27" s="479"/>
      <c r="F27" s="479"/>
      <c r="G27" s="479">
        <f t="shared" si="7"/>
        <v>924.46662499494187</v>
      </c>
      <c r="H27" s="479"/>
      <c r="I27" s="479"/>
      <c r="J27" s="479"/>
      <c r="K27" s="479"/>
      <c r="L27" s="479"/>
      <c r="M27" s="479">
        <f t="shared" si="13"/>
        <v>0</v>
      </c>
      <c r="N27" s="479"/>
      <c r="O27" s="479"/>
      <c r="P27" s="480"/>
      <c r="Q27" s="478">
        <f t="shared" ca="1" si="17"/>
        <v>924.46662499494187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60208.814353315007</v>
      </c>
      <c r="C31" s="489">
        <f t="shared" ca="1" si="18"/>
        <v>427.76470588235304</v>
      </c>
      <c r="D31" s="489">
        <f t="shared" ca="1" si="18"/>
        <v>93184.498533602673</v>
      </c>
      <c r="E31" s="489">
        <f t="shared" si="18"/>
        <v>4820.187891310432</v>
      </c>
      <c r="F31" s="489">
        <f t="shared" ca="1" si="18"/>
        <v>29103.053058417048</v>
      </c>
      <c r="G31" s="489">
        <f t="shared" si="18"/>
        <v>49008.069754124452</v>
      </c>
      <c r="H31" s="489">
        <f t="shared" si="18"/>
        <v>7702.5914631603791</v>
      </c>
      <c r="I31" s="489">
        <f t="shared" si="18"/>
        <v>0</v>
      </c>
      <c r="J31" s="489">
        <f t="shared" si="18"/>
        <v>3278.8663919026944</v>
      </c>
      <c r="K31" s="489">
        <f t="shared" si="18"/>
        <v>0</v>
      </c>
      <c r="L31" s="489">
        <f t="shared" ca="1" si="18"/>
        <v>0</v>
      </c>
      <c r="M31" s="489">
        <f t="shared" si="18"/>
        <v>0</v>
      </c>
      <c r="N31" s="489">
        <f t="shared" ca="1" si="18"/>
        <v>0</v>
      </c>
      <c r="O31" s="489">
        <f t="shared" si="18"/>
        <v>0</v>
      </c>
      <c r="P31" s="490">
        <f t="shared" si="18"/>
        <v>0</v>
      </c>
      <c r="Q31" s="490">
        <f t="shared" ca="1" si="18"/>
        <v>247733.84615171503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0.17029745513564021</v>
      </c>
      <c r="C17" s="529">
        <f ca="1">'EF ele_warmte'!B22</f>
        <v>9.6478434784092008E-3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0.17029745513564021</v>
      </c>
      <c r="C17" s="529">
        <f ca="1">'EF ele_warmte'!B22</f>
        <v>9.6478434784092008E-3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0.17029745513564021</v>
      </c>
      <c r="C29" s="530">
        <f ca="1">'EF ele_warmte'!B22</f>
        <v>9.6478434784092008E-3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2019-01-01T21:32:14Z</dcterms:modified>
</cp:coreProperties>
</file>