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N55" i="14" l="1"/>
  <c r="F13"/>
  <c r="F15" s="1"/>
  <c r="F23" s="1"/>
  <c r="F55" s="1"/>
  <c r="K13"/>
  <c r="E8" i="48"/>
  <c r="E25" s="1"/>
  <c r="E31" s="1"/>
  <c r="J8"/>
  <c r="J25" s="1"/>
  <c r="N25"/>
  <c r="N14"/>
  <c r="N31"/>
  <c r="K41" i="14"/>
  <c r="K53" s="1"/>
  <c r="K55" s="1"/>
  <c r="E14" i="48"/>
  <c r="K15" i="14"/>
  <c r="K23" s="1"/>
  <c r="H55"/>
  <c r="E55"/>
  <c r="C78"/>
  <c r="C81" s="1"/>
  <c r="J31" i="48"/>
  <c r="Q8"/>
  <c r="Q14" s="1"/>
  <c r="R19" i="14"/>
  <c r="R20" s="1"/>
  <c r="H14" i="48"/>
  <c r="G31"/>
  <c r="H26"/>
  <c r="H31" s="1"/>
  <c r="O53" i="14"/>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<sst xmlns="http://schemas.openxmlformats.org/spreadsheetml/2006/main" count="2137" uniqueCount="871">
  <si>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</si>
  <si>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</si>
  <si>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</si>
  <si>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</si>
  <si>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</si>
  <si>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</si>
  <si>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</si>
  <si>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</si>
  <si>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</si>
  <si>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</si>
  <si>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</si>
  <si>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</si>
  <si>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</si>
  <si>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</si>
  <si>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</si>
  <si>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</si>
  <si>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</si>
  <si>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</si>
  <si>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</si>
  <si>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</si>
  <si>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</si>
  <si>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</si>
  <si>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</si>
  <si>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</si>
  <si>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</si>
  <si>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</si>
  <si>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</si>
  <si>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</si>
  <si>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</si>
  <si>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</si>
  <si>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</si>
  <si>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</si>
  <si>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</si>
  <si>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</si>
  <si>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</si>
  <si>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</si>
  <si>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</si>
  <si>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</si>
  <si>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</si>
  <si>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</si>
  <si>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</si>
  <si>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</si>
  <si>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</si>
  <si>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</si>
  <si>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</si>
  <si>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</si>
  <si>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</si>
  <si>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</si>
  <si>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</si>
  <si>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</si>
  <si>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</si>
  <si>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</si>
  <si>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</si>
  <si>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</si>
  <si>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</si>
  <si>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</si>
  <si>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</si>
  <si>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</si>
  <si>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</si>
  <si>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</si>
  <si>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</si>
  <si>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</si>
  <si>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</si>
  <si>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</si>
  <si>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</si>
  <si>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</si>
  <si>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</si>
  <si>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</si>
  <si>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</si>
  <si>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</si>
  <si>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</si>
  <si>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</si>
  <si>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</si>
  <si>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</si>
  <si>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</si>
  <si>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</si>
  <si>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</si>
  <si>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</si>
  <si>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</si>
  <si>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</si>
  <si>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</si>
  <si>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</si>
  <si>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</si>
  <si>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</si>
  <si>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</si>
  <si>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</si>
  <si>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</si>
  <si>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</si>
  <si>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</si>
  <si>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</si>
  <si>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</si>
  <si>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</si>
  <si>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</si>
  <si>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</si>
  <si>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</si>
  <si>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</si>
  <si>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</si>
  <si>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</si>
  <si>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</si>
  <si>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</si>
  <si>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</si>
  <si>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</si>
  <si>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</si>
  <si>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</si>
  <si>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</si>
  <si>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</si>
  <si>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</si>
  <si>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</si>
  <si>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</si>
  <si>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</si>
  <si>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</si>
  <si>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</si>
  <si>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</si>
  <si>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</si>
  <si>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</si>
  <si>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</si>
  <si>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</si>
  <si>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</si>
  <si>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</si>
  <si>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</si>
  <si>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</si>
  <si>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</si>
  <si>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</si>
  <si>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</si>
  <si>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</si>
  <si>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</si>
  <si>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</si>
  <si>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</si>
  <si>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</si>
  <si>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</si>
  <si>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</si>
  <si>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</si>
  <si>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</si>
  <si>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</si>
  <si>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</si>
  <si>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</si>
  <si>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</si>
  <si>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</si>
  <si>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</si>
  <si>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</si>
  <si>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</si>
  <si>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</si>
  <si>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</si>
  <si>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</si>
  <si>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</si>
  <si>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</si>
  <si>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</si>
  <si>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</si>
  <si>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</si>
  <si>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</si>
  <si>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</si>
  <si>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</si>
  <si>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</si>
  <si>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</si>
  <si>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</si>
  <si>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</si>
  <si>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</si>
  <si>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</si>
  <si>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</si>
  <si>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</si>
  <si>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</si>
  <si>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</si>
  <si>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</si>
  <si>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</si>
  <si>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</si>
  <si>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</si>
  <si>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</si>
  <si>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</si>
  <si>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</si>
  <si>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</si>
  <si>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</si>
  <si>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</si>
  <si>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</si>
  <si>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</si>
  <si>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</si>
  <si>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</si>
  <si>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</si>
  <si>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</si>
  <si>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</si>
  <si>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</si>
  <si>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</si>
  <si>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</si>
  <si>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</si>
  <si>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</si>
  <si>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</si>
  <si>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</si>
  <si>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</si>
  <si>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</si>
  <si>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</si>
  <si>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</si>
  <si>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</si>
  <si>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</si>
  <si>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</si>
  <si>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</si>
  <si>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</si>
  <si>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</si>
  <si>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</si>
  <si>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</si>
  <si>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</si>
  <si>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</si>
  <si>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</si>
  <si>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</si>
  <si>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</si>
  <si>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</si>
  <si>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</si>
  <si>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</si>
  <si>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</si>
  <si>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</si>
  <si>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</si>
  <si>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</si>
  <si>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</si>
  <si>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</si>
  <si>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</si>
  <si>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</si>
  <si>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</si>
  <si>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</si>
  <si>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</si>
  <si>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</si>
  <si>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</si>
  <si>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</si>
  <si>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</si>
  <si>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</si>
  <si>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</si>
  <si>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</si>
  <si>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</si>
  <si>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</si>
  <si>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</si>
  <si>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</si>
  <si>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</si>
  <si>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</si>
  <si>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</si>
  <si>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</si>
  <si>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</si>
  <si>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</si>
  <si>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</si>
  <si>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</si>
  <si>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</si>
  <si>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</si>
  <si>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</si>
  <si>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</si>
  <si>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</si>
  <si>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</si>
  <si>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</si>
  <si>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</si>
  <si>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</si>
  <si>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</si>
  <si>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</si>
  <si>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</si>
  <si>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</si>
  <si>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</si>
  <si>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</si>
  <si>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</si>
  <si>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</si>
  <si>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</si>
  <si>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</si>
  <si>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</si>
  <si>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</si>
  <si>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</si>
  <si>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</si>
  <si>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</si>
  <si>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</si>
  <si>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</si>
  <si>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</si>
  <si>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</si>
  <si>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</si>
  <si>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</si>
  <si>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</si>
  <si>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</si>
  <si>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</si>
  <si>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</si>
  <si>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</si>
  <si>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</si>
  <si>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</si>
  <si>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</si>
  <si>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</si>
  <si>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</si>
  <si>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</si>
  <si>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</si>
  <si>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</si>
  <si>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</si>
  <si>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</si>
  <si>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</si>
  <si>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</si>
  <si>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</si>
  <si>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</si>
  <si>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</si>
  <si>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</si>
  <si>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</si>
  <si>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</si>
  <si>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</si>
  <si>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</si>
  <si>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</si>
  <si>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</si>
  <si>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</si>
  <si>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</si>
  <si>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</si>
  <si>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</si>
  <si>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</si>
  <si>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</si>
  <si>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</si>
  <si>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</si>
  <si>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</si>
  <si>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</si>
  <si>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</si>
  <si>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</si>
  <si>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</si>
  <si>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</si>
  <si>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</si>
  <si>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</si>
  <si>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</si>
  <si>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</si>
  <si>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</si>
  <si>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</si>
  <si>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</si>
  <si>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</si>
  <si>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</si>
  <si>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</si>
  <si>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</si>
  <si>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</si>
  <si>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</si>
  <si>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</si>
  <si>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</si>
  <si>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</si>
  <si>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</si>
  <si>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</si>
  <si>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</si>
  <si>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</si>
  <si>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</si>
  <si>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</si>
  <si>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</si>
  <si>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</si>
  <si>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</si>
  <si>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</si>
  <si>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</si>
  <si>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</si>
  <si>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</si>
  <si>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</si>
  <si>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</si>
  <si>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</si>
  <si>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</si>
  <si>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</si>
  <si>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</si>
  <si>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</si>
  <si>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</si>
  <si>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</si>
  <si>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</si>
  <si>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</si>
  <si>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</si>
  <si>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</si>
  <si>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</si>
  <si>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</si>
  <si>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</si>
  <si>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</si>
  <si>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</si>
  <si>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</si>
  <si>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</si>
  <si>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</si>
  <si>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</si>
  <si>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</si>
  <si>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</si>
  <si>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</si>
  <si>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</si>
  <si>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</si>
  <si>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</si>
  <si>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</si>
  <si>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</si>
  <si>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</si>
  <si>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</si>
  <si>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</si>
  <si>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</si>
  <si>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</si>
  <si>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</si>
  <si>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</si>
  <si>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</si>
  <si>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</si>
  <si>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</si>
  <si>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</si>
  <si>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</si>
  <si>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</si>
  <si>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</si>
  <si>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</si>
  <si>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</si>
  <si>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</si>
  <si>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</si>
  <si>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</si>
  <si>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</si>
  <si>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</si>
  <si>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</si>
  <si>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</si>
  <si>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</si>
  <si>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</si>
  <si>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</si>
  <si>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</si>
  <si>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</si>
  <si>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</si>
  <si>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</si>
  <si>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</si>
  <si>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</si>
  <si>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</si>
  <si>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</si>
  <si>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</si>
  <si>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</si>
  <si>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</si>
  <si>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</si>
  <si>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</si>
  <si>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</si>
  <si>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</si>
  <si>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</si>
  <si>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</si>
  <si>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</si>
  <si>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</si>
  <si>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</si>
  <si>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</si>
  <si>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</si>
  <si>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</si>
  <si>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</si>
  <si>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</si>
  <si>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</si>
  <si>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</si>
  <si>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</si>
  <si>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</si>
  <si>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</si>
  <si>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</si>
  <si>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</si>
  <si>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</si>
  <si>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</si>
  <si>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</si>
  <si>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</si>
  <si>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</si>
  <si>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</si>
  <si>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</si>
  <si>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</si>
  <si>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</si>
  <si>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</si>
  <si>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</si>
  <si>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</si>
  <si>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</si>
  <si>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</si>
  <si>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</si>
  <si>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</si>
  <si>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</si>
  <si>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</si>
  <si>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</si>
  <si>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</si>
  <si>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</si>
  <si>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</si>
  <si>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</si>
  <si>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</si>
  <si>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</si>
  <si>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</si>
  <si>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</si>
  <si>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</si>
  <si>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</si>
  <si>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</si>
  <si>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</si>
  <si>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</si>
  <si>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</si>
  <si>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</si>
  <si>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</si>
  <si>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</si>
  <si>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</si>
  <si>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</si>
  <si>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</si>
  <si>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</si>
  <si>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</si>
  <si>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</si>
  <si>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</si>
  <si>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</si>
  <si>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</si>
  <si>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</si>
  <si>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</si>
  <si>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</si>
  <si>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</si>
  <si>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</si>
  <si>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</si>
  <si>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</si>
  <si>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</si>
  <si>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</si>
  <si>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</si>
  <si>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</si>
  <si>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</si>
  <si>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</si>
  <si>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</si>
  <si>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</si>
  <si>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</si>
  <si>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</si>
  <si>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</si>
  <si>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</si>
  <si>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</si>
  <si>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</si>
  <si>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</si>
  <si>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</si>
  <si>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</si>
  <si>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</si>
  <si>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</si>
  <si>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</si>
  <si>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</si>
  <si>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</si>
  <si>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</si>
  <si>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</si>
  <si>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</si>
  <si>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</si>
  <si>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</si>
  <si>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</si>
  <si>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</si>
  <si>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</si>
  <si>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</si>
  <si>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</si>
  <si>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</si>
  <si>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</si>
  <si>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</si>
  <si>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</si>
  <si>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</si>
  <si>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</si>
  <si>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</si>
  <si>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</si>
  <si>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</si>
  <si>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</si>
  <si>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</si>
  <si>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</si>
  <si>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</si>
  <si>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</si>
  <si>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</si>
  <si>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</si>
  <si>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</si>
  <si>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</si>
  <si>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</si>
  <si>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</si>
  <si>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</si>
  <si>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</si>
  <si>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</si>
  <si>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</si>
  <si>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</si>
  <si>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</si>
  <si>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</si>
  <si>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</si>
  <si>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</si>
  <si>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</si>
  <si>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</si>
  <si>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</si>
  <si>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</si>
  <si>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</si>
  <si>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</si>
  <si>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</si>
  <si>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</si>
  <si>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</si>
  <si>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</si>
  <si>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</si>
  <si>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</si>
  <si>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</si>
  <si>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</si>
  <si>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</si>
  <si>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</si>
  <si>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</si>
  <si>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</si>
  <si>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</si>
  <si>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</si>
  <si>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</si>
  <si>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</si>
  <si>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</si>
  <si>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</si>
  <si>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</si>
  <si>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</si>
  <si>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</si>
  <si>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</si>
  <si>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</si>
  <si>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</si>
  <si>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</si>
  <si>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</si>
  <si>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</si>
  <si>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</si>
  <si>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</si>
  <si>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</si>
  <si>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</si>
  <si>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</si>
  <si>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</si>
  <si>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</si>
  <si>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</si>
  <si>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</si>
  <si>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</si>
  <si>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</si>
  <si>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</si>
  <si>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</si>
  <si>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</si>
  <si>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</si>
  <si>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</si>
  <si>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</si>
  <si>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</si>
  <si>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</si>
  <si>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</si>
  <si>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</si>
  <si>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</si>
  <si>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</si>
  <si>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</si>
  <si>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</si>
  <si>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</si>
  <si>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</si>
  <si>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</si>
  <si>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</si>
  <si>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</si>
  <si>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</si>
  <si>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</si>
  <si>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</si>
  <si>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</si>
  <si>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</si>
  <si>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</si>
  <si>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</si>
  <si>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</si>
  <si>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</si>
  <si>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</si>
  <si>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</si>
  <si>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</si>
  <si>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</si>
  <si>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</si>
  <si>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</si>
  <si>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</si>
  <si>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</si>
  <si>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</si>
  <si>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</si>
  <si>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</si>
  <si>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</si>
  <si>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</si>
  <si>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</si>
  <si>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</si>
  <si>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</si>
  <si>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</si>
  <si>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</si>
  <si>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</si>
  <si>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</si>
  <si>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</si>
  <si>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</si>
  <si>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</si>
  <si>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</si>
  <si>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</si>
  <si>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</si>
  <si>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</si>
  <si>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</si>
  <si>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</si>
  <si>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</si>
  <si>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</si>
  <si>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</si>
  <si>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</si>
  <si>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</si>
  <si>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</si>
  <si>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</si>
  <si>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</si>
  <si>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</si>
  <si>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</si>
  <si>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</si>
  <si>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</si>
  <si>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</si>
  <si>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</si>
  <si>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</si>
  <si>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</si>
  <si>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</si>
  <si>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</si>
  <si>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</si>
  <si>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</si>
  <si>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</si>
  <si>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</si>
  <si>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</si>
  <si>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</si>
  <si>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</si>
  <si>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</si>
  <si>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</si>
  <si>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</si>
  <si>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</si>
  <si>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</si>
  <si>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</si>
  <si>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</si>
  <si>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</si>
  <si>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</si>
  <si>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</si>
  <si>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</si>
  <si>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</si>
  <si>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</si>
  <si>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</si>
  <si>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</si>
  <si>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</si>
  <si>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</si>
  <si>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</si>
  <si>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</si>
  <si>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</si>
  <si>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</si>
  <si>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</si>
  <si>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</si>
  <si>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</si>
  <si>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</si>
  <si>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</si>
  <si>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</si>
  <si>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</si>
  <si>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</si>
  <si>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</si>
  <si>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</si>
  <si>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</si>
  <si>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</si>
  <si>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</si>
  <si>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</si>
  <si>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</si>
  <si>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</si>
  <si>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</si>
  <si>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</si>
  <si>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</si>
  <si>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</si>
  <si>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</si>
  <si>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</si>
  <si>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</si>
  <si>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</si>
  <si>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</si>
  <si>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</si>
  <si>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</si>
  <si>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</si>
  <si>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</si>
  <si>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</si>
  <si>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</si>
  <si>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</si>
  <si>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</si>
  <si>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</si>
  <si>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</si>
  <si>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</si>
  <si>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</si>
  <si>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</si>
  <si>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</si>
  <si>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</si>
  <si>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</si>
  <si>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</si>
  <si>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</si>
  <si>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</si>
  <si>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</si>
  <si>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</si>
  <si>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</si>
  <si>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</si>
  <si>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</si>
  <si>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</si>
  <si>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</si>
  <si>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</si>
  <si>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</si>
  <si>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</si>
  <si>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</si>
  <si>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</si>
  <si>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</si>
  <si>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</si>
  <si>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</si>
  <si>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</si>
  <si>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</si>
  <si>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</si>
  <si>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</si>
  <si>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</si>
  <si>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</si>
  <si>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</si>
  <si>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</si>
  <si>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</si>
  <si>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</si>
  <si>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</si>
  <si>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</si>
  <si>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</si>
  <si>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</si>
  <si>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</si>
  <si>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</si>
  <si>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</si>
  <si>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</si>
  <si>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</si>
  <si>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</si>
  <si>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</si>
  <si>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</si>
  <si>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</si>
  <si>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</si>
  <si>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</si>
  <si>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</si>
  <si>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</si>
  <si>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</si>
  <si>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</si>
  <si>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</si>
  <si>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</si>
  <si>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</si>
  <si>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</si>
  <si>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</si>
  <si>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</si>
  <si>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</si>
  <si>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</si>
  <si>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</si>
  <si>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</si>
  <si>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</si>
  <si>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</si>
  <si>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</si>
  <si>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</si>
  <si>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</si>
  <si>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</si>
  <si>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</si>
  <si>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</si>
  <si>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</si>
  <si>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</si>
  <si>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</si>
  <si>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</si>
  <si>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</si>
  <si>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</si>
  <si>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</si>
  <si>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</si>
  <si>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</si>
  <si>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</si>
  <si>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</si>
  <si>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</si>
  <si>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</si>
  <si>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</si>
  <si>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</si>
  <si>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</si>
  <si>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</si>
  <si>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</si>
  <si>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</si>
  <si>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</si>
  <si>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</si>
  <si>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</si>
  <si>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</si>
  <si>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</si>
  <si>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</si>
  <si>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</si>
  <si>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</si>
  <si>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</si>
  <si>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</si>
  <si>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</si>
  <si>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</si>
  <si>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</si>
  <si>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</si>
  <si>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</si>
  <si>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</si>
  <si>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</si>
  <si>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</si>
  <si>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</si>
  <si>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</si>
  <si>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</si>
  <si>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</si>
  <si>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</si>
  <si>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</si>
  <si>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</si>
  <si>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</si>
  <si>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</si>
  <si>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</si>
  <si>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</si>
  <si>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</si>
  <si>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</si>
  <si>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</si>
  <si>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</si>
  <si>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</si>
  <si>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</si>
  <si>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</si>
  <si>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</si>
  <si>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</si>
  <si>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</si>
  <si>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</si>
  <si>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</si>
  <si>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</si>
  <si>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</si>
  <si>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</si>
  <si>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</si>
  <si>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</si>
  <si>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</si>
  <si>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</si>
  <si>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</si>
  <si>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</si>
  <si>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</si>
  <si>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</si>
  <si>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</si>
  <si>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</si>
  <si>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31043</t>
  </si>
  <si>
    <t>KNOKKE-HEIST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</si>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</sst>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274881.77977862576</c:v>
                </c:pt>
                <c:pt idx="1">
                  <c:v>218173.30964229681</c:v>
                </c:pt>
                <c:pt idx="2">
                  <c:v>3145.3470000000002</c:v>
                </c:pt>
                <c:pt idx="3">
                  <c:v>40096.217764453591</c:v>
                </c:pt>
                <c:pt idx="4">
                  <c:v>35697.752374918724</c:v>
                </c:pt>
                <c:pt idx="5">
                  <c:v>137649.01857039731</c:v>
                </c:pt>
                <c:pt idx="6">
                  <c:v>2252.833134863381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640"/>
        <c:axId val="184042624"/>
      </c:barChart>
      <c:catAx>
        <c:axId val="184032640"/>
        <c:scaling>
          <c:orientation val="minMax"/>
        </c:scaling>
        <c:axPos val="b"/>
        <c:numFmt formatCode="General" sourceLinked="0"/>
        <c:tickLblPos val="nextTo"/>
        <c:crossAx val="184042624"/>
        <c:crosses val="autoZero"/>
        <c:auto val="1"/>
        <c:lblAlgn val="ctr"/>
        <c:lblOffset val="100"/>
      </c:catAx>
      <c:valAx>
        <c:axId val="184042624"/>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274881.77977862576</c:v>
                </c:pt>
                <c:pt idx="1">
                  <c:v>218173.30964229681</c:v>
                </c:pt>
                <c:pt idx="2">
                  <c:v>3145.3470000000002</c:v>
                </c:pt>
                <c:pt idx="3">
                  <c:v>40096.217764453591</c:v>
                </c:pt>
                <c:pt idx="4">
                  <c:v>35697.752374918724</c:v>
                </c:pt>
                <c:pt idx="5">
                  <c:v>137649.01857039731</c:v>
                </c:pt>
                <c:pt idx="6">
                  <c:v>2252.833134863381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56556.875145905928</c:v>
                </c:pt>
                <c:pt idx="1">
                  <c:v>44884.089102019971</c:v>
                </c:pt>
                <c:pt idx="2">
                  <c:v>682.90983778817656</c:v>
                </c:pt>
                <c:pt idx="3">
                  <c:v>8436.5380509630613</c:v>
                </c:pt>
                <c:pt idx="4">
                  <c:v>7300.4034727512626</c:v>
                </c:pt>
                <c:pt idx="5">
                  <c:v>34491.191402823657</c:v>
                </c:pt>
                <c:pt idx="6">
                  <c:v>546.92581740226683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32896"/>
        <c:axId val="184512512"/>
      </c:barChart>
      <c:catAx>
        <c:axId val="184432896"/>
        <c:scaling>
          <c:orientation val="minMax"/>
        </c:scaling>
        <c:axPos val="b"/>
        <c:numFmt formatCode="General" sourceLinked="0"/>
        <c:tickLblPos val="nextTo"/>
        <c:crossAx val="184512512"/>
        <c:crosses val="autoZero"/>
        <c:auto val="1"/>
        <c:lblAlgn val="ctr"/>
        <c:lblOffset val="100"/>
      </c:catAx>
      <c:valAx>
        <c:axId val="184512512"/>
        <c:scaling>
          <c:orientation val="minMax"/>
        </c:scaling>
        <c:axPos val="l"/>
        <c:majorGridlines/>
        <c:numFmt formatCode="#,##0" sourceLinked="1"/>
        <c:tickLblPos val="nextTo"/>
        <c:crossAx val="184432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56556.875145905928</c:v>
                </c:pt>
                <c:pt idx="1">
                  <c:v>44884.089102019971</c:v>
                </c:pt>
                <c:pt idx="2">
                  <c:v>682.90983778817656</c:v>
                </c:pt>
                <c:pt idx="3">
                  <c:v>8436.5380509630613</c:v>
                </c:pt>
                <c:pt idx="4">
                  <c:v>7300.4034727512626</c:v>
                </c:pt>
                <c:pt idx="5">
                  <c:v>34491.191402823657</c:v>
                </c:pt>
                <c:pt idx="6">
                  <c:v>546.92581740226683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31043</v>
      </c>
      <c r="B6" s="416"/>
      <c r="C6" s="417"/>
    </row>
    <row r="7" spans="1:7" s="414" customFormat="1" ht="15.75" customHeight="1">
      <c r="A7" s="418" t="str">
        <f>txtMunicipality</f>
        <v>KNOKKE-HEIST</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96540.645799999984</v>
      </c>
      <c r="D10" s="719">
        <f ca="1">tertiair!C16</f>
        <v>0</v>
      </c>
      <c r="E10" s="719">
        <f ca="1">tertiair!D16</f>
        <v>101641.32795470154</v>
      </c>
      <c r="F10" s="719">
        <f>tertiair!E16</f>
        <v>1242.7433835767442</v>
      </c>
      <c r="G10" s="719">
        <f ca="1">tertiair!F16</f>
        <v>14204.814577916712</v>
      </c>
      <c r="H10" s="719">
        <f>tertiair!G16</f>
        <v>0</v>
      </c>
      <c r="I10" s="719">
        <f>tertiair!H16</f>
        <v>0</v>
      </c>
      <c r="J10" s="719">
        <f>tertiair!I16</f>
        <v>0</v>
      </c>
      <c r="K10" s="719">
        <f>tertiair!J16</f>
        <v>0</v>
      </c>
      <c r="L10" s="719">
        <f>tertiair!K16</f>
        <v>0</v>
      </c>
      <c r="M10" s="719">
        <f ca="1">tertiair!L16</f>
        <v>0</v>
      </c>
      <c r="N10" s="719">
        <f>tertiair!M16</f>
        <v>0</v>
      </c>
      <c r="O10" s="719">
        <f ca="1">tertiair!N16</f>
        <v>7612.858259435121</v>
      </c>
      <c r="P10" s="719">
        <f>tertiair!O16</f>
        <v>0</v>
      </c>
      <c r="Q10" s="720">
        <f>tertiair!P16</f>
        <v>76.266666666666666</v>
      </c>
      <c r="R10" s="722">
        <f ca="1">SUM(C10:Q10)</f>
        <v>221318.65664229679</v>
      </c>
      <c r="S10" s="67"/>
    </row>
    <row r="11" spans="1:19" s="475" customFormat="1">
      <c r="A11" s="871" t="s">
        <v>225</v>
      </c>
      <c r="B11" s="876"/>
      <c r="C11" s="719">
        <f>huishoudens!B8</f>
        <v>74665.666584215316</v>
      </c>
      <c r="D11" s="719">
        <f>huishoudens!C8</f>
        <v>0</v>
      </c>
      <c r="E11" s="719">
        <f>huishoudens!D8</f>
        <v>199730.95652774378</v>
      </c>
      <c r="F11" s="719">
        <f>huishoudens!E8</f>
        <v>0</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0</v>
      </c>
      <c r="P11" s="719">
        <f>huishoudens!O8</f>
        <v>161.02333333333334</v>
      </c>
      <c r="Q11" s="720">
        <f>huishoudens!P8</f>
        <v>324.13333333333333</v>
      </c>
      <c r="R11" s="722">
        <f>SUM(C11:Q11)</f>
        <v>274881.77977862576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11500.871079999999</v>
      </c>
      <c r="D13" s="719">
        <f>industrie!C18</f>
        <v>0</v>
      </c>
      <c r="E13" s="719">
        <f>industrie!D18</f>
        <v>10125.501017974848</v>
      </c>
      <c r="F13" s="719">
        <f>industrie!E18</f>
        <v>1686.4463102187683</v>
      </c>
      <c r="G13" s="719">
        <f>industrie!F18</f>
        <v>8812.7089599773353</v>
      </c>
      <c r="H13" s="719">
        <f>industrie!G18</f>
        <v>0</v>
      </c>
      <c r="I13" s="719">
        <f>industrie!H18</f>
        <v>0</v>
      </c>
      <c r="J13" s="719">
        <f>industrie!I18</f>
        <v>0</v>
      </c>
      <c r="K13" s="719">
        <f>industrie!J18</f>
        <v>62.698954938221206</v>
      </c>
      <c r="L13" s="719">
        <f>industrie!K18</f>
        <v>0</v>
      </c>
      <c r="M13" s="719">
        <f>industrie!L18</f>
        <v>0</v>
      </c>
      <c r="N13" s="719">
        <f>industrie!M18</f>
        <v>0</v>
      </c>
      <c r="O13" s="719">
        <f>industrie!N18</f>
        <v>3509.5260518095538</v>
      </c>
      <c r="P13" s="719">
        <f>industrie!O18</f>
        <v>0</v>
      </c>
      <c r="Q13" s="720">
        <f>industrie!P18</f>
        <v>0</v>
      </c>
      <c r="R13" s="722">
        <f>SUM(C13:Q13)</f>
        <v>35697.752374918724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182707.18346421531</v>
      </c>
      <c r="D15" s="724">
        <f t="shared" ref="D15:Q15" ca="1" si="0">SUM(D9:D14)</f>
        <v>0</v>
      </c>
      <c r="E15" s="724">
        <f t="shared" ca="1" si="0"/>
        <v>311497.7855004202</v>
      </c>
      <c r="F15" s="724">
        <f t="shared" si="0"/>
        <v>2929.1896937955125</v>
      </c>
      <c r="G15" s="724">
        <f t="shared" ca="1" si="0"/>
        <v>23017.523537894049</v>
      </c>
      <c r="H15" s="724">
        <f t="shared" si="0"/>
        <v>0</v>
      </c>
      <c r="I15" s="724">
        <f t="shared" si="0"/>
        <v>0</v>
      </c>
      <c r="J15" s="724">
        <f t="shared" si="0"/>
        <v>0</v>
      </c>
      <c r="K15" s="724">
        <f t="shared" si="0"/>
        <v>62.698954938221206</v>
      </c>
      <c r="L15" s="724">
        <f t="shared" si="0"/>
        <v>0</v>
      </c>
      <c r="M15" s="724">
        <f t="shared" ca="1" si="0"/>
        <v>0</v>
      </c>
      <c r="N15" s="724">
        <f t="shared" si="0"/>
        <v>0</v>
      </c>
      <c r="O15" s="724">
        <f t="shared" ca="1" si="0"/>
        <v>11122.384311244674</v>
      </c>
      <c r="P15" s="724">
        <f t="shared" si="0"/>
        <v>161.02333333333334</v>
      </c>
      <c r="Q15" s="725">
        <f t="shared" si="0"/>
        <v>400.4</v>
      </c>
      <c r="R15" s="726">
        <f ca="1">SUM(R9:R14)</f>
        <v>531898.1887958413</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623.74563474267256</v>
      </c>
      <c r="D18" s="719">
        <f>transport!C54</f>
        <v>0</v>
      </c>
      <c r="E18" s="719">
        <f>transport!D54</f>
        <v>0</v>
      </c>
      <c r="F18" s="719">
        <f>transport!E54</f>
        <v>0</v>
      </c>
      <c r="G18" s="719">
        <f>transport!F54</f>
        <v>0</v>
      </c>
      <c r="H18" s="719">
        <f>transport!G54</f>
        <v>1541.197499554527</v>
      </c>
      <c r="I18" s="719">
        <f>transport!H54</f>
        <v>0</v>
      </c>
      <c r="J18" s="719">
        <f>transport!I54</f>
        <v>0</v>
      </c>
      <c r="K18" s="719">
        <f>transport!J54</f>
        <v>0</v>
      </c>
      <c r="L18" s="719">
        <f>transport!K54</f>
        <v>0</v>
      </c>
      <c r="M18" s="719">
        <f>transport!L54</f>
        <v>0</v>
      </c>
      <c r="N18" s="719">
        <f>transport!M54</f>
        <v>87.89000056618174</v>
      </c>
      <c r="O18" s="719">
        <f>transport!N54</f>
        <v>0</v>
      </c>
      <c r="P18" s="719">
        <f>transport!O54</f>
        <v>0</v>
      </c>
      <c r="Q18" s="720">
        <f>transport!P54</f>
        <v>0</v>
      </c>
      <c r="R18" s="722">
        <f>SUM(C18:Q18)</f>
        <v>2252.833134863381</v>
      </c>
      <c r="S18" s="67"/>
    </row>
    <row r="19" spans="1:19" s="475" customFormat="1" ht="15" thickBot="1">
      <c r="A19" s="871" t="s">
        <v>307</v>
      </c>
      <c r="B19" s="876"/>
      <c r="C19" s="728">
        <f>transport!B14</f>
        <v>21.06317112388421</v>
      </c>
      <c r="D19" s="728">
        <f>transport!C14</f>
        <v>0</v>
      </c>
      <c r="E19" s="728">
        <f>transport!D14</f>
        <v>56.607737440410908</v>
      </c>
      <c r="F19" s="728">
        <f>transport!E14</f>
        <v>359.48537710446618</v>
      </c>
      <c r="G19" s="728">
        <f>transport!F14</f>
        <v>0</v>
      </c>
      <c r="H19" s="728">
        <f>transport!G14</f>
        <v>108887.76876772092</v>
      </c>
      <c r="I19" s="728">
        <f>transport!H14</f>
        <v>21367.654680660296</v>
      </c>
      <c r="J19" s="728">
        <f>transport!I14</f>
        <v>0</v>
      </c>
      <c r="K19" s="728">
        <f>transport!J14</f>
        <v>0</v>
      </c>
      <c r="L19" s="728">
        <f>transport!K14</f>
        <v>0</v>
      </c>
      <c r="M19" s="728">
        <f>transport!L14</f>
        <v>0</v>
      </c>
      <c r="N19" s="728">
        <f>transport!M14</f>
        <v>6956.4388363473363</v>
      </c>
      <c r="O19" s="728">
        <f>transport!N14</f>
        <v>0</v>
      </c>
      <c r="P19" s="728">
        <f>transport!O14</f>
        <v>0</v>
      </c>
      <c r="Q19" s="729">
        <f>transport!P14</f>
        <v>0</v>
      </c>
      <c r="R19" s="730">
        <f>SUM(C19:Q19)</f>
        <v>137649.01857039731</v>
      </c>
      <c r="S19" s="67"/>
    </row>
    <row r="20" spans="1:19" s="475" customFormat="1" ht="15.75" thickBot="1">
      <c r="A20" s="731" t="s">
        <v>230</v>
      </c>
      <c r="B20" s="879"/>
      <c r="C20" s="874">
        <f>SUM(C17:C19)</f>
        <v>644.80880586655678</v>
      </c>
      <c r="D20" s="732">
        <f t="shared" ref="D20:R20" si="1">SUM(D17:D19)</f>
        <v>0</v>
      </c>
      <c r="E20" s="732">
        <f t="shared" si="1"/>
        <v>56.607737440410908</v>
      </c>
      <c r="F20" s="732">
        <f t="shared" si="1"/>
        <v>359.48537710446618</v>
      </c>
      <c r="G20" s="732">
        <f t="shared" si="1"/>
        <v>0</v>
      </c>
      <c r="H20" s="732">
        <f t="shared" si="1"/>
        <v>110428.96626727545</v>
      </c>
      <c r="I20" s="732">
        <f t="shared" si="1"/>
        <v>21367.654680660296</v>
      </c>
      <c r="J20" s="732">
        <f t="shared" si="1"/>
        <v>0</v>
      </c>
      <c r="K20" s="732">
        <f t="shared" si="1"/>
        <v>0</v>
      </c>
      <c r="L20" s="732">
        <f t="shared" si="1"/>
        <v>0</v>
      </c>
      <c r="M20" s="732">
        <f t="shared" si="1"/>
        <v>0</v>
      </c>
      <c r="N20" s="732">
        <f t="shared" si="1"/>
        <v>7044.328836913518</v>
      </c>
      <c r="O20" s="732">
        <f t="shared" si="1"/>
        <v>0</v>
      </c>
      <c r="P20" s="732">
        <f t="shared" si="1"/>
        <v>0</v>
      </c>
      <c r="Q20" s="733">
        <f t="shared" si="1"/>
        <v>0</v>
      </c>
      <c r="R20" s="734">
        <f t="shared" si="1"/>
        <v>139901.85170526069</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1655.9538</v>
      </c>
      <c r="D22" s="728">
        <f>+landbouw!C8</f>
        <v>0</v>
      </c>
      <c r="E22" s="728">
        <f>+landbouw!D8</f>
        <v>33969.57937926727</v>
      </c>
      <c r="F22" s="728">
        <f>+landbouw!E8</f>
        <v>15.33813767280639</v>
      </c>
      <c r="G22" s="728">
        <f>+landbouw!F8</f>
        <v>4201.47024947517</v>
      </c>
      <c r="H22" s="728">
        <f>+landbouw!G8</f>
        <v>0</v>
      </c>
      <c r="I22" s="728">
        <f>+landbouw!H8</f>
        <v>0</v>
      </c>
      <c r="J22" s="728">
        <f>+landbouw!I8</f>
        <v>0</v>
      </c>
      <c r="K22" s="728">
        <f>+landbouw!J8</f>
        <v>253.87619803834511</v>
      </c>
      <c r="L22" s="728">
        <f>+landbouw!K8</f>
        <v>0</v>
      </c>
      <c r="M22" s="728">
        <f>+landbouw!L8</f>
        <v>0</v>
      </c>
      <c r="N22" s="728">
        <f>+landbouw!M8</f>
        <v>0</v>
      </c>
      <c r="O22" s="728">
        <f>+landbouw!N8</f>
        <v>0</v>
      </c>
      <c r="P22" s="728">
        <f>+landbouw!O8</f>
        <v>0</v>
      </c>
      <c r="Q22" s="729">
        <f>+landbouw!P8</f>
        <v>0</v>
      </c>
      <c r="R22" s="730">
        <f>SUM(C22:Q22)</f>
        <v>40096.217764453591</v>
      </c>
      <c r="S22" s="67"/>
    </row>
    <row r="23" spans="1:19" s="475" customFormat="1" ht="17.25" thickTop="1" thickBot="1">
      <c r="A23" s="735" t="s">
        <v>116</v>
      </c>
      <c r="B23" s="865"/>
      <c r="C23" s="736">
        <f ca="1">C20+C15+C22</f>
        <v>185007.94607008185</v>
      </c>
      <c r="D23" s="736">
        <f t="shared" ref="D23:Q23" ca="1" si="2">D20+D15+D22</f>
        <v>0</v>
      </c>
      <c r="E23" s="736">
        <f t="shared" ca="1" si="2"/>
        <v>345523.97261712787</v>
      </c>
      <c r="F23" s="736">
        <f t="shared" si="2"/>
        <v>3304.0132085727851</v>
      </c>
      <c r="G23" s="736">
        <f t="shared" ca="1" si="2"/>
        <v>27218.993787369218</v>
      </c>
      <c r="H23" s="736">
        <f t="shared" si="2"/>
        <v>110428.96626727545</v>
      </c>
      <c r="I23" s="736">
        <f t="shared" si="2"/>
        <v>21367.654680660296</v>
      </c>
      <c r="J23" s="736">
        <f t="shared" si="2"/>
        <v>0</v>
      </c>
      <c r="K23" s="736">
        <f t="shared" si="2"/>
        <v>316.5751529765663</v>
      </c>
      <c r="L23" s="736">
        <f t="shared" si="2"/>
        <v>0</v>
      </c>
      <c r="M23" s="736">
        <f t="shared" ca="1" si="2"/>
        <v>0</v>
      </c>
      <c r="N23" s="736">
        <f t="shared" si="2"/>
        <v>7044.328836913518</v>
      </c>
      <c r="O23" s="736">
        <f t="shared" ca="1" si="2"/>
        <v>11122.384311244674</v>
      </c>
      <c r="P23" s="736">
        <f t="shared" si="2"/>
        <v>161.02333333333334</v>
      </c>
      <c r="Q23" s="737">
        <f t="shared" si="2"/>
        <v>400.4</v>
      </c>
      <c r="R23" s="738">
        <f ca="1">R20+R15+R22</f>
        <v>711896.2582655556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20960.662452582754</v>
      </c>
      <c r="D36" s="719">
        <f ca="1">tertiair!C20</f>
        <v>0</v>
      </c>
      <c r="E36" s="719">
        <f ca="1">tertiair!D20</f>
        <v>20531.548246849714</v>
      </c>
      <c r="F36" s="719">
        <f>tertiair!E20</f>
        <v>282.10274807192093</v>
      </c>
      <c r="G36" s="719">
        <f ca="1">tertiair!F20</f>
        <v>3792.6854923037622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45566.998939808152</v>
      </c>
    </row>
    <row r="37" spans="1:18">
      <c r="A37" s="886" t="s">
        <v>225</v>
      </c>
      <c r="B37" s="893"/>
      <c r="C37" s="719">
        <f ca="1">huishoudens!B12</f>
        <v>16211.221927301678</v>
      </c>
      <c r="D37" s="719">
        <f ca="1">huishoudens!C12</f>
        <v>0</v>
      </c>
      <c r="E37" s="719">
        <f>huishoudens!D12</f>
        <v>40345.653218604246</v>
      </c>
      <c r="F37" s="719">
        <f>huishoudens!E12</f>
        <v>0</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56556.875145905928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2497.0402323386038</v>
      </c>
      <c r="D39" s="719">
        <f ca="1">industrie!C22</f>
        <v>0</v>
      </c>
      <c r="E39" s="719">
        <f>industrie!D22</f>
        <v>2045.3512056309194</v>
      </c>
      <c r="F39" s="719">
        <f>industrie!E22</f>
        <v>382.8233124196604</v>
      </c>
      <c r="G39" s="719">
        <f>industrie!F22</f>
        <v>2352.9932923139486</v>
      </c>
      <c r="H39" s="719">
        <f>industrie!G22</f>
        <v>0</v>
      </c>
      <c r="I39" s="719">
        <f>industrie!H22</f>
        <v>0</v>
      </c>
      <c r="J39" s="719">
        <f>industrie!I22</f>
        <v>0</v>
      </c>
      <c r="K39" s="719">
        <f>industrie!J22</f>
        <v>22.195430048130305</v>
      </c>
      <c r="L39" s="719">
        <f>industrie!K22</f>
        <v>0</v>
      </c>
      <c r="M39" s="719">
        <f>industrie!L22</f>
        <v>0</v>
      </c>
      <c r="N39" s="719">
        <f>industrie!M22</f>
        <v>0</v>
      </c>
      <c r="O39" s="719">
        <f>industrie!N22</f>
        <v>0</v>
      </c>
      <c r="P39" s="719">
        <f>industrie!O22</f>
        <v>0</v>
      </c>
      <c r="Q39" s="829">
        <f>industrie!P22</f>
        <v>0</v>
      </c>
      <c r="R39" s="919">
        <f ca="1">SUM(C39:Q39)</f>
        <v>7300.4034727512626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39668.924612223032</v>
      </c>
      <c r="D41" s="764">
        <f t="shared" ref="D41:R41" ca="1" si="4">SUM(D35:D40)</f>
        <v>0</v>
      </c>
      <c r="E41" s="764">
        <f t="shared" ca="1" si="4"/>
        <v>62922.552671084879</v>
      </c>
      <c r="F41" s="764">
        <f t="shared" si="4"/>
        <v>664.92606049158132</v>
      </c>
      <c r="G41" s="764">
        <f t="shared" ca="1" si="4"/>
        <v>6145.6787846177103</v>
      </c>
      <c r="H41" s="764">
        <f t="shared" si="4"/>
        <v>0</v>
      </c>
      <c r="I41" s="764">
        <f t="shared" si="4"/>
        <v>0</v>
      </c>
      <c r="J41" s="764">
        <f t="shared" si="4"/>
        <v>0</v>
      </c>
      <c r="K41" s="764">
        <f t="shared" si="4"/>
        <v>22.195430048130305</v>
      </c>
      <c r="L41" s="764">
        <f t="shared" si="4"/>
        <v>0</v>
      </c>
      <c r="M41" s="764">
        <f t="shared" ca="1" si="4"/>
        <v>0</v>
      </c>
      <c r="N41" s="764">
        <f t="shared" si="4"/>
        <v>0</v>
      </c>
      <c r="O41" s="764">
        <f t="shared" ca="1" si="4"/>
        <v>0</v>
      </c>
      <c r="P41" s="764">
        <f t="shared" si="4"/>
        <v>0</v>
      </c>
      <c r="Q41" s="765">
        <f t="shared" si="4"/>
        <v>0</v>
      </c>
      <c r="R41" s="766">
        <f t="shared" ca="1" si="4"/>
        <v>109424.27755846534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135.42608502120805</v>
      </c>
      <c r="D44" s="719">
        <f ca="1">transport!C58</f>
        <v>0</v>
      </c>
      <c r="E44" s="719">
        <f>transport!D58</f>
        <v>0</v>
      </c>
      <c r="F44" s="719">
        <f>transport!E58</f>
        <v>0</v>
      </c>
      <c r="G44" s="719">
        <f>transport!F58</f>
        <v>0</v>
      </c>
      <c r="H44" s="719">
        <f>transport!G58</f>
        <v>411.49973238105872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546.92581740226683</v>
      </c>
    </row>
    <row r="45" spans="1:18" ht="15" thickBot="1">
      <c r="A45" s="889" t="s">
        <v>307</v>
      </c>
      <c r="B45" s="899"/>
      <c r="C45" s="728">
        <f ca="1">transport!B18</f>
        <v>4.5731827920787023</v>
      </c>
      <c r="D45" s="728">
        <f>transport!C18</f>
        <v>0</v>
      </c>
      <c r="E45" s="728">
        <f>transport!D18</f>
        <v>11.434762962963005</v>
      </c>
      <c r="F45" s="728">
        <f>transport!E18</f>
        <v>81.60318060271382</v>
      </c>
      <c r="G45" s="728">
        <f>transport!F18</f>
        <v>0</v>
      </c>
      <c r="H45" s="728">
        <f>transport!G18</f>
        <v>29073.034260981487</v>
      </c>
      <c r="I45" s="728">
        <f>transport!H18</f>
        <v>5320.5460154844141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34491.191402823657</v>
      </c>
    </row>
    <row r="46" spans="1:18" ht="15.75" thickBot="1">
      <c r="A46" s="887" t="s">
        <v>230</v>
      </c>
      <c r="B46" s="900"/>
      <c r="C46" s="764">
        <f t="shared" ref="C46:R46" ca="1" si="5">SUM(C43:C45)</f>
        <v>139.99926781328676</v>
      </c>
      <c r="D46" s="764">
        <f t="shared" ca="1" si="5"/>
        <v>0</v>
      </c>
      <c r="E46" s="764">
        <f t="shared" si="5"/>
        <v>11.434762962963005</v>
      </c>
      <c r="F46" s="764">
        <f t="shared" si="5"/>
        <v>81.60318060271382</v>
      </c>
      <c r="G46" s="764">
        <f t="shared" si="5"/>
        <v>0</v>
      </c>
      <c r="H46" s="764">
        <f t="shared" si="5"/>
        <v>29484.533993362547</v>
      </c>
      <c r="I46" s="764">
        <f t="shared" si="5"/>
        <v>5320.5460154844141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35038.117220225926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359.53652838389991</v>
      </c>
      <c r="D48" s="719">
        <f ca="1">+landbouw!C12</f>
        <v>0</v>
      </c>
      <c r="E48" s="719">
        <f>+landbouw!D12</f>
        <v>6861.8550346119891</v>
      </c>
      <c r="F48" s="719">
        <f>+landbouw!E12</f>
        <v>3.4817572517270508</v>
      </c>
      <c r="G48" s="719">
        <f>+landbouw!F12</f>
        <v>1121.7925566098704</v>
      </c>
      <c r="H48" s="719">
        <f>+landbouw!G12</f>
        <v>0</v>
      </c>
      <c r="I48" s="719">
        <f>+landbouw!H12</f>
        <v>0</v>
      </c>
      <c r="J48" s="719">
        <f>+landbouw!I12</f>
        <v>0</v>
      </c>
      <c r="K48" s="719">
        <f>+landbouw!J12</f>
        <v>89.87217410557416</v>
      </c>
      <c r="L48" s="719">
        <f>+landbouw!K12</f>
        <v>0</v>
      </c>
      <c r="M48" s="719">
        <f>+landbouw!L12</f>
        <v>0</v>
      </c>
      <c r="N48" s="719">
        <f>+landbouw!M12</f>
        <v>0</v>
      </c>
      <c r="O48" s="719">
        <f>+landbouw!N12</f>
        <v>0</v>
      </c>
      <c r="P48" s="719">
        <f>+landbouw!O12</f>
        <v>0</v>
      </c>
      <c r="Q48" s="720">
        <f>+landbouw!P12</f>
        <v>0</v>
      </c>
      <c r="R48" s="762">
        <f ca="1">SUM(C48:Q48)</f>
        <v>8436.5380509630613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40168.460408420215</v>
      </c>
      <c r="D53" s="774">
        <f t="shared" ref="D53:Q53" ca="1" si="6">D41+D46+D48</f>
        <v>0</v>
      </c>
      <c r="E53" s="774">
        <f t="shared" ca="1" si="6"/>
        <v>69795.84246865983</v>
      </c>
      <c r="F53" s="774">
        <f t="shared" si="6"/>
        <v>750.01099834602212</v>
      </c>
      <c r="G53" s="774">
        <f t="shared" ca="1" si="6"/>
        <v>7267.4713412275805</v>
      </c>
      <c r="H53" s="774">
        <f t="shared" si="6"/>
        <v>29484.533993362547</v>
      </c>
      <c r="I53" s="774">
        <f t="shared" si="6"/>
        <v>5320.5460154844141</v>
      </c>
      <c r="J53" s="774">
        <f t="shared" si="6"/>
        <v>0</v>
      </c>
      <c r="K53" s="774">
        <f t="shared" si="6"/>
        <v>112.06760415370447</v>
      </c>
      <c r="L53" s="774">
        <f t="shared" si="6"/>
        <v>0</v>
      </c>
      <c r="M53" s="774">
        <f t="shared" ca="1" si="6"/>
        <v>0</v>
      </c>
      <c r="N53" s="774">
        <f t="shared" si="6"/>
        <v>0</v>
      </c>
      <c r="O53" s="774">
        <f t="shared" ca="1" si="6"/>
        <v>0</v>
      </c>
      <c r="P53" s="774">
        <f>P41+P46+P48</f>
        <v>0</v>
      </c>
      <c r="Q53" s="775">
        <f t="shared" si="6"/>
        <v>0</v>
      </c>
      <c r="R53" s="776">
        <f ca="1">R41+R46+R48</f>
        <v>152898.93282965431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0.21711748744675119</v>
      </c>
      <c r="D55" s="837">
        <f t="shared" ca="1" si="7"/>
        <v>0</v>
      </c>
      <c r="E55" s="837">
        <f t="shared" ca="1" si="7"/>
        <v>0.20199999999999999</v>
      </c>
      <c r="F55" s="837">
        <f t="shared" si="7"/>
        <v>0.22699999999999998</v>
      </c>
      <c r="G55" s="837">
        <f t="shared" ca="1" si="7"/>
        <v>0.26699999999999996</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3250.2066654654986</v>
      </c>
      <c r="C66" s="796">
        <f>'lokale energieproductie'!B6</f>
        <v>3250.2066654654986</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3250.2066654654986</v>
      </c>
      <c r="C69" s="804">
        <f>SUM(C64:C68)</f>
        <v>3250.2066654654986</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74665.666584215316</v>
      </c>
      <c r="C4" s="479">
        <f>huishoudens!C8</f>
        <v>0</v>
      </c>
      <c r="D4" s="479">
        <f>huishoudens!D8</f>
        <v>199730.95652774378</v>
      </c>
      <c r="E4" s="479">
        <f>huishoudens!E8</f>
        <v>0</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0</v>
      </c>
      <c r="O4" s="479">
        <f>huishoudens!O8</f>
        <v>161.02333333333334</v>
      </c>
      <c r="P4" s="480">
        <f>huishoudens!P8</f>
        <v>324.13333333333333</v>
      </c>
      <c r="Q4" s="481">
        <f>SUM(B4:P4)</f>
        <v>274881.77977862576</v>
      </c>
    </row>
    <row r="5" spans="1:17">
      <c r="A5" s="478" t="s">
        <v>156</v>
      </c>
      <c r="B5" s="479">
        <f ca="1">tertiair!B16</f>
        <v>93395.29879999999</v>
      </c>
      <c r="C5" s="479">
        <f ca="1">tertiair!C16</f>
        <v>0</v>
      </c>
      <c r="D5" s="479">
        <f ca="1">tertiair!D16</f>
        <v>101641.32795470154</v>
      </c>
      <c r="E5" s="479">
        <f>tertiair!E16</f>
        <v>1242.7433835767442</v>
      </c>
      <c r="F5" s="479">
        <f ca="1">tertiair!F16</f>
        <v>14204.814577916712</v>
      </c>
      <c r="G5" s="479">
        <f>tertiair!G16</f>
        <v>0</v>
      </c>
      <c r="H5" s="479">
        <f>tertiair!H16</f>
        <v>0</v>
      </c>
      <c r="I5" s="479">
        <f>tertiair!I16</f>
        <v>0</v>
      </c>
      <c r="J5" s="479">
        <f>tertiair!J16</f>
        <v>0</v>
      </c>
      <c r="K5" s="479">
        <f>tertiair!K16</f>
        <v>0</v>
      </c>
      <c r="L5" s="479">
        <f ca="1">tertiair!L16</f>
        <v>0</v>
      </c>
      <c r="M5" s="479">
        <f>tertiair!M16</f>
        <v>0</v>
      </c>
      <c r="N5" s="479">
        <f ca="1">tertiair!N16</f>
        <v>7612.858259435121</v>
      </c>
      <c r="O5" s="479">
        <f>tertiair!O16</f>
        <v>0</v>
      </c>
      <c r="P5" s="480">
        <f>tertiair!P16</f>
        <v>76.266666666666666</v>
      </c>
      <c r="Q5" s="478">
        <f t="shared" ref="Q5:Q13" ca="1" si="0">SUM(B5:P5)</f>
        <v>218173.30964229681</v>
      </c>
    </row>
    <row r="6" spans="1:17">
      <c r="A6" s="478" t="s">
        <v>194</v>
      </c>
      <c r="B6" s="479">
        <f>'openbare verlichting'!B8</f>
        <v>3145.3470000000002</v>
      </c>
      <c r="C6" s="479"/>
      <c r="D6" s="479"/>
      <c r="E6" s="479"/>
      <c r="F6" s="479"/>
      <c r="G6" s="479"/>
      <c r="H6" s="479"/>
      <c r="I6" s="479"/>
      <c r="J6" s="479"/>
      <c r="K6" s="479"/>
      <c r="L6" s="479"/>
      <c r="M6" s="479"/>
      <c r="N6" s="479"/>
      <c r="O6" s="479"/>
      <c r="P6" s="480"/>
      <c r="Q6" s="478">
        <f t="shared" si="0"/>
        <v>3145.3470000000002</v>
      </c>
    </row>
    <row r="7" spans="1:17">
      <c r="A7" s="478" t="s">
        <v>112</v>
      </c>
      <c r="B7" s="479">
        <f>landbouw!B8</f>
        <v>1655.9538</v>
      </c>
      <c r="C7" s="479">
        <f>landbouw!C8</f>
        <v>0</v>
      </c>
      <c r="D7" s="479">
        <f>landbouw!D8</f>
        <v>33969.57937926727</v>
      </c>
      <c r="E7" s="479">
        <f>landbouw!E8</f>
        <v>15.33813767280639</v>
      </c>
      <c r="F7" s="479">
        <f>landbouw!F8</f>
        <v>4201.47024947517</v>
      </c>
      <c r="G7" s="479">
        <f>landbouw!G8</f>
        <v>0</v>
      </c>
      <c r="H7" s="479">
        <f>landbouw!H8</f>
        <v>0</v>
      </c>
      <c r="I7" s="479">
        <f>landbouw!I8</f>
        <v>0</v>
      </c>
      <c r="J7" s="479">
        <f>landbouw!J8</f>
        <v>253.87619803834511</v>
      </c>
      <c r="K7" s="479">
        <f>landbouw!K8</f>
        <v>0</v>
      </c>
      <c r="L7" s="479">
        <f>landbouw!L8</f>
        <v>0</v>
      </c>
      <c r="M7" s="479">
        <f>landbouw!M8</f>
        <v>0</v>
      </c>
      <c r="N7" s="479">
        <f>landbouw!N8</f>
        <v>0</v>
      </c>
      <c r="O7" s="479">
        <f>landbouw!O8</f>
        <v>0</v>
      </c>
      <c r="P7" s="480">
        <f>landbouw!P8</f>
        <v>0</v>
      </c>
      <c r="Q7" s="478">
        <f t="shared" si="0"/>
        <v>40096.217764453591</v>
      </c>
    </row>
    <row r="8" spans="1:17">
      <c r="A8" s="478" t="s">
        <v>650</v>
      </c>
      <c r="B8" s="479">
        <f>industrie!B18</f>
        <v>11500.871079999999</v>
      </c>
      <c r="C8" s="479">
        <f>industrie!C18</f>
        <v>0</v>
      </c>
      <c r="D8" s="479">
        <f>industrie!D18</f>
        <v>10125.501017974848</v>
      </c>
      <c r="E8" s="479">
        <f>industrie!E18</f>
        <v>1686.4463102187683</v>
      </c>
      <c r="F8" s="479">
        <f>industrie!F18</f>
        <v>8812.7089599773353</v>
      </c>
      <c r="G8" s="479">
        <f>industrie!G18</f>
        <v>0</v>
      </c>
      <c r="H8" s="479">
        <f>industrie!H18</f>
        <v>0</v>
      </c>
      <c r="I8" s="479">
        <f>industrie!I18</f>
        <v>0</v>
      </c>
      <c r="J8" s="479">
        <f>industrie!J18</f>
        <v>62.698954938221206</v>
      </c>
      <c r="K8" s="479">
        <f>industrie!K18</f>
        <v>0</v>
      </c>
      <c r="L8" s="479">
        <f>industrie!L18</f>
        <v>0</v>
      </c>
      <c r="M8" s="479">
        <f>industrie!M18</f>
        <v>0</v>
      </c>
      <c r="N8" s="479">
        <f>industrie!N18</f>
        <v>3509.5260518095538</v>
      </c>
      <c r="O8" s="479">
        <f>industrie!O18</f>
        <v>0</v>
      </c>
      <c r="P8" s="480">
        <f>industrie!P18</f>
        <v>0</v>
      </c>
      <c r="Q8" s="478">
        <f t="shared" si="0"/>
        <v>35697.752374918724</v>
      </c>
    </row>
    <row r="9" spans="1:17" s="484" customFormat="1">
      <c r="A9" s="482" t="s">
        <v>571</v>
      </c>
      <c r="B9" s="483">
        <f>transport!B14</f>
        <v>21.06317112388421</v>
      </c>
      <c r="C9" s="483"/>
      <c r="D9" s="483">
        <f>transport!D14</f>
        <v>56.607737440410908</v>
      </c>
      <c r="E9" s="483">
        <f>transport!E14</f>
        <v>359.48537710446618</v>
      </c>
      <c r="F9" s="483"/>
      <c r="G9" s="483">
        <f>transport!G14</f>
        <v>108887.76876772092</v>
      </c>
      <c r="H9" s="483">
        <f>transport!H14</f>
        <v>21367.654680660296</v>
      </c>
      <c r="I9" s="483"/>
      <c r="J9" s="483"/>
      <c r="K9" s="483"/>
      <c r="L9" s="483"/>
      <c r="M9" s="483">
        <f>transport!M14</f>
        <v>6956.4388363473363</v>
      </c>
      <c r="N9" s="483"/>
      <c r="O9" s="483"/>
      <c r="P9" s="483"/>
      <c r="Q9" s="482">
        <f>SUM(B9:P9)</f>
        <v>137649.01857039731</v>
      </c>
    </row>
    <row r="10" spans="1:17">
      <c r="A10" s="478" t="s">
        <v>561</v>
      </c>
      <c r="B10" s="479">
        <f>transport!B54</f>
        <v>623.74563474267256</v>
      </c>
      <c r="C10" s="479"/>
      <c r="D10" s="479">
        <f>transport!D54</f>
        <v>0</v>
      </c>
      <c r="E10" s="479"/>
      <c r="F10" s="479"/>
      <c r="G10" s="479">
        <f>transport!G54</f>
        <v>1541.197499554527</v>
      </c>
      <c r="H10" s="479"/>
      <c r="I10" s="479"/>
      <c r="J10" s="479"/>
      <c r="K10" s="479"/>
      <c r="L10" s="479"/>
      <c r="M10" s="479">
        <f>transport!M54</f>
        <v>87.89000056618174</v>
      </c>
      <c r="N10" s="479"/>
      <c r="O10" s="479"/>
      <c r="P10" s="480"/>
      <c r="Q10" s="478">
        <f t="shared" si="0"/>
        <v>2252.833134863381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185007.94607008185</v>
      </c>
      <c r="C14" s="489">
        <f t="shared" ref="C14:Q14" ca="1" si="1">SUM(C4:C13)</f>
        <v>0</v>
      </c>
      <c r="D14" s="489">
        <f t="shared" ca="1" si="1"/>
        <v>345523.97261712787</v>
      </c>
      <c r="E14" s="489">
        <f t="shared" si="1"/>
        <v>3304.0132085727855</v>
      </c>
      <c r="F14" s="489">
        <f t="shared" ca="1" si="1"/>
        <v>27218.993787369218</v>
      </c>
      <c r="G14" s="489">
        <f t="shared" si="1"/>
        <v>110428.96626727545</v>
      </c>
      <c r="H14" s="489">
        <f t="shared" si="1"/>
        <v>21367.654680660296</v>
      </c>
      <c r="I14" s="489">
        <f t="shared" si="1"/>
        <v>0</v>
      </c>
      <c r="J14" s="489">
        <f t="shared" si="1"/>
        <v>316.5751529765663</v>
      </c>
      <c r="K14" s="489">
        <f t="shared" si="1"/>
        <v>0</v>
      </c>
      <c r="L14" s="489">
        <f t="shared" ca="1" si="1"/>
        <v>0</v>
      </c>
      <c r="M14" s="489">
        <f t="shared" si="1"/>
        <v>7044.328836913518</v>
      </c>
      <c r="N14" s="489">
        <f t="shared" ca="1" si="1"/>
        <v>11122.384311244674</v>
      </c>
      <c r="O14" s="489">
        <f t="shared" si="1"/>
        <v>161.02333333333334</v>
      </c>
      <c r="P14" s="490">
        <f t="shared" si="1"/>
        <v>400.4</v>
      </c>
      <c r="Q14" s="490">
        <f t="shared" ca="1" si="1"/>
        <v>711896.25826555549</v>
      </c>
    </row>
    <row r="16" spans="1:17">
      <c r="A16" s="492" t="s">
        <v>566</v>
      </c>
      <c r="B16" s="842">
        <f ca="1">huishoudens!B10</f>
        <v>0.21711748744675119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16211.221927301678</v>
      </c>
      <c r="C21" s="479">
        <f t="shared" ref="C21:C28" ca="1" si="3">C4*$C$16</f>
        <v>0</v>
      </c>
      <c r="D21" s="479">
        <f t="shared" ref="D21:D30" si="4">D4*$D$16</f>
        <v>40345.653218604246</v>
      </c>
      <c r="E21" s="479">
        <f t="shared" ref="E21:E30" si="5">E4*$E$16</f>
        <v>0</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56556.875145905928</v>
      </c>
    </row>
    <row r="22" spans="1:17">
      <c r="A22" s="478" t="s">
        <v>156</v>
      </c>
      <c r="B22" s="479">
        <f t="shared" ca="1" si="2"/>
        <v>20277.752614794575</v>
      </c>
      <c r="C22" s="479">
        <f t="shared" ca="1" si="3"/>
        <v>0</v>
      </c>
      <c r="D22" s="479">
        <f t="shared" ca="1" si="4"/>
        <v>20531.548246849714</v>
      </c>
      <c r="E22" s="479">
        <f t="shared" si="5"/>
        <v>282.10274807192093</v>
      </c>
      <c r="F22" s="479">
        <f t="shared" ca="1" si="6"/>
        <v>3792.6854923037622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44884.089102019971</v>
      </c>
    </row>
    <row r="23" spans="1:17">
      <c r="A23" s="478" t="s">
        <v>194</v>
      </c>
      <c r="B23" s="479">
        <f t="shared" ca="1" si="2"/>
        <v>682.90983778817656</v>
      </c>
      <c r="C23" s="479"/>
      <c r="D23" s="479"/>
      <c r="E23" s="479"/>
      <c r="F23" s="479"/>
      <c r="G23" s="479"/>
      <c r="H23" s="479"/>
      <c r="I23" s="479"/>
      <c r="J23" s="479"/>
      <c r="K23" s="479"/>
      <c r="L23" s="479"/>
      <c r="M23" s="479"/>
      <c r="N23" s="479"/>
      <c r="O23" s="479"/>
      <c r="P23" s="480"/>
      <c r="Q23" s="478">
        <f t="shared" ca="1" si="17"/>
        <v>682.90983778817656</v>
      </c>
    </row>
    <row r="24" spans="1:17">
      <c r="A24" s="478" t="s">
        <v>112</v>
      </c>
      <c r="B24" s="479">
        <f t="shared" ca="1" si="2"/>
        <v>359.53652838389991</v>
      </c>
      <c r="C24" s="479">
        <f t="shared" ca="1" si="3"/>
        <v>0</v>
      </c>
      <c r="D24" s="479">
        <f t="shared" si="4"/>
        <v>6861.8550346119891</v>
      </c>
      <c r="E24" s="479">
        <f t="shared" si="5"/>
        <v>3.4817572517270508</v>
      </c>
      <c r="F24" s="479">
        <f t="shared" si="6"/>
        <v>1121.7925566098704</v>
      </c>
      <c r="G24" s="479">
        <f t="shared" si="7"/>
        <v>0</v>
      </c>
      <c r="H24" s="479">
        <f t="shared" si="8"/>
        <v>0</v>
      </c>
      <c r="I24" s="479">
        <f t="shared" si="9"/>
        <v>0</v>
      </c>
      <c r="J24" s="479">
        <f t="shared" si="10"/>
        <v>89.87217410557416</v>
      </c>
      <c r="K24" s="479">
        <f t="shared" si="11"/>
        <v>0</v>
      </c>
      <c r="L24" s="479">
        <f t="shared" si="12"/>
        <v>0</v>
      </c>
      <c r="M24" s="479">
        <f t="shared" si="13"/>
        <v>0</v>
      </c>
      <c r="N24" s="479">
        <f t="shared" si="14"/>
        <v>0</v>
      </c>
      <c r="O24" s="479">
        <f t="shared" si="15"/>
        <v>0</v>
      </c>
      <c r="P24" s="480">
        <f t="shared" si="16"/>
        <v>0</v>
      </c>
      <c r="Q24" s="478">
        <f t="shared" ca="1" si="17"/>
        <v>8436.5380509630613</v>
      </c>
    </row>
    <row r="25" spans="1:17">
      <c r="A25" s="478" t="s">
        <v>650</v>
      </c>
      <c r="B25" s="479">
        <f t="shared" ca="1" si="2"/>
        <v>2497.0402323386038</v>
      </c>
      <c r="C25" s="479">
        <f t="shared" ca="1" si="3"/>
        <v>0</v>
      </c>
      <c r="D25" s="479">
        <f t="shared" si="4"/>
        <v>2045.3512056309194</v>
      </c>
      <c r="E25" s="479">
        <f t="shared" si="5"/>
        <v>382.8233124196604</v>
      </c>
      <c r="F25" s="479">
        <f t="shared" si="6"/>
        <v>2352.9932923139486</v>
      </c>
      <c r="G25" s="479">
        <f t="shared" si="7"/>
        <v>0</v>
      </c>
      <c r="H25" s="479">
        <f t="shared" si="8"/>
        <v>0</v>
      </c>
      <c r="I25" s="479">
        <f t="shared" si="9"/>
        <v>0</v>
      </c>
      <c r="J25" s="479">
        <f t="shared" si="10"/>
        <v>22.195430048130305</v>
      </c>
      <c r="K25" s="479">
        <f t="shared" si="11"/>
        <v>0</v>
      </c>
      <c r="L25" s="479">
        <f t="shared" si="12"/>
        <v>0</v>
      </c>
      <c r="M25" s="479">
        <f t="shared" si="13"/>
        <v>0</v>
      </c>
      <c r="N25" s="479">
        <f t="shared" si="14"/>
        <v>0</v>
      </c>
      <c r="O25" s="479">
        <f t="shared" si="15"/>
        <v>0</v>
      </c>
      <c r="P25" s="480">
        <f t="shared" si="16"/>
        <v>0</v>
      </c>
      <c r="Q25" s="478">
        <f t="shared" ca="1" si="17"/>
        <v>7300.4034727512626</v>
      </c>
    </row>
    <row r="26" spans="1:17" s="484" customFormat="1">
      <c r="A26" s="482" t="s">
        <v>571</v>
      </c>
      <c r="B26" s="836">
        <f t="shared" ca="1" si="2"/>
        <v>4.5731827920787023</v>
      </c>
      <c r="C26" s="483"/>
      <c r="D26" s="483">
        <f t="shared" si="4"/>
        <v>11.434762962963005</v>
      </c>
      <c r="E26" s="483">
        <f t="shared" si="5"/>
        <v>81.60318060271382</v>
      </c>
      <c r="F26" s="483"/>
      <c r="G26" s="483">
        <f t="shared" si="7"/>
        <v>29073.034260981487</v>
      </c>
      <c r="H26" s="483">
        <f t="shared" si="8"/>
        <v>5320.5460154844141</v>
      </c>
      <c r="I26" s="483"/>
      <c r="J26" s="483"/>
      <c r="K26" s="483"/>
      <c r="L26" s="483"/>
      <c r="M26" s="483">
        <f t="shared" si="13"/>
        <v>0</v>
      </c>
      <c r="N26" s="483"/>
      <c r="O26" s="483"/>
      <c r="P26" s="494"/>
      <c r="Q26" s="482">
        <f t="shared" ca="1" si="17"/>
        <v>34491.191402823657</v>
      </c>
    </row>
    <row r="27" spans="1:17">
      <c r="A27" s="478" t="s">
        <v>561</v>
      </c>
      <c r="B27" s="479">
        <f t="shared" ca="1" si="2"/>
        <v>135.42608502120805</v>
      </c>
      <c r="C27" s="479"/>
      <c r="D27" s="483">
        <f t="shared" si="4"/>
        <v>0</v>
      </c>
      <c r="E27" s="479"/>
      <c r="F27" s="479"/>
      <c r="G27" s="479">
        <f t="shared" si="7"/>
        <v>411.49973238105872</v>
      </c>
      <c r="H27" s="479"/>
      <c r="I27" s="479"/>
      <c r="J27" s="479"/>
      <c r="K27" s="479"/>
      <c r="L27" s="479"/>
      <c r="M27" s="479">
        <f t="shared" si="13"/>
        <v>0</v>
      </c>
      <c r="N27" s="479"/>
      <c r="O27" s="479"/>
      <c r="P27" s="480"/>
      <c r="Q27" s="478">
        <f t="shared" ca="1" si="17"/>
        <v>546.92581740226683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40168.460408420215</v>
      </c>
      <c r="C31" s="489">
        <f t="shared" ca="1" si="18"/>
        <v>0</v>
      </c>
      <c r="D31" s="489">
        <f t="shared" ca="1" si="18"/>
        <v>69795.842468659845</v>
      </c>
      <c r="E31" s="489">
        <f t="shared" si="18"/>
        <v>750.01099834602223</v>
      </c>
      <c r="F31" s="489">
        <f t="shared" ca="1" si="18"/>
        <v>7267.4713412275814</v>
      </c>
      <c r="G31" s="489">
        <f t="shared" si="18"/>
        <v>29484.533993362547</v>
      </c>
      <c r="H31" s="489">
        <f t="shared" si="18"/>
        <v>5320.5460154844141</v>
      </c>
      <c r="I31" s="489">
        <f t="shared" si="18"/>
        <v>0</v>
      </c>
      <c r="J31" s="489">
        <f t="shared" si="18"/>
        <v>112.06760415370447</v>
      </c>
      <c r="K31" s="489">
        <f t="shared" si="18"/>
        <v>0</v>
      </c>
      <c r="L31" s="489">
        <f t="shared" ca="1" si="18"/>
        <v>0</v>
      </c>
      <c r="M31" s="489">
        <f t="shared" si="18"/>
        <v>0</v>
      </c>
      <c r="N31" s="489">
        <f t="shared" ca="1" si="18"/>
        <v>0</v>
      </c>
      <c r="O31" s="489">
        <f t="shared" si="18"/>
        <v>0</v>
      </c>
      <c r="P31" s="490">
        <f t="shared" si="18"/>
        <v>0</v>
      </c>
      <c r="Q31" s="490">
        <f t="shared" ca="1" si="18"/>
        <v>152898.93282965431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0.21711748744675119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0.21711748744675119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0.21711748744675119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31043</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16781</v>
      </c>
      <c r="C9" s="342">
        <v>17564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3354</v>
      </c>
    </row>
    <row r="15" spans="1:6">
      <c r="A15" s="348" t="s">
        <v>184</v>
      </c>
      <c r="B15" s="334">
        <v>14</v>
      </c>
    </row>
    <row r="16" spans="1:6">
      <c r="A16" s="348" t="s">
        <v>6</v>
      </c>
      <c r="B16" s="334">
        <v>530</v>
      </c>
    </row>
    <row r="17" spans="1:6">
      <c r="A17" s="348" t="s">
        <v>7</v>
      </c>
      <c r="B17" s="334">
        <v>1128</v>
      </c>
    </row>
    <row r="18" spans="1:6">
      <c r="A18" s="348" t="s">
        <v>8</v>
      </c>
      <c r="B18" s="334">
        <v>1490</v>
      </c>
    </row>
    <row r="19" spans="1:6">
      <c r="A19" s="348" t="s">
        <v>9</v>
      </c>
      <c r="B19" s="334">
        <v>1403</v>
      </c>
    </row>
    <row r="20" spans="1:6">
      <c r="A20" s="348" t="s">
        <v>10</v>
      </c>
      <c r="B20" s="334">
        <v>903</v>
      </c>
    </row>
    <row r="21" spans="1:6">
      <c r="A21" s="348" t="s">
        <v>11</v>
      </c>
      <c r="B21" s="334">
        <v>1248</v>
      </c>
    </row>
    <row r="22" spans="1:6">
      <c r="A22" s="348" t="s">
        <v>12</v>
      </c>
      <c r="B22" s="334">
        <v>5089</v>
      </c>
    </row>
    <row r="23" spans="1:6">
      <c r="A23" s="348" t="s">
        <v>13</v>
      </c>
      <c r="B23" s="334">
        <v>38</v>
      </c>
    </row>
    <row r="24" spans="1:6">
      <c r="A24" s="348" t="s">
        <v>14</v>
      </c>
      <c r="B24" s="334">
        <v>4</v>
      </c>
    </row>
    <row r="25" spans="1:6">
      <c r="A25" s="348" t="s">
        <v>15</v>
      </c>
      <c r="B25" s="334">
        <v>322</v>
      </c>
    </row>
    <row r="26" spans="1:6">
      <c r="A26" s="348" t="s">
        <v>16</v>
      </c>
      <c r="B26" s="334">
        <v>270</v>
      </c>
    </row>
    <row r="27" spans="1:6">
      <c r="A27" s="348" t="s">
        <v>17</v>
      </c>
      <c r="B27" s="334">
        <v>0</v>
      </c>
    </row>
    <row r="28" spans="1:6" s="356" customFormat="1">
      <c r="A28" s="355" t="s">
        <v>18</v>
      </c>
      <c r="B28" s="355">
        <v>40586</v>
      </c>
    </row>
    <row r="29" spans="1:6">
      <c r="A29" s="355" t="s">
        <v>865</v>
      </c>
      <c r="B29" s="355">
        <v>504</v>
      </c>
      <c r="C29" s="356"/>
      <c r="D29" s="356"/>
      <c r="E29" s="356"/>
      <c r="F29" s="356"/>
    </row>
    <row r="30" spans="1:6">
      <c r="A30" s="341" t="s">
        <v>866</v>
      </c>
      <c r="B30" s="341">
        <v>76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6</v>
      </c>
      <c r="D36" s="334">
        <v>936039.72570202197</v>
      </c>
      <c r="E36" s="334">
        <v>5</v>
      </c>
      <c r="F36" s="334">
        <v>16161.08</v>
      </c>
    </row>
    <row r="37" spans="1:6">
      <c r="A37" s="348" t="s">
        <v>25</v>
      </c>
      <c r="B37" s="348" t="s">
        <v>28</v>
      </c>
      <c r="C37" s="334">
        <v>0</v>
      </c>
      <c r="D37" s="334">
        <v>0</v>
      </c>
      <c r="E37" s="334">
        <v>0</v>
      </c>
      <c r="F37" s="334">
        <v>0</v>
      </c>
    </row>
    <row r="38" spans="1:6">
      <c r="A38" s="348" t="s">
        <v>25</v>
      </c>
      <c r="B38" s="348" t="s">
        <v>29</v>
      </c>
      <c r="C38" s="334">
        <v>1</v>
      </c>
      <c r="D38" s="334">
        <v>3104.3219789551999</v>
      </c>
      <c r="E38" s="334">
        <v>6</v>
      </c>
      <c r="F38" s="334">
        <v>9039.018</v>
      </c>
    </row>
    <row r="39" spans="1:6">
      <c r="A39" s="348" t="s">
        <v>30</v>
      </c>
      <c r="B39" s="348" t="s">
        <v>31</v>
      </c>
      <c r="C39" s="334">
        <v>20504</v>
      </c>
      <c r="D39" s="334">
        <v>221424999.89108199</v>
      </c>
      <c r="E39" s="334">
        <v>28436</v>
      </c>
      <c r="F39" s="334">
        <v>72538928</v>
      </c>
    </row>
    <row r="40" spans="1:6">
      <c r="A40" s="348" t="s">
        <v>30</v>
      </c>
      <c r="B40" s="348" t="s">
        <v>29</v>
      </c>
      <c r="C40" s="334">
        <v>1</v>
      </c>
      <c r="D40" s="334">
        <v>6215.7716051201996</v>
      </c>
      <c r="E40" s="334">
        <v>1</v>
      </c>
      <c r="F40" s="334">
        <v>1426.511</v>
      </c>
    </row>
    <row r="41" spans="1:6">
      <c r="A41" s="348" t="s">
        <v>32</v>
      </c>
      <c r="B41" s="348" t="s">
        <v>33</v>
      </c>
      <c r="C41" s="334">
        <v>525</v>
      </c>
      <c r="D41" s="334">
        <v>7280279.0890698005</v>
      </c>
      <c r="E41" s="334">
        <v>900</v>
      </c>
      <c r="F41" s="334">
        <v>5327455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7</v>
      </c>
      <c r="D44" s="334">
        <v>75215.0956891081</v>
      </c>
      <c r="E44" s="334">
        <v>18</v>
      </c>
      <c r="F44" s="334">
        <v>184679.3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157102.424545363</v>
      </c>
      <c r="E47" s="334">
        <v>8</v>
      </c>
      <c r="F47" s="334">
        <v>68670.179999999993</v>
      </c>
    </row>
    <row r="48" spans="1:6">
      <c r="A48" s="348" t="s">
        <v>32</v>
      </c>
      <c r="B48" s="348" t="s">
        <v>29</v>
      </c>
      <c r="C48" s="334">
        <v>56</v>
      </c>
      <c r="D48" s="334">
        <v>1607450.33527678</v>
      </c>
      <c r="E48" s="334">
        <v>77</v>
      </c>
      <c r="F48" s="334">
        <v>3867707</v>
      </c>
    </row>
    <row r="49" spans="1:6">
      <c r="A49" s="348" t="s">
        <v>32</v>
      </c>
      <c r="B49" s="348" t="s">
        <v>40</v>
      </c>
      <c r="C49" s="334">
        <v>4</v>
      </c>
      <c r="D49" s="334">
        <v>83965.273812987303</v>
      </c>
      <c r="E49" s="334">
        <v>7</v>
      </c>
      <c r="F49" s="334">
        <v>110600.6</v>
      </c>
    </row>
    <row r="50" spans="1:6">
      <c r="A50" s="348" t="s">
        <v>32</v>
      </c>
      <c r="B50" s="348" t="s">
        <v>41</v>
      </c>
      <c r="C50" s="334">
        <v>36</v>
      </c>
      <c r="D50" s="334">
        <v>2021598.6662787399</v>
      </c>
      <c r="E50" s="334">
        <v>63</v>
      </c>
      <c r="F50" s="334">
        <v>1941759</v>
      </c>
    </row>
    <row r="51" spans="1:6">
      <c r="A51" s="348" t="s">
        <v>42</v>
      </c>
      <c r="B51" s="348" t="s">
        <v>43</v>
      </c>
      <c r="C51" s="334">
        <v>35</v>
      </c>
      <c r="D51" s="334">
        <v>579097.76803305896</v>
      </c>
      <c r="E51" s="334">
        <v>117</v>
      </c>
      <c r="F51" s="334">
        <v>1498014</v>
      </c>
    </row>
    <row r="52" spans="1:6">
      <c r="A52" s="348" t="s">
        <v>42</v>
      </c>
      <c r="B52" s="348" t="s">
        <v>29</v>
      </c>
      <c r="C52" s="334">
        <v>15</v>
      </c>
      <c r="D52" s="334">
        <v>294539.00854501198</v>
      </c>
      <c r="E52" s="334">
        <v>15</v>
      </c>
      <c r="F52" s="334">
        <v>157939.79999999999</v>
      </c>
    </row>
    <row r="53" spans="1:6">
      <c r="A53" s="348" t="s">
        <v>44</v>
      </c>
      <c r="B53" s="348" t="s">
        <v>45</v>
      </c>
      <c r="C53" s="334">
        <v>3689</v>
      </c>
      <c r="D53" s="334">
        <v>36786650.783585198</v>
      </c>
      <c r="E53" s="334">
        <v>6343</v>
      </c>
      <c r="F53" s="334">
        <v>16061530</v>
      </c>
    </row>
    <row r="54" spans="1:6">
      <c r="A54" s="348" t="s">
        <v>46</v>
      </c>
      <c r="B54" s="348" t="s">
        <v>47</v>
      </c>
      <c r="C54" s="334">
        <v>0</v>
      </c>
      <c r="D54" s="334">
        <v>0</v>
      </c>
      <c r="E54" s="334">
        <v>1</v>
      </c>
      <c r="F54" s="334">
        <v>3145347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137</v>
      </c>
      <c r="D57" s="334">
        <v>5038197.8555267602</v>
      </c>
      <c r="E57" s="334">
        <v>318</v>
      </c>
      <c r="F57" s="334">
        <v>9075021</v>
      </c>
    </row>
    <row r="58" spans="1:6">
      <c r="A58" s="348" t="s">
        <v>49</v>
      </c>
      <c r="B58" s="348" t="s">
        <v>51</v>
      </c>
      <c r="C58" s="334">
        <v>153</v>
      </c>
      <c r="D58" s="334">
        <v>4955509.1342374301</v>
      </c>
      <c r="E58" s="334">
        <v>213</v>
      </c>
      <c r="F58" s="334">
        <v>1386741</v>
      </c>
    </row>
    <row r="59" spans="1:6">
      <c r="A59" s="348" t="s">
        <v>49</v>
      </c>
      <c r="B59" s="348" t="s">
        <v>52</v>
      </c>
      <c r="C59" s="334">
        <v>742</v>
      </c>
      <c r="D59" s="334">
        <v>14289736.696551399</v>
      </c>
      <c r="E59" s="334">
        <v>1466</v>
      </c>
      <c r="F59" s="334">
        <v>29623094</v>
      </c>
    </row>
    <row r="60" spans="1:6">
      <c r="A60" s="348" t="s">
        <v>49</v>
      </c>
      <c r="B60" s="348" t="s">
        <v>53</v>
      </c>
      <c r="C60" s="334">
        <v>386</v>
      </c>
      <c r="D60" s="334">
        <v>19404940.2101137</v>
      </c>
      <c r="E60" s="334">
        <v>519</v>
      </c>
      <c r="F60" s="334">
        <v>17631634</v>
      </c>
    </row>
    <row r="61" spans="1:6">
      <c r="A61" s="348" t="s">
        <v>49</v>
      </c>
      <c r="B61" s="348" t="s">
        <v>54</v>
      </c>
      <c r="C61" s="334">
        <v>1916</v>
      </c>
      <c r="D61" s="334">
        <v>57546781.560864799</v>
      </c>
      <c r="E61" s="334">
        <v>4676</v>
      </c>
      <c r="F61" s="334">
        <v>27087522</v>
      </c>
    </row>
    <row r="62" spans="1:6">
      <c r="A62" s="348" t="s">
        <v>49</v>
      </c>
      <c r="B62" s="348" t="s">
        <v>55</v>
      </c>
      <c r="C62" s="334">
        <v>23</v>
      </c>
      <c r="D62" s="334">
        <v>2528720.3577045002</v>
      </c>
      <c r="E62" s="334">
        <v>22</v>
      </c>
      <c r="F62" s="334">
        <v>469010.8</v>
      </c>
    </row>
    <row r="63" spans="1:6">
      <c r="A63" s="348" t="s">
        <v>49</v>
      </c>
      <c r="B63" s="348" t="s">
        <v>29</v>
      </c>
      <c r="C63" s="334">
        <v>211</v>
      </c>
      <c r="D63" s="334">
        <v>8920513.24786341</v>
      </c>
      <c r="E63" s="334">
        <v>199</v>
      </c>
      <c r="F63" s="334">
        <v>8122276</v>
      </c>
    </row>
    <row r="64" spans="1:6">
      <c r="A64" s="348" t="s">
        <v>56</v>
      </c>
      <c r="B64" s="348" t="s">
        <v>57</v>
      </c>
      <c r="C64" s="334">
        <v>0</v>
      </c>
      <c r="D64" s="334">
        <v>0</v>
      </c>
      <c r="E64" s="334">
        <v>0</v>
      </c>
      <c r="F64" s="334">
        <v>0</v>
      </c>
    </row>
    <row r="65" spans="1:6">
      <c r="A65" s="348" t="s">
        <v>56</v>
      </c>
      <c r="B65" s="348" t="s">
        <v>29</v>
      </c>
      <c r="C65" s="334">
        <v>9</v>
      </c>
      <c r="D65" s="334">
        <v>261982.48114694501</v>
      </c>
      <c r="E65" s="334">
        <v>6</v>
      </c>
      <c r="F65" s="334">
        <v>35392.92</v>
      </c>
    </row>
    <row r="66" spans="1:6">
      <c r="A66" s="348" t="s">
        <v>56</v>
      </c>
      <c r="B66" s="348" t="s">
        <v>58</v>
      </c>
      <c r="C66" s="334">
        <v>0</v>
      </c>
      <c r="D66" s="334">
        <v>0</v>
      </c>
      <c r="E66" s="334">
        <v>27</v>
      </c>
      <c r="F66" s="334">
        <v>637290</v>
      </c>
    </row>
    <row r="67" spans="1:6">
      <c r="A67" s="355" t="s">
        <v>56</v>
      </c>
      <c r="B67" s="355" t="s">
        <v>59</v>
      </c>
      <c r="C67" s="334">
        <v>0</v>
      </c>
      <c r="D67" s="334">
        <v>0</v>
      </c>
      <c r="E67" s="334">
        <v>0</v>
      </c>
      <c r="F67" s="334">
        <v>0</v>
      </c>
    </row>
    <row r="68" spans="1:6">
      <c r="A68" s="341" t="s">
        <v>56</v>
      </c>
      <c r="B68" s="341" t="s">
        <v>60</v>
      </c>
      <c r="C68" s="334">
        <v>20</v>
      </c>
      <c r="D68" s="334">
        <v>265242.673621742</v>
      </c>
      <c r="E68" s="334">
        <v>38</v>
      </c>
      <c r="F68" s="334">
        <v>836865.3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121324452</v>
      </c>
      <c r="E73" s="477">
        <v>107038287.93950228</v>
      </c>
    </row>
    <row r="74" spans="1:6">
      <c r="A74" s="348" t="s">
        <v>64</v>
      </c>
      <c r="B74" s="348" t="s">
        <v>714</v>
      </c>
      <c r="C74" s="1288" t="s">
        <v>716</v>
      </c>
      <c r="D74" s="477">
        <v>12156652.463120401</v>
      </c>
      <c r="E74" s="477">
        <v>11143683.593623457</v>
      </c>
    </row>
    <row r="75" spans="1:6">
      <c r="A75" s="348" t="s">
        <v>65</v>
      </c>
      <c r="B75" s="348" t="s">
        <v>713</v>
      </c>
      <c r="C75" s="1288" t="s">
        <v>717</v>
      </c>
      <c r="D75" s="477">
        <v>32361283</v>
      </c>
      <c r="E75" s="477">
        <v>27718406.80699202</v>
      </c>
    </row>
    <row r="76" spans="1:6">
      <c r="A76" s="348" t="s">
        <v>65</v>
      </c>
      <c r="B76" s="348" t="s">
        <v>714</v>
      </c>
      <c r="C76" s="1288" t="s">
        <v>718</v>
      </c>
      <c r="D76" s="477">
        <v>1265059.4631204004</v>
      </c>
      <c r="E76" s="477">
        <v>1101112.4568216028</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435331.07375919889</v>
      </c>
      <c r="C83" s="477">
        <v>439047.26679019834</v>
      </c>
    </row>
    <row r="84" spans="1:6">
      <c r="A84" s="341" t="s">
        <v>337</v>
      </c>
      <c r="B84" s="1284">
        <v>176949.11623905605</v>
      </c>
      <c r="C84" s="1284">
        <v>178579.39681426235</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2125.3120732153047</v>
      </c>
    </row>
    <row r="92" spans="1:6">
      <c r="A92" s="341" t="s">
        <v>69</v>
      </c>
      <c r="B92" s="342">
        <v>1124.8945922501939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9792</v>
      </c>
    </row>
    <row r="98" spans="1:6">
      <c r="A98" s="348" t="s">
        <v>72</v>
      </c>
      <c r="B98" s="334">
        <v>3</v>
      </c>
    </row>
    <row r="99" spans="1:6">
      <c r="A99" s="348" t="s">
        <v>73</v>
      </c>
      <c r="B99" s="334">
        <v>58</v>
      </c>
    </row>
    <row r="100" spans="1:6">
      <c r="A100" s="348" t="s">
        <v>74</v>
      </c>
      <c r="B100" s="334">
        <v>1420</v>
      </c>
    </row>
    <row r="101" spans="1:6">
      <c r="A101" s="348" t="s">
        <v>75</v>
      </c>
      <c r="B101" s="334">
        <v>56</v>
      </c>
    </row>
    <row r="102" spans="1:6">
      <c r="A102" s="348" t="s">
        <v>76</v>
      </c>
      <c r="B102" s="334">
        <v>435</v>
      </c>
    </row>
    <row r="103" spans="1:6">
      <c r="A103" s="348" t="s">
        <v>77</v>
      </c>
      <c r="B103" s="334">
        <v>92</v>
      </c>
    </row>
    <row r="104" spans="1:6">
      <c r="A104" s="348" t="s">
        <v>78</v>
      </c>
      <c r="B104" s="334">
        <v>3205</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23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80</v>
      </c>
    </row>
    <row r="130" spans="1:6">
      <c r="A130" s="348" t="s">
        <v>295</v>
      </c>
      <c r="B130" s="334">
        <v>0</v>
      </c>
    </row>
    <row r="131" spans="1:6">
      <c r="A131" s="348" t="s">
        <v>296</v>
      </c>
      <c r="B131" s="334">
        <v>4</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185007.94607008185</v>
      </c>
      <c r="C3" s="43" t="s">
        <v>170</v>
      </c>
      <c r="D3" s="43"/>
      <c r="E3" s="154"/>
      <c r="F3" s="43"/>
      <c r="G3" s="43"/>
      <c r="H3" s="43"/>
      <c r="I3" s="43"/>
      <c r="J3" s="43"/>
      <c r="K3" s="96"/>
    </row>
    <row r="4" spans="1:11">
      <c r="A4" s="384" t="s">
        <v>171</v>
      </c>
      <c r="B4" s="49">
        <f>IF(ISERROR('SEAP template'!B69),0,'SEAP template'!B69)</f>
        <v>3250.2066654654986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0.21711748744675119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3145.3470000000002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3145.3470000000002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0.21711748744675119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682.90983778817656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72540.354511000012</v>
      </c>
      <c r="C5" s="17">
        <f>IF(ISERROR('Eigen informatie GS &amp; warmtenet'!B57),0,'Eigen informatie GS &amp; warmtenet'!B57)</f>
        <v>0</v>
      </c>
      <c r="D5" s="30">
        <f>(SUM(HH_hh_gas_kWh,HH_rest_gas_kWh)/1000)*0.902</f>
        <v>199730.95652774378</v>
      </c>
      <c r="E5" s="17">
        <f>B46*B57</f>
        <v>0</v>
      </c>
      <c r="F5" s="17">
        <f>B51*B62</f>
        <v>0</v>
      </c>
      <c r="G5" s="18"/>
      <c r="H5" s="17"/>
      <c r="I5" s="17"/>
      <c r="J5" s="17">
        <f>B50*B61+C50*C61</f>
        <v>0</v>
      </c>
      <c r="K5" s="17"/>
      <c r="L5" s="17"/>
      <c r="M5" s="17"/>
      <c r="N5" s="17">
        <f>B48*B59+C48*C59</f>
        <v>0</v>
      </c>
      <c r="O5" s="17">
        <f>B69*B70*B71</f>
        <v>161.02333333333334</v>
      </c>
      <c r="P5" s="17">
        <f>B77*B78*B79/1000-B77*B78*B79/1000/B80</f>
        <v>324.13333333333333</v>
      </c>
    </row>
    <row r="6" spans="1:16">
      <c r="A6" s="16" t="s">
        <v>631</v>
      </c>
      <c r="B6" s="844">
        <f>kWh_PV_kleiner_dan_10kW</f>
        <v>2125.3120732153047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74665.666584215316</v>
      </c>
      <c r="C8" s="21">
        <f>C5</f>
        <v>0</v>
      </c>
      <c r="D8" s="21">
        <f>D5</f>
        <v>199730.95652774378</v>
      </c>
      <c r="E8" s="21">
        <f>E5</f>
        <v>0</v>
      </c>
      <c r="F8" s="21">
        <f>F5</f>
        <v>0</v>
      </c>
      <c r="G8" s="21"/>
      <c r="H8" s="21"/>
      <c r="I8" s="21"/>
      <c r="J8" s="21">
        <f>J5</f>
        <v>0</v>
      </c>
      <c r="K8" s="21"/>
      <c r="L8" s="21">
        <f>L5</f>
        <v>0</v>
      </c>
      <c r="M8" s="21">
        <f>M5</f>
        <v>0</v>
      </c>
      <c r="N8" s="21">
        <f>N5</f>
        <v>0</v>
      </c>
      <c r="O8" s="21">
        <f>O5</f>
        <v>161.02333333333334</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0.21711748744675119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16211.221927301678</v>
      </c>
      <c r="C12" s="23">
        <f ca="1">C10*C8</f>
        <v>0</v>
      </c>
      <c r="D12" s="23">
        <f>D8*D10</f>
        <v>40345.653218604246</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9792</v>
      </c>
      <c r="C18" s="166" t="s">
        <v>111</v>
      </c>
      <c r="D18" s="228"/>
      <c r="E18" s="15"/>
    </row>
    <row r="19" spans="1:7">
      <c r="A19" s="171" t="s">
        <v>72</v>
      </c>
      <c r="B19" s="37">
        <f>aantalw2001_ander</f>
        <v>3</v>
      </c>
      <c r="C19" s="166" t="s">
        <v>111</v>
      </c>
      <c r="D19" s="229"/>
      <c r="E19" s="15"/>
    </row>
    <row r="20" spans="1:7">
      <c r="A20" s="171" t="s">
        <v>73</v>
      </c>
      <c r="B20" s="37">
        <f>aantalw2001_propaan</f>
        <v>58</v>
      </c>
      <c r="C20" s="167">
        <f>IF(ISERROR(B20/SUM($B$20,$B$21,$B$22)*100),0,B20/SUM($B$20,$B$21,$B$22)*100)</f>
        <v>3.7809647979139509</v>
      </c>
      <c r="D20" s="229"/>
      <c r="E20" s="15"/>
    </row>
    <row r="21" spans="1:7">
      <c r="A21" s="171" t="s">
        <v>74</v>
      </c>
      <c r="B21" s="37">
        <f>aantalw2001_elektriciteit</f>
        <v>1420</v>
      </c>
      <c r="C21" s="167">
        <f>IF(ISERROR(B21/SUM($B$20,$B$21,$B$22)*100),0,B21/SUM($B$20,$B$21,$B$22)*100)</f>
        <v>92.568448500651897</v>
      </c>
      <c r="D21" s="229"/>
      <c r="E21" s="15"/>
    </row>
    <row r="22" spans="1:7">
      <c r="A22" s="171" t="s">
        <v>75</v>
      </c>
      <c r="B22" s="37">
        <f>aantalw2001_hout</f>
        <v>56</v>
      </c>
      <c r="C22" s="167">
        <f>IF(ISERROR(B22/SUM($B$20,$B$21,$B$22)*100),0,B22/SUM($B$20,$B$21,$B$22)*100)</f>
        <v>3.6505867014341589</v>
      </c>
      <c r="D22" s="229"/>
      <c r="E22" s="15"/>
    </row>
    <row r="23" spans="1:7">
      <c r="A23" s="171" t="s">
        <v>76</v>
      </c>
      <c r="B23" s="37">
        <f>aantalw2001_niet_gespec</f>
        <v>435</v>
      </c>
      <c r="C23" s="166" t="s">
        <v>111</v>
      </c>
      <c r="D23" s="228"/>
      <c r="E23" s="15"/>
    </row>
    <row r="24" spans="1:7">
      <c r="A24" s="171" t="s">
        <v>77</v>
      </c>
      <c r="B24" s="37">
        <f>aantalw2001_steenkool</f>
        <v>92</v>
      </c>
      <c r="C24" s="166" t="s">
        <v>111</v>
      </c>
      <c r="D24" s="229"/>
      <c r="E24" s="15"/>
    </row>
    <row r="25" spans="1:7">
      <c r="A25" s="171" t="s">
        <v>78</v>
      </c>
      <c r="B25" s="37">
        <f>aantalw2001_stookolie</f>
        <v>3205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16781</v>
      </c>
      <c r="C28" s="36"/>
      <c r="D28" s="228"/>
    </row>
    <row r="29" spans="1:7" s="15" customFormat="1">
      <c r="A29" s="230" t="s">
        <v>741</v>
      </c>
      <c r="B29" s="37">
        <f>SUM(HH_hh_gas_aantal,HH_rest_gas_aantal)</f>
        <v>20505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20505</v>
      </c>
      <c r="C32" s="167">
        <f>IF(ISERROR(B32/SUM($B$32,$B$34,$B$35,$B$36,$B$38,$B$39)*100),0,B32/SUM($B$32,$B$34,$B$35,$B$36,$B$38,$B$39)*100)</f>
        <v>100</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0</v>
      </c>
      <c r="C35" s="167">
        <f>IF(ISERROR(B35/SUM($B$32,$B$34,$B$35,$B$36,$B$38,$B$39)*100),0,B35/SUM($B$32,$B$34,$B$35,$B$36,$B$38,$B$39)*100)</f>
        <v>0</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20505</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0</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93395.29879999999</v>
      </c>
      <c r="C5" s="17">
        <f>IF(ISERROR('Eigen informatie GS &amp; warmtenet'!B58),0,'Eigen informatie GS &amp; warmtenet'!B58)</f>
        <v>0</v>
      </c>
      <c r="D5" s="30">
        <f>SUM(D6:D12)</f>
        <v>101641.32795470154</v>
      </c>
      <c r="E5" s="17">
        <f>SUM(E6:E12)</f>
        <v>1242.7433835767442</v>
      </c>
      <c r="F5" s="17">
        <f>SUM(F6:F12)</f>
        <v>14204.814577916712</v>
      </c>
      <c r="G5" s="18"/>
      <c r="H5" s="17"/>
      <c r="I5" s="17"/>
      <c r="J5" s="17">
        <f>SUM(J6:J12)</f>
        <v>0</v>
      </c>
      <c r="K5" s="17"/>
      <c r="L5" s="17"/>
      <c r="M5" s="17"/>
      <c r="N5" s="17">
        <f>SUM(N6:N12)</f>
        <v>7612.858259435121</v>
      </c>
      <c r="O5" s="17">
        <f>B38*B39*B40</f>
        <v>0</v>
      </c>
      <c r="P5" s="17">
        <f>B46*B47*B48/1000-B46*B47*B48/1000/B49</f>
        <v>76.266666666666666</v>
      </c>
      <c r="R5" s="32"/>
    </row>
    <row r="6" spans="1:18">
      <c r="A6" s="32" t="s">
        <v>54</v>
      </c>
      <c r="B6" s="37">
        <f>B26</f>
        <v>27087.522000000001</v>
      </c>
      <c r="C6" s="33"/>
      <c r="D6" s="37">
        <f>IF(ISERROR(TER_kantoor_gas_kWh/1000),0,TER_kantoor_gas_kWh/1000)*0.902</f>
        <v>51907.196967900054</v>
      </c>
      <c r="E6" s="33">
        <f>$C$26*'E Balans VL '!I12/100/3.6*1000000</f>
        <v>78.476525537004164</v>
      </c>
      <c r="F6" s="33">
        <f>$C$26*('E Balans VL '!L12+'E Balans VL '!N12)/100/3.6*1000000</f>
        <v>3065.7107060202484</v>
      </c>
      <c r="G6" s="34"/>
      <c r="H6" s="33"/>
      <c r="I6" s="33"/>
      <c r="J6" s="33">
        <f>$C$26*('E Balans VL '!D12+'E Balans VL '!E12)/100/3.6*1000000</f>
        <v>0</v>
      </c>
      <c r="K6" s="33"/>
      <c r="L6" s="33"/>
      <c r="M6" s="33"/>
      <c r="N6" s="33">
        <f>$C$26*'E Balans VL '!Y12/100/3.6*1000000</f>
        <v>271.12613624264668</v>
      </c>
      <c r="O6" s="33"/>
      <c r="P6" s="33"/>
      <c r="R6" s="32"/>
    </row>
    <row r="7" spans="1:18">
      <c r="A7" s="32" t="s">
        <v>53</v>
      </c>
      <c r="B7" s="37">
        <f t="shared" ref="B7:B12" si="0">B27</f>
        <v>17631.633999999998</v>
      </c>
      <c r="C7" s="33"/>
      <c r="D7" s="37">
        <f>IF(ISERROR(TER_horeca_gas_kWh/1000),0,TER_horeca_gas_kWh/1000)*0.902</f>
        <v>17503.256069522558</v>
      </c>
      <c r="E7" s="33">
        <f>$C$27*'E Balans VL '!I9/100/3.6*1000000</f>
        <v>740.12673350820614</v>
      </c>
      <c r="F7" s="33">
        <f>$C$27*('E Balans VL '!L9+'E Balans VL '!N9)/100/3.6*1000000</f>
        <v>3788.5181356089652</v>
      </c>
      <c r="G7" s="34"/>
      <c r="H7" s="33"/>
      <c r="I7" s="33"/>
      <c r="J7" s="33">
        <f>$C$27*('E Balans VL '!D9+'E Balans VL '!E9)/100/3.6*1000000</f>
        <v>0</v>
      </c>
      <c r="K7" s="33"/>
      <c r="L7" s="33"/>
      <c r="M7" s="33"/>
      <c r="N7" s="33">
        <f>$C$27*'E Balans VL '!Y9/100/3.6*1000000</f>
        <v>4.5435178875669182</v>
      </c>
      <c r="O7" s="33"/>
      <c r="P7" s="33"/>
      <c r="R7" s="32"/>
    </row>
    <row r="8" spans="1:18">
      <c r="A8" s="6" t="s">
        <v>52</v>
      </c>
      <c r="B8" s="37">
        <f t="shared" si="0"/>
        <v>29623.094000000001</v>
      </c>
      <c r="C8" s="33"/>
      <c r="D8" s="37">
        <f>IF(ISERROR(TER_handel_gas_kWh/1000),0,TER_handel_gas_kWh/1000)*0.902</f>
        <v>12889.342500289362</v>
      </c>
      <c r="E8" s="33">
        <f>$C$28*'E Balans VL '!I13/100/3.6*1000000</f>
        <v>318.17668416028999</v>
      </c>
      <c r="F8" s="33">
        <f>$C$28*('E Balans VL '!L13+'E Balans VL '!N13)/100/3.6*1000000</f>
        <v>3834.954140767411</v>
      </c>
      <c r="G8" s="34"/>
      <c r="H8" s="33"/>
      <c r="I8" s="33"/>
      <c r="J8" s="33">
        <f>$C$28*('E Balans VL '!D13+'E Balans VL '!E13)/100/3.6*1000000</f>
        <v>0</v>
      </c>
      <c r="K8" s="33"/>
      <c r="L8" s="33"/>
      <c r="M8" s="33"/>
      <c r="N8" s="33">
        <f>$C$28*'E Balans VL '!Y13/100/3.6*1000000</f>
        <v>240.30415601926018</v>
      </c>
      <c r="O8" s="33"/>
      <c r="P8" s="33"/>
      <c r="R8" s="32"/>
    </row>
    <row r="9" spans="1:18">
      <c r="A9" s="32" t="s">
        <v>51</v>
      </c>
      <c r="B9" s="37">
        <f t="shared" si="0"/>
        <v>1386.741</v>
      </c>
      <c r="C9" s="33"/>
      <c r="D9" s="37">
        <f>IF(ISERROR(TER_gezond_gas_kWh/1000),0,TER_gezond_gas_kWh/1000)*0.902</f>
        <v>4469.8692390821616</v>
      </c>
      <c r="E9" s="33">
        <f>$C$29*'E Balans VL '!I10/100/3.6*1000000</f>
        <v>1.1039355280049603</v>
      </c>
      <c r="F9" s="33">
        <f>$C$29*('E Balans VL '!L10+'E Balans VL '!N10)/100/3.6*1000000</f>
        <v>168.57840876248005</v>
      </c>
      <c r="G9" s="34"/>
      <c r="H9" s="33"/>
      <c r="I9" s="33"/>
      <c r="J9" s="33">
        <f>$C$29*('E Balans VL '!D10+'E Balans VL '!E10)/100/3.6*1000000</f>
        <v>0</v>
      </c>
      <c r="K9" s="33"/>
      <c r="L9" s="33"/>
      <c r="M9" s="33"/>
      <c r="N9" s="33">
        <f>$C$29*'E Balans VL '!Y10/100/3.6*1000000</f>
        <v>11.201726405111122</v>
      </c>
      <c r="O9" s="33"/>
      <c r="P9" s="33"/>
      <c r="R9" s="32"/>
    </row>
    <row r="10" spans="1:18">
      <c r="A10" s="32" t="s">
        <v>50</v>
      </c>
      <c r="B10" s="37">
        <f t="shared" si="0"/>
        <v>9075.0210000000006</v>
      </c>
      <c r="C10" s="33"/>
      <c r="D10" s="37">
        <f>IF(ISERROR(TER_ander_gas_kWh/1000),0,TER_ander_gas_kWh/1000)*0.902</f>
        <v>4544.4544656851385</v>
      </c>
      <c r="E10" s="33">
        <f>$C$30*'E Balans VL '!I14/100/3.6*1000000</f>
        <v>31.100573707491911</v>
      </c>
      <c r="F10" s="33">
        <f>$C$30*('E Balans VL '!L14+'E Balans VL '!N14)/100/3.6*1000000</f>
        <v>2026.9909259858359</v>
      </c>
      <c r="G10" s="34"/>
      <c r="H10" s="33"/>
      <c r="I10" s="33"/>
      <c r="J10" s="33">
        <f>$C$30*('E Balans VL '!D14+'E Balans VL '!E14)/100/3.6*1000000</f>
        <v>0</v>
      </c>
      <c r="K10" s="33"/>
      <c r="L10" s="33"/>
      <c r="M10" s="33"/>
      <c r="N10" s="33">
        <f>$C$30*'E Balans VL '!Y14/100/3.6*1000000</f>
        <v>6392.4943682706498</v>
      </c>
      <c r="O10" s="33"/>
      <c r="P10" s="33"/>
      <c r="R10" s="32"/>
    </row>
    <row r="11" spans="1:18">
      <c r="A11" s="32" t="s">
        <v>55</v>
      </c>
      <c r="B11" s="37">
        <f t="shared" si="0"/>
        <v>469.01079999999996</v>
      </c>
      <c r="C11" s="33"/>
      <c r="D11" s="37">
        <f>IF(ISERROR(TER_onderwijs_gas_kWh/1000),0,TER_onderwijs_gas_kWh/1000)*0.902</f>
        <v>2280.9057626494591</v>
      </c>
      <c r="E11" s="33">
        <f>$C$31*'E Balans VL '!I11/100/3.6*1000000</f>
        <v>0.32421272164415182</v>
      </c>
      <c r="F11" s="33">
        <f>$C$31*('E Balans VL '!L11+'E Balans VL '!N11)/100/3.6*1000000</f>
        <v>122.77340360065969</v>
      </c>
      <c r="G11" s="34"/>
      <c r="H11" s="33"/>
      <c r="I11" s="33"/>
      <c r="J11" s="33">
        <f>$C$31*('E Balans VL '!D11+'E Balans VL '!E11)/100/3.6*1000000</f>
        <v>0</v>
      </c>
      <c r="K11" s="33"/>
      <c r="L11" s="33"/>
      <c r="M11" s="33"/>
      <c r="N11" s="33">
        <f>$C$31*'E Balans VL '!Y11/100/3.6*1000000</f>
        <v>0.46686030417626939</v>
      </c>
      <c r="O11" s="33"/>
      <c r="P11" s="33"/>
      <c r="R11" s="32"/>
    </row>
    <row r="12" spans="1:18">
      <c r="A12" s="32" t="s">
        <v>260</v>
      </c>
      <c r="B12" s="37">
        <f t="shared" si="0"/>
        <v>8122.2759999999998</v>
      </c>
      <c r="C12" s="33"/>
      <c r="D12" s="37">
        <f>IF(ISERROR(TER_rest_gas_kWh/1000),0,TER_rest_gas_kWh/1000)*0.902</f>
        <v>8046.302949572796</v>
      </c>
      <c r="E12" s="33">
        <f>$C$32*'E Balans VL '!I8/100/3.6*1000000</f>
        <v>73.434718414102662</v>
      </c>
      <c r="F12" s="33">
        <f>$C$32*('E Balans VL '!L8+'E Balans VL '!N8)/100/3.6*1000000</f>
        <v>1197.2888571711103</v>
      </c>
      <c r="G12" s="34"/>
      <c r="H12" s="33"/>
      <c r="I12" s="33"/>
      <c r="J12" s="33">
        <f>$C$32*('E Balans VL '!D8+'E Balans VL '!E8)/100/3.6*1000000</f>
        <v>0</v>
      </c>
      <c r="K12" s="33"/>
      <c r="L12" s="33"/>
      <c r="M12" s="33"/>
      <c r="N12" s="33">
        <f>$C$32*'E Balans VL '!Y8/100/3.6*1000000</f>
        <v>692.72149430570937</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93395.29879999999</v>
      </c>
      <c r="C16" s="21">
        <f t="shared" ca="1" si="1"/>
        <v>0</v>
      </c>
      <c r="D16" s="21">
        <f t="shared" ca="1" si="1"/>
        <v>101641.32795470154</v>
      </c>
      <c r="E16" s="21">
        <f t="shared" si="1"/>
        <v>1242.7433835767442</v>
      </c>
      <c r="F16" s="21">
        <f t="shared" ca="1" si="1"/>
        <v>14204.814577916712</v>
      </c>
      <c r="G16" s="21">
        <f t="shared" si="1"/>
        <v>0</v>
      </c>
      <c r="H16" s="21">
        <f t="shared" si="1"/>
        <v>0</v>
      </c>
      <c r="I16" s="21">
        <f t="shared" si="1"/>
        <v>0</v>
      </c>
      <c r="J16" s="21">
        <f t="shared" si="1"/>
        <v>0</v>
      </c>
      <c r="K16" s="21">
        <f t="shared" si="1"/>
        <v>0</v>
      </c>
      <c r="L16" s="21">
        <f t="shared" ca="1" si="1"/>
        <v>0</v>
      </c>
      <c r="M16" s="21">
        <f t="shared" si="1"/>
        <v>0</v>
      </c>
      <c r="N16" s="21">
        <f t="shared" ca="1" si="1"/>
        <v>7612.858259435121</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0.21711748744675119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20277.752614794575</v>
      </c>
      <c r="C20" s="23">
        <f t="shared" ref="C20:P20" ca="1" si="2">C16*C18</f>
        <v>0</v>
      </c>
      <c r="D20" s="23">
        <f t="shared" ca="1" si="2"/>
        <v>20531.548246849714</v>
      </c>
      <c r="E20" s="23">
        <f t="shared" si="2"/>
        <v>282.10274807192093</v>
      </c>
      <c r="F20" s="23">
        <f t="shared" ca="1" si="2"/>
        <v>3792.6854923037622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27087.522000000001</v>
      </c>
      <c r="C26" s="39">
        <f>IF(ISERROR(B26*3.6/1000000/'E Balans VL '!Z12*100),0,B26*3.6/1000000/'E Balans VL '!Z12*100)</f>
        <v>0.59500873704136115</v>
      </c>
      <c r="D26" s="237" t="s">
        <v>692</v>
      </c>
      <c r="F26" s="6"/>
    </row>
    <row r="27" spans="1:18">
      <c r="A27" s="231" t="s">
        <v>53</v>
      </c>
      <c r="B27" s="33">
        <f>IF(ISERROR(TER_horeca_ele_kWh/1000),0,TER_horeca_ele_kWh/1000)</f>
        <v>17631.633999999998</v>
      </c>
      <c r="C27" s="39">
        <f>IF(ISERROR(B27*3.6/1000000/'E Balans VL '!Z9*100),0,B27*3.6/1000000/'E Balans VL '!Z9*100)</f>
        <v>1.416877546103559</v>
      </c>
      <c r="D27" s="237" t="s">
        <v>692</v>
      </c>
      <c r="F27" s="6"/>
    </row>
    <row r="28" spans="1:18">
      <c r="A28" s="171" t="s">
        <v>52</v>
      </c>
      <c r="B28" s="33">
        <f>IF(ISERROR(TER_handel_ele_kWh/1000),0,TER_handel_ele_kWh/1000)</f>
        <v>29623.094000000001</v>
      </c>
      <c r="C28" s="39">
        <f>IF(ISERROR(B28*3.6/1000000/'E Balans VL '!Z13*100),0,B28*3.6/1000000/'E Balans VL '!Z13*100)</f>
        <v>0.87593419445200493</v>
      </c>
      <c r="D28" s="237" t="s">
        <v>692</v>
      </c>
      <c r="F28" s="6"/>
    </row>
    <row r="29" spans="1:18">
      <c r="A29" s="231" t="s">
        <v>51</v>
      </c>
      <c r="B29" s="33">
        <f>IF(ISERROR(TER_gezond_ele_kWh/1000),0,TER_gezond_ele_kWh/1000)</f>
        <v>1386.741</v>
      </c>
      <c r="C29" s="39">
        <f>IF(ISERROR(B29*3.6/1000000/'E Balans VL '!Z10*100),0,B29*3.6/1000000/'E Balans VL '!Z10*100)</f>
        <v>0.15624990820337806</v>
      </c>
      <c r="D29" s="237" t="s">
        <v>692</v>
      </c>
      <c r="F29" s="6"/>
    </row>
    <row r="30" spans="1:18">
      <c r="A30" s="231" t="s">
        <v>50</v>
      </c>
      <c r="B30" s="33">
        <f>IF(ISERROR(TER_ander_ele_kWh/1000),0,TER_ander_ele_kWh/1000)</f>
        <v>9075.0210000000006</v>
      </c>
      <c r="C30" s="39">
        <f>IF(ISERROR(B30*3.6/1000000/'E Balans VL '!Z14*100),0,B30*3.6/1000000/'E Balans VL '!Z14*100)</f>
        <v>0.68632832518232589</v>
      </c>
      <c r="D30" s="237" t="s">
        <v>692</v>
      </c>
      <c r="F30" s="6"/>
    </row>
    <row r="31" spans="1:18">
      <c r="A31" s="231" t="s">
        <v>55</v>
      </c>
      <c r="B31" s="33">
        <f>IF(ISERROR(TER_onderwijs_ele_kWh/1000),0,TER_onderwijs_ele_kWh/1000)</f>
        <v>469.01079999999996</v>
      </c>
      <c r="C31" s="39">
        <f>IF(ISERROR(B31*3.6/1000000/'E Balans VL '!Z11*100),0,B31*3.6/1000000/'E Balans VL '!Z11*100)</f>
        <v>9.7355754461688065E-2</v>
      </c>
      <c r="D31" s="237" t="s">
        <v>692</v>
      </c>
    </row>
    <row r="32" spans="1:18">
      <c r="A32" s="231" t="s">
        <v>260</v>
      </c>
      <c r="B32" s="33">
        <f>IF(ISERROR(TER_rest_ele_kWh/1000),0,TER_rest_ele_kWh/1000)</f>
        <v>8122.2759999999998</v>
      </c>
      <c r="C32" s="39">
        <f>IF(ISERROR(B32*3.6/1000000/'E Balans VL '!Z8*100),0,B32*3.6/1000000/'E Balans VL '!Z8*100)</f>
        <v>6.8425397126840329E-2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4</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11500.871079999999</v>
      </c>
      <c r="C5" s="17">
        <f>IF(ISERROR('Eigen informatie GS &amp; warmtenet'!B59),0,'Eigen informatie GS &amp; warmtenet'!B59)</f>
        <v>0</v>
      </c>
      <c r="D5" s="30">
        <f>SUM(D6:D15)</f>
        <v>10125.501017974848</v>
      </c>
      <c r="E5" s="17">
        <f>SUM(E6:E15)</f>
        <v>1686.4463102187683</v>
      </c>
      <c r="F5" s="17">
        <f>SUM(F6:F15)</f>
        <v>8812.7089599773353</v>
      </c>
      <c r="G5" s="18"/>
      <c r="H5" s="17"/>
      <c r="I5" s="17"/>
      <c r="J5" s="17">
        <f>SUM(J6:J15)</f>
        <v>62.698954938221206</v>
      </c>
      <c r="K5" s="17"/>
      <c r="L5" s="17"/>
      <c r="M5" s="17"/>
      <c r="N5" s="17">
        <f>SUM(N6:N15)</f>
        <v>3509.5260518095538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184.67929999999998</v>
      </c>
      <c r="C8" s="33"/>
      <c r="D8" s="37">
        <f>IF( ISERROR(IND_metaal_Gas_kWH/1000),0,IND_metaal_Gas_kWH/1000)*0.902</f>
        <v>67.844016311575501</v>
      </c>
      <c r="E8" s="33">
        <f>C30*'E Balans VL '!I18/100/3.6*1000000</f>
        <v>4.6218765152974388</v>
      </c>
      <c r="F8" s="33">
        <f>C30*'E Balans VL '!L18/100/3.6*1000000+C30*'E Balans VL '!N18/100/3.6*1000000</f>
        <v>57.879411262082094</v>
      </c>
      <c r="G8" s="34"/>
      <c r="H8" s="33"/>
      <c r="I8" s="33"/>
      <c r="J8" s="40">
        <f>C30*'E Balans VL '!D18/100/3.6*1000000+C30*'E Balans VL '!E18/100/3.6*1000000</f>
        <v>0</v>
      </c>
      <c r="K8" s="33"/>
      <c r="L8" s="33"/>
      <c r="M8" s="33"/>
      <c r="N8" s="33">
        <f>C30*'E Balans VL '!Y18/100/3.6*1000000</f>
        <v>4.6396233005774379</v>
      </c>
      <c r="O8" s="33"/>
      <c r="P8" s="33"/>
      <c r="R8" s="32"/>
    </row>
    <row r="9" spans="1:18">
      <c r="A9" s="6" t="s">
        <v>33</v>
      </c>
      <c r="B9" s="37">
        <f t="shared" si="0"/>
        <v>5327.4549999999999</v>
      </c>
      <c r="C9" s="33"/>
      <c r="D9" s="37">
        <f>IF( ISERROR(IND_andere_gas_kWh/1000),0,IND_andere_gas_kWh/1000)*0.902</f>
        <v>6566.8117383409608</v>
      </c>
      <c r="E9" s="33">
        <f>C31*'E Balans VL '!I19/100/3.6*1000000</f>
        <v>1464.8316191369991</v>
      </c>
      <c r="F9" s="33">
        <f>C31*'E Balans VL '!L19/100/3.6*1000000+C31*'E Balans VL '!N19/100/3.6*1000000</f>
        <v>4198.9615837298479</v>
      </c>
      <c r="G9" s="34"/>
      <c r="H9" s="33"/>
      <c r="I9" s="33"/>
      <c r="J9" s="40">
        <f>C31*'E Balans VL '!D19/100/3.6*1000000+C31*'E Balans VL '!E19/100/3.6*1000000</f>
        <v>0</v>
      </c>
      <c r="K9" s="33"/>
      <c r="L9" s="33"/>
      <c r="M9" s="33"/>
      <c r="N9" s="33">
        <f>C31*'E Balans VL '!Y19/100/3.6*1000000</f>
        <v>1724.6378047805545</v>
      </c>
      <c r="O9" s="33"/>
      <c r="P9" s="33"/>
      <c r="R9" s="32"/>
    </row>
    <row r="10" spans="1:18">
      <c r="A10" s="6" t="s">
        <v>41</v>
      </c>
      <c r="B10" s="37">
        <f t="shared" si="0"/>
        <v>1941.759</v>
      </c>
      <c r="C10" s="33"/>
      <c r="D10" s="37">
        <f>IF( ISERROR(IND_voed_gas_kWh/1000),0,IND_voed_gas_kWh/1000)*0.902</f>
        <v>1823.4819969834234</v>
      </c>
      <c r="E10" s="33">
        <f>C32*'E Balans VL '!I20/100/3.6*1000000</f>
        <v>19.795163283863047</v>
      </c>
      <c r="F10" s="33">
        <f>C32*'E Balans VL '!L20/100/3.6*1000000+C32*'E Balans VL '!N20/100/3.6*1000000</f>
        <v>3667.9706064697775</v>
      </c>
      <c r="G10" s="34"/>
      <c r="H10" s="33"/>
      <c r="I10" s="33"/>
      <c r="J10" s="40">
        <f>C32*'E Balans VL '!D20/100/3.6*1000000+C32*'E Balans VL '!E20/100/3.6*1000000</f>
        <v>46.472646334212655</v>
      </c>
      <c r="K10" s="33"/>
      <c r="L10" s="33"/>
      <c r="M10" s="33"/>
      <c r="N10" s="33">
        <f>C32*'E Balans VL '!Y20/100/3.6*1000000</f>
        <v>1023.5306562104195</v>
      </c>
      <c r="O10" s="33"/>
      <c r="P10" s="33"/>
      <c r="R10" s="32"/>
    </row>
    <row r="11" spans="1:18">
      <c r="A11" s="6" t="s">
        <v>40</v>
      </c>
      <c r="B11" s="37">
        <f t="shared" si="0"/>
        <v>110.6006</v>
      </c>
      <c r="C11" s="33"/>
      <c r="D11" s="37">
        <f>IF( ISERROR(IND_textiel_gas_kWh/1000),0,IND_textiel_gas_kWh/1000)*0.902</f>
        <v>75.736676979314552</v>
      </c>
      <c r="E11" s="33">
        <f>C33*'E Balans VL '!I21/100/3.6*1000000</f>
        <v>0.29314569774930022</v>
      </c>
      <c r="F11" s="33">
        <f>C33*'E Balans VL '!L21/100/3.6*1000000+C33*'E Balans VL '!N21/100/3.6*1000000</f>
        <v>4.9395368890144917</v>
      </c>
      <c r="G11" s="34"/>
      <c r="H11" s="33"/>
      <c r="I11" s="33"/>
      <c r="J11" s="40">
        <f>C33*'E Balans VL '!D21/100/3.6*1000000+C33*'E Balans VL '!E21/100/3.6*1000000</f>
        <v>0</v>
      </c>
      <c r="K11" s="33"/>
      <c r="L11" s="33"/>
      <c r="M11" s="33"/>
      <c r="N11" s="33">
        <f>C33*'E Balans VL '!Y21/100/3.6*1000000</f>
        <v>1.0423315930336552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68.670179999999988</v>
      </c>
      <c r="C13" s="33"/>
      <c r="D13" s="37">
        <f>IF( ISERROR(IND_papier_gas_kWh/1000),0,IND_papier_gas_kWh/1000)*0.902</f>
        <v>141.70638693991742</v>
      </c>
      <c r="E13" s="33">
        <f>C35*'E Balans VL '!I23/100/3.6*1000000</f>
        <v>0.14222057790553808</v>
      </c>
      <c r="F13" s="33">
        <f>C35*'E Balans VL '!L23/100/3.6*1000000+C35*'E Balans VL '!N23/100/3.6*1000000</f>
        <v>1.3618768865649846</v>
      </c>
      <c r="G13" s="34"/>
      <c r="H13" s="33"/>
      <c r="I13" s="33"/>
      <c r="J13" s="40">
        <f>C35*'E Balans VL '!D23/100/3.6*1000000+C35*'E Balans VL '!E23/100/3.6*1000000</f>
        <v>0</v>
      </c>
      <c r="K13" s="33"/>
      <c r="L13" s="33"/>
      <c r="M13" s="33"/>
      <c r="N13" s="33">
        <f>C35*'E Balans VL '!Y23/100/3.6*1000000</f>
        <v>28.99583715375644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3867.7069999999999</v>
      </c>
      <c r="C15" s="33"/>
      <c r="D15" s="37">
        <f>IF( ISERROR(IND_rest_gas_kWh/1000),0,IND_rest_gas_kWh/1000)*0.902</f>
        <v>1449.9202024196554</v>
      </c>
      <c r="E15" s="33">
        <f>C37*'E Balans VL '!I15/100/3.6*1000000</f>
        <v>196.76228500695402</v>
      </c>
      <c r="F15" s="33">
        <f>C37*'E Balans VL '!L15/100/3.6*1000000+C37*'E Balans VL '!N15/100/3.6*1000000</f>
        <v>881.59594474004768</v>
      </c>
      <c r="G15" s="34"/>
      <c r="H15" s="33"/>
      <c r="I15" s="33"/>
      <c r="J15" s="40">
        <f>C37*'E Balans VL '!D15/100/3.6*1000000+C37*'E Balans VL '!E15/100/3.6*1000000</f>
        <v>16.226308604008551</v>
      </c>
      <c r="K15" s="33"/>
      <c r="L15" s="33"/>
      <c r="M15" s="33"/>
      <c r="N15" s="33">
        <f>C37*'E Balans VL '!Y15/100/3.6*1000000</f>
        <v>726.67979877121195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11500.871079999999</v>
      </c>
      <c r="C18" s="21">
        <f>C5+C16</f>
        <v>0</v>
      </c>
      <c r="D18" s="21">
        <f>MAX((D5+D16),0)</f>
        <v>10125.501017974848</v>
      </c>
      <c r="E18" s="21">
        <f>MAX((E5+E16),0)</f>
        <v>1686.4463102187683</v>
      </c>
      <c r="F18" s="21">
        <f>MAX((F5+F16),0)</f>
        <v>8812.7089599773353</v>
      </c>
      <c r="G18" s="21"/>
      <c r="H18" s="21"/>
      <c r="I18" s="21"/>
      <c r="J18" s="21">
        <f>MAX((J5+J16),0)</f>
        <v>62.698954938221206</v>
      </c>
      <c r="K18" s="21"/>
      <c r="L18" s="21">
        <f>MAX((L5+L16),0)</f>
        <v>0</v>
      </c>
      <c r="M18" s="21"/>
      <c r="N18" s="21">
        <f>MAX((N5+N16),0)</f>
        <v>3509.5260518095538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0.21711748744675119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2497.0402323386038</v>
      </c>
      <c r="C22" s="23">
        <f ca="1">C18*C20</f>
        <v>0</v>
      </c>
      <c r="D22" s="23">
        <f>D18*D20</f>
        <v>2045.3512056309194</v>
      </c>
      <c r="E22" s="23">
        <f>E18*E20</f>
        <v>382.8233124196604</v>
      </c>
      <c r="F22" s="23">
        <f>F18*F20</f>
        <v>2352.9932923139486</v>
      </c>
      <c r="G22" s="23"/>
      <c r="H22" s="23"/>
      <c r="I22" s="23"/>
      <c r="J22" s="23">
        <f>J18*J20</f>
        <v>22.195430048130305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184.67929999999998</v>
      </c>
      <c r="C30" s="39">
        <f>IF(ISERROR(B30*3.6/1000000/'E Balans VL '!Z18*100),0,B30*3.6/1000000/'E Balans VL '!Z18*100)</f>
        <v>2.5848947494336798E-2</v>
      </c>
      <c r="D30" s="237" t="s">
        <v>692</v>
      </c>
    </row>
    <row r="31" spans="1:18">
      <c r="A31" s="6" t="s">
        <v>33</v>
      </c>
      <c r="B31" s="37">
        <f>IF( ISERROR(IND_ander_ele_kWh/1000),0,IND_ander_ele_kWh/1000)</f>
        <v>5327.4549999999999</v>
      </c>
      <c r="C31" s="39">
        <f>IF(ISERROR(B31*3.6/1000000/'E Balans VL '!Z19*100),0,B31*3.6/1000000/'E Balans VL '!Z19*100)</f>
        <v>0.23318184111401322</v>
      </c>
      <c r="D31" s="237" t="s">
        <v>692</v>
      </c>
    </row>
    <row r="32" spans="1:18">
      <c r="A32" s="171" t="s">
        <v>41</v>
      </c>
      <c r="B32" s="37">
        <f>IF( ISERROR(IND_voed_ele_kWh/1000),0,IND_voed_ele_kWh/1000)</f>
        <v>1941.759</v>
      </c>
      <c r="C32" s="39">
        <f>IF(ISERROR(B32*3.6/1000000/'E Balans VL '!Z20*100),0,B32*3.6/1000000/'E Balans VL '!Z20*100)</f>
        <v>0.48071504576424695</v>
      </c>
      <c r="D32" s="237" t="s">
        <v>692</v>
      </c>
    </row>
    <row r="33" spans="1:5">
      <c r="A33" s="171" t="s">
        <v>40</v>
      </c>
      <c r="B33" s="37">
        <f>IF( ISERROR(IND_textiel_ele_kWh/1000),0,IND_textiel_ele_kWh/1000)</f>
        <v>110.6006</v>
      </c>
      <c r="C33" s="39">
        <f>IF(ISERROR(B33*3.6/1000000/'E Balans VL '!Z21*100),0,B33*3.6/1000000/'E Balans VL '!Z21*100)</f>
        <v>1.2462739372481754E-2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68.670179999999988</v>
      </c>
      <c r="C35" s="39">
        <f>IF(ISERROR(B35*3.6/1000000/'E Balans VL '!Z22*100),0,B35*3.6/1000000/'E Balans VL '!Z22*100)</f>
        <v>1.9485795491226074E-3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3867.7069999999999</v>
      </c>
      <c r="C37" s="39">
        <f>IF(ISERROR(B37*3.6/1000000/'E Balans VL '!Z15*100),0,B37*3.6/1000000/'E Balans VL '!Z15*100)</f>
        <v>2.8678385225540518E-2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1655.9538</v>
      </c>
      <c r="C5" s="17">
        <f>'Eigen informatie GS &amp; warmtenet'!B60</f>
        <v>0</v>
      </c>
      <c r="D5" s="30">
        <f>IF(ISERROR(SUM(LB_lb_gas_kWh,LB_rest_gas_kWh,onbekend_gas_kWh)/1000),0,SUM(LB_lb_gas_kWh,LB_rest_gas_kWh,onbekend_gas_kWh)/1000)*0.902</f>
        <v>33969.57937926727</v>
      </c>
      <c r="E5" s="17">
        <f>B17*'E Balans VL '!I25/3.6*1000000/100</f>
        <v>15.33813767280639</v>
      </c>
      <c r="F5" s="17">
        <f>B17*('E Balans VL '!L25/3.6*1000000+'E Balans VL '!N25/3.6*1000000)/100</f>
        <v>4201.47024947517</v>
      </c>
      <c r="G5" s="18"/>
      <c r="H5" s="17"/>
      <c r="I5" s="17"/>
      <c r="J5" s="17">
        <f>('E Balans VL '!D25+'E Balans VL '!E25)/3.6*1000000*landbouw!B17/100</f>
        <v>253.87619803834511</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1655.9538</v>
      </c>
      <c r="C8" s="21">
        <f>C5+C6</f>
        <v>0</v>
      </c>
      <c r="D8" s="21">
        <f>MAX((D5+D6),0)</f>
        <v>33969.57937926727</v>
      </c>
      <c r="E8" s="21">
        <f>MAX((E5+E6),0)</f>
        <v>15.33813767280639</v>
      </c>
      <c r="F8" s="21">
        <f>MAX((F5+F6),0)</f>
        <v>4201.47024947517</v>
      </c>
      <c r="G8" s="21"/>
      <c r="H8" s="21"/>
      <c r="I8" s="21"/>
      <c r="J8" s="21">
        <f>MAX((J5+J6),0)</f>
        <v>253.87619803834511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0.21711748744675119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359.53652838389991</v>
      </c>
      <c r="C12" s="23">
        <f ca="1">C8*C10</f>
        <v>0</v>
      </c>
      <c r="D12" s="23">
        <f>D8*D10</f>
        <v>6861.8550346119891</v>
      </c>
      <c r="E12" s="23">
        <f>E8*E10</f>
        <v>3.4817572517270508</v>
      </c>
      <c r="F12" s="23">
        <f>F8*F10</f>
        <v>1121.7925566098704</v>
      </c>
      <c r="G12" s="23"/>
      <c r="H12" s="23"/>
      <c r="I12" s="23"/>
      <c r="J12" s="23">
        <f>J8*J10</f>
        <v>89.87217410557416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0.23544151807031338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358.70904303618812</v>
      </c>
      <c r="C26" s="247">
        <f>B26*'GWP N2O_CH4'!B5</f>
        <v>7532.8899037599504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73.751842957863602</v>
      </c>
      <c r="C27" s="247">
        <f>B27*'GWP N2O_CH4'!B5</f>
        <v>1548.7887021151357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5.2595798458915501</v>
      </c>
      <c r="C28" s="247">
        <f>B28*'GWP N2O_CH4'!B4</f>
        <v>1630.4697522263805</v>
      </c>
      <c r="D28" s="50"/>
    </row>
    <row r="29" spans="1:4">
      <c r="A29" s="41" t="s">
        <v>277</v>
      </c>
      <c r="B29" s="247">
        <f>B34*'ha_N2O bodem landbouw'!B4</f>
        <v>22.202766093014773</v>
      </c>
      <c r="C29" s="247">
        <f>B29*'GWP N2O_CH4'!B4</f>
        <v>6882.8574888345793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4.9796892816419613E-3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7.5827416045983164E-5</v>
      </c>
      <c r="C5" s="464" t="s">
        <v>211</v>
      </c>
      <c r="D5" s="449">
        <f>SUM(D6:D11)</f>
        <v>2.0378785478547925E-4</v>
      </c>
      <c r="E5" s="449">
        <f>SUM(E6:E11)</f>
        <v>1.2941473575760782E-3</v>
      </c>
      <c r="F5" s="462" t="s">
        <v>211</v>
      </c>
      <c r="G5" s="449">
        <f>SUM(G6:G11)</f>
        <v>0.39199596756379534</v>
      </c>
      <c r="H5" s="449">
        <f>SUM(H6:H11)</f>
        <v>7.6923556850377064E-2</v>
      </c>
      <c r="I5" s="464" t="s">
        <v>211</v>
      </c>
      <c r="J5" s="464" t="s">
        <v>211</v>
      </c>
      <c r="K5" s="464" t="s">
        <v>211</v>
      </c>
      <c r="L5" s="464" t="s">
        <v>211</v>
      </c>
      <c r="M5" s="449">
        <f>SUM(M6:M11)</f>
        <v>2.5043179810850413E-2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5.9860596029650466E-5</v>
      </c>
      <c r="C6" s="450"/>
      <c r="D6" s="963">
        <f>vkm_2011_GW_PW*SUMIFS(TableVerdeelsleutelVkm[CNG],TableVerdeelsleutelVkm[Voertuigtype],"Lichte voertuigen")*SUMIFS(TableECFTransport[EnergieConsumptieFactor (PJ per km)],TableECFTransport[Index],CONCATENATE($A6,"_CNG_CNG"))</f>
        <v>1.384641489952E-4</v>
      </c>
      <c r="E6" s="963">
        <f>vkm_2011_GW_PW*SUMIFS(TableVerdeelsleutelVkm[LPG],TableVerdeelsleutelVkm[Voertuigtype],"Lichte voertuigen")*SUMIFS(TableECFTransport[EnergieConsumptieFactor (PJ per km)],TableECFTransport[Index],CONCATENATE($A6,"_LPG_LPG"))</f>
        <v>9.0159492209931046E-4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0.18729967482354704</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5.2795907669332683E-2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1.2459716092254521E-2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0.11340752010162251</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3.878331229825007E-5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6.5612678608749668E-3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1.5966820016332695E-5</v>
      </c>
      <c r="C8" s="450"/>
      <c r="D8" s="452">
        <f>vkm_2011_NGW_PW*SUMIFS(TableVerdeelsleutelVkm[CNG],TableVerdeelsleutelVkm[Voertuigtype],"Lichte voertuigen")*SUMIFS(TableECFTransport[EnergieConsumptieFactor (PJ per km)],TableECFTransport[Index],CONCATENATE($A8,"_CNG_CNG"))</f>
        <v>6.5323705790279259E-5</v>
      </c>
      <c r="E8" s="452">
        <f>vkm_2011_NGW_PW*SUMIFS(TableVerdeelsleutelVkm[LPG],TableVerdeelsleutelVkm[Voertuigtype],"Lichte voertuigen")*SUMIFS(TableECFTransport[EnergieConsumptieFactor (PJ per km)],TableECFTransport[Index],CONCATENATE($A8,"_LPG_LPG"))</f>
        <v>3.9255243547676766E-4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7.6233106284731511E-2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2.4083994030492713E-2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5.1511487450270343E-3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1.5055666353894256E-2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4.8718382534095068E-6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8.7104711269389166E-4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21.06317112388421</v>
      </c>
      <c r="C14" s="21"/>
      <c r="D14" s="21">
        <f t="shared" ref="D14:M14" si="0">((D5)*10^9/3600)+D12</f>
        <v>56.607737440410908</v>
      </c>
      <c r="E14" s="21">
        <f t="shared" si="0"/>
        <v>359.48537710446618</v>
      </c>
      <c r="F14" s="21"/>
      <c r="G14" s="21">
        <f t="shared" si="0"/>
        <v>108887.76876772092</v>
      </c>
      <c r="H14" s="21">
        <f t="shared" si="0"/>
        <v>21367.654680660296</v>
      </c>
      <c r="I14" s="21"/>
      <c r="J14" s="21"/>
      <c r="K14" s="21"/>
      <c r="L14" s="21"/>
      <c r="M14" s="21">
        <f t="shared" si="0"/>
        <v>6956.4388363473363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0.21711748744675119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4.5731827920787023</v>
      </c>
      <c r="C18" s="23"/>
      <c r="D18" s="23">
        <f t="shared" ref="D18:M18" si="1">D14*D16</f>
        <v>11.434762962963005</v>
      </c>
      <c r="E18" s="23">
        <f t="shared" si="1"/>
        <v>81.60318060271382</v>
      </c>
      <c r="F18" s="23"/>
      <c r="G18" s="23">
        <f t="shared" si="1"/>
        <v>29073.034260981487</v>
      </c>
      <c r="H18" s="23">
        <f t="shared" si="1"/>
        <v>5320.5460154844141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2.2454842850736212E-3</v>
      </c>
      <c r="C50" s="321">
        <f t="shared" ref="C50:P50" si="2">SUM(C51:C52)</f>
        <v>0</v>
      </c>
      <c r="D50" s="321">
        <f t="shared" si="2"/>
        <v>0</v>
      </c>
      <c r="E50" s="321">
        <f t="shared" si="2"/>
        <v>0</v>
      </c>
      <c r="F50" s="321">
        <f t="shared" si="2"/>
        <v>0</v>
      </c>
      <c r="G50" s="321">
        <f t="shared" si="2"/>
        <v>5.5483109983962969E-3</v>
      </c>
      <c r="H50" s="321">
        <f t="shared" si="2"/>
        <v>0</v>
      </c>
      <c r="I50" s="321">
        <f t="shared" si="2"/>
        <v>0</v>
      </c>
      <c r="J50" s="321">
        <f t="shared" si="2"/>
        <v>0</v>
      </c>
      <c r="K50" s="321">
        <f t="shared" si="2"/>
        <v>0</v>
      </c>
      <c r="L50" s="321">
        <f t="shared" si="2"/>
        <v>0</v>
      </c>
      <c r="M50" s="321">
        <f t="shared" si="2"/>
        <v>3.1640400203825428E-4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5.5483109983962969E-3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3.1640400203825428E-4</v>
      </c>
      <c r="N51" s="323"/>
      <c r="O51" s="323"/>
      <c r="P51" s="326"/>
    </row>
    <row r="52" spans="1:18">
      <c r="A52" s="4" t="s">
        <v>330</v>
      </c>
      <c r="B52" s="964">
        <f>vkm_2011_tram*SUMIFS(TableECFTransport[EnergieConsumptieFactor (PJ per km)],TableECFTransport[Index],"Tram_gemiddeld_Electric_Electric")</f>
        <v>2.2454842850736212E-3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623.74563474267256</v>
      </c>
      <c r="C54" s="21">
        <f t="shared" ref="C54:P54" si="3">(C50)*10^9/3600</f>
        <v>0</v>
      </c>
      <c r="D54" s="21">
        <f t="shared" si="3"/>
        <v>0</v>
      </c>
      <c r="E54" s="21">
        <f t="shared" si="3"/>
        <v>0</v>
      </c>
      <c r="F54" s="21">
        <f t="shared" si="3"/>
        <v>0</v>
      </c>
      <c r="G54" s="21">
        <f t="shared" si="3"/>
        <v>1541.197499554527</v>
      </c>
      <c r="H54" s="21">
        <f t="shared" si="3"/>
        <v>0</v>
      </c>
      <c r="I54" s="21">
        <f t="shared" si="3"/>
        <v>0</v>
      </c>
      <c r="J54" s="21">
        <f t="shared" si="3"/>
        <v>0</v>
      </c>
      <c r="K54" s="21">
        <f t="shared" si="3"/>
        <v>0</v>
      </c>
      <c r="L54" s="21">
        <f t="shared" si="3"/>
        <v>0</v>
      </c>
      <c r="M54" s="21">
        <f t="shared" si="3"/>
        <v>87.89000056618174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0.21711748744675119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135.42608502120805</v>
      </c>
      <c r="C58" s="23">
        <f t="shared" ref="C58:P58" ca="1" si="4">C54*C56</f>
        <v>0</v>
      </c>
      <c r="D58" s="23">
        <f t="shared" si="4"/>
        <v>0</v>
      </c>
      <c r="E58" s="23">
        <f t="shared" si="4"/>
        <v>0</v>
      </c>
      <c r="F58" s="23">
        <f t="shared" si="4"/>
        <v>0</v>
      </c>
      <c r="G58" s="23">
        <f t="shared" si="4"/>
        <v>411.49973238105872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3250.2066654654986</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3250.2066654654986</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2019-01-01T21:32:08Z</dcterms:modified>
</cp:coreProperties>
</file>