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6" i="22"/>
  <c r="C17" i="49"/>
  <c r="C29" i="20"/>
  <c r="C10" i="13"/>
  <c r="C16" i="48" s="1"/>
  <c r="C10" i="17"/>
  <c r="C12" s="1"/>
  <c r="D48" i="14" s="1"/>
  <c r="C56" i="22"/>
  <c r="C58" s="1"/>
  <c r="D44" i="14" s="1"/>
  <c r="D46" s="1"/>
  <c r="E8" i="48"/>
  <c r="E25" s="1"/>
  <c r="E31" s="1"/>
  <c r="O13" i="14"/>
  <c r="O15" s="1"/>
  <c r="N22" i="16"/>
  <c r="O39" i="14" s="1"/>
  <c r="O41" s="1"/>
  <c r="O53" s="1"/>
  <c r="N25" i="48"/>
  <c r="N31" s="1"/>
  <c r="N14"/>
  <c r="K41" i="14"/>
  <c r="K53" s="1"/>
  <c r="E14" i="48"/>
  <c r="K15" i="14"/>
  <c r="K23" s="1"/>
  <c r="H55"/>
  <c r="E55"/>
  <c r="C78"/>
  <c r="C81" s="1"/>
  <c r="J14" i="48"/>
  <c r="J31"/>
  <c r="R19" i="14"/>
  <c r="R20" s="1"/>
  <c r="H14" i="48"/>
  <c r="G31"/>
  <c r="H26"/>
  <c r="H31" s="1"/>
  <c r="F55" i="14"/>
  <c r="G53"/>
  <c r="G55" s="1"/>
  <c r="O69" s="1"/>
  <c r="B9" i="6" s="1"/>
  <c r="B12" s="1"/>
  <c r="M53" i="14"/>
  <c r="M55" s="1"/>
  <c r="C12" i="13"/>
  <c r="D37" i="14" s="1"/>
  <c r="D41" s="1"/>
  <c r="C24" i="48"/>
  <c r="C28"/>
  <c r="C22"/>
  <c r="C25"/>
  <c r="C21"/>
  <c r="R13" i="14"/>
  <c r="R15" s="1"/>
  <c r="F25" i="48"/>
  <c r="F31" s="1"/>
  <c r="F14"/>
  <c r="Q8" l="1"/>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<sst xmlns="http://schemas.openxmlformats.org/spreadsheetml/2006/main" count="2164" uniqueCount="883">
  <si>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</si>
  <si>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</si>
  <si>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</si>
  <si>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</si>
  <si>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</si>
  <si>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</si>
  <si>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</si>
  <si>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</si>
  <si>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</si>
  <si>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</si>
  <si>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</si>
  <si>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</si>
  <si>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</si>
  <si>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</si>
  <si>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</si>
  <si>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</si>
  <si>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</si>
  <si>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</si>
  <si>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</si>
  <si>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</si>
  <si>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</si>
  <si>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</si>
  <si>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</si>
  <si>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</si>
  <si>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</si>
  <si>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</si>
  <si>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</si>
  <si>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</si>
  <si>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</si>
  <si>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</si>
  <si>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</si>
  <si>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</si>
  <si>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</si>
  <si>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</si>
  <si>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</si>
  <si>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</si>
  <si>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</si>
  <si>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</si>
  <si>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</si>
  <si>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</si>
  <si>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</si>
  <si>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</si>
  <si>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</si>
  <si>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</si>
  <si>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</si>
  <si>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</si>
  <si>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</si>
  <si>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</si>
  <si>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</si>
  <si>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</si>
  <si>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</si>
  <si>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</si>
  <si>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</si>
  <si>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</si>
  <si>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</si>
  <si>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</si>
  <si>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</si>
  <si>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</si>
  <si>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</si>
  <si>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</si>
  <si>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</si>
  <si>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</si>
  <si>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</si>
  <si>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</si>
  <si>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</si>
  <si>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</si>
  <si>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</si>
  <si>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</si>
  <si>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</si>
  <si>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</si>
  <si>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</si>
  <si>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</si>
  <si>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</si>
  <si>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</si>
  <si>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</si>
  <si>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</si>
  <si>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</si>
  <si>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</si>
  <si>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</si>
  <si>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</si>
  <si>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</si>
  <si>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</si>
  <si>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</si>
  <si>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</si>
  <si>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</si>
  <si>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</si>
  <si>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</si>
  <si>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</si>
  <si>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</si>
  <si>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</si>
  <si>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</si>
  <si>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</si>
  <si>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</si>
  <si>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</si>
  <si>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</si>
  <si>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</si>
  <si>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</si>
  <si>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</si>
  <si>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</si>
  <si>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</si>
  <si>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</si>
  <si>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</si>
  <si>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</si>
  <si>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</si>
  <si>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</si>
  <si>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</si>
  <si>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</si>
  <si>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</si>
  <si>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</si>
  <si>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</si>
  <si>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</si>
  <si>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</si>
  <si>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</si>
  <si>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</si>
  <si>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</si>
  <si>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</si>
  <si>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</si>
  <si>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</si>
  <si>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</si>
  <si>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</si>
  <si>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</si>
  <si>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</si>
  <si>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</si>
  <si>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</si>
  <si>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</si>
  <si>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</si>
  <si>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</si>
  <si>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</si>
  <si>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</si>
  <si>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</si>
  <si>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</si>
  <si>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</si>
  <si>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</si>
  <si>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</si>
  <si>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</si>
  <si>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</si>
  <si>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</si>
  <si>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</si>
  <si>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</si>
  <si>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</si>
  <si>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</si>
  <si>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</si>
  <si>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</si>
  <si>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</si>
  <si>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</si>
  <si>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</si>
  <si>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</si>
  <si>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</si>
  <si>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</si>
  <si>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</si>
  <si>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</si>
  <si>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</si>
  <si>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</si>
  <si>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</si>
  <si>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</si>
  <si>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</si>
  <si>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</si>
  <si>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</si>
  <si>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</si>
  <si>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</si>
  <si>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</si>
  <si>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</si>
  <si>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</si>
  <si>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</si>
  <si>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</si>
  <si>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</si>
  <si>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</si>
  <si>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</si>
  <si>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</si>
  <si>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</si>
  <si>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</si>
  <si>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</si>
  <si>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</si>
  <si>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</si>
  <si>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</si>
  <si>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</si>
  <si>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</si>
  <si>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</si>
  <si>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</si>
  <si>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</si>
  <si>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</si>
  <si>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</si>
  <si>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</si>
  <si>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</si>
  <si>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</si>
  <si>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</si>
  <si>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</si>
  <si>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</si>
  <si>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</si>
  <si>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</si>
  <si>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</si>
  <si>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</si>
  <si>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</si>
  <si>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</si>
  <si>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</si>
  <si>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</si>
  <si>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</si>
  <si>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</si>
  <si>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</si>
  <si>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</si>
  <si>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</si>
  <si>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</si>
  <si>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</si>
  <si>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</si>
  <si>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</si>
  <si>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</si>
  <si>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</si>
  <si>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</si>
  <si>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</si>
  <si>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</si>
  <si>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</si>
  <si>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</si>
  <si>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</si>
  <si>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</si>
  <si>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</si>
  <si>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</si>
  <si>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</si>
  <si>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</si>
  <si>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</si>
  <si>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</si>
  <si>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</si>
  <si>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</si>
  <si>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</si>
  <si>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</si>
  <si>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</si>
  <si>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</si>
  <si>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</si>
  <si>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</si>
  <si>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</si>
  <si>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</si>
  <si>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</si>
  <si>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</si>
  <si>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</si>
  <si>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</si>
  <si>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</si>
  <si>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</si>
  <si>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</si>
  <si>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</si>
  <si>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</si>
  <si>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</si>
  <si>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</si>
  <si>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</si>
  <si>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</si>
  <si>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</si>
  <si>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</si>
  <si>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</si>
  <si>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</si>
  <si>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</si>
  <si>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</si>
  <si>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</si>
  <si>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</si>
  <si>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</si>
  <si>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</si>
  <si>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</si>
  <si>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</si>
  <si>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</si>
  <si>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</si>
  <si>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</si>
  <si>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</si>
  <si>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</si>
  <si>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</si>
  <si>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</si>
  <si>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</si>
  <si>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</si>
  <si>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</si>
  <si>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</si>
  <si>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</si>
  <si>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</si>
  <si>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</si>
  <si>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</si>
  <si>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</si>
  <si>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</si>
  <si>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</si>
  <si>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</si>
  <si>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</si>
  <si>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</si>
  <si>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</si>
  <si>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</si>
  <si>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</si>
  <si>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</si>
  <si>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</si>
  <si>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</si>
  <si>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</si>
  <si>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</si>
  <si>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</si>
  <si>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</si>
  <si>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</si>
  <si>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</si>
  <si>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</si>
  <si>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</si>
  <si>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</si>
  <si>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</si>
  <si>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</si>
  <si>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</si>
  <si>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</si>
  <si>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</si>
  <si>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</si>
  <si>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</si>
  <si>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</si>
  <si>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</si>
  <si>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</si>
  <si>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</si>
  <si>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</si>
  <si>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</si>
  <si>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</si>
  <si>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</si>
  <si>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</si>
  <si>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</si>
  <si>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</si>
  <si>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</si>
  <si>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</si>
  <si>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</si>
  <si>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</si>
  <si>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</si>
  <si>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</si>
  <si>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</si>
  <si>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</si>
  <si>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</si>
  <si>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</si>
  <si>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</si>
  <si>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</si>
  <si>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</si>
  <si>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</si>
  <si>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</si>
  <si>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</si>
  <si>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</si>
  <si>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</si>
  <si>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</si>
  <si>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</si>
  <si>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</si>
  <si>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</si>
  <si>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</si>
  <si>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</si>
  <si>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</si>
  <si>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</si>
  <si>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</si>
  <si>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</si>
  <si>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</si>
  <si>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</si>
  <si>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</si>
  <si>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</si>
  <si>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</si>
  <si>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</si>
  <si>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</si>
  <si>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</si>
  <si>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</si>
  <si>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</si>
  <si>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</si>
  <si>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</si>
  <si>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</si>
  <si>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</si>
  <si>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</si>
  <si>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</si>
  <si>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</si>
  <si>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</si>
  <si>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</si>
  <si>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</si>
  <si>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</si>
  <si>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</si>
  <si>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</si>
  <si>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</si>
  <si>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</si>
  <si>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</si>
  <si>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</si>
  <si>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</si>
  <si>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</si>
  <si>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</si>
  <si>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</si>
  <si>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</si>
  <si>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</si>
  <si>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</si>
  <si>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</si>
  <si>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</si>
  <si>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</si>
  <si>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</si>
  <si>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</si>
  <si>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</si>
  <si>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</si>
  <si>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</si>
  <si>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</si>
  <si>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</si>
  <si>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</si>
  <si>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</si>
  <si>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</si>
  <si>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</si>
  <si>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</si>
  <si>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</si>
  <si>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</si>
  <si>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</si>
  <si>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</si>
  <si>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</si>
  <si>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</si>
  <si>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</si>
  <si>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</si>
  <si>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</si>
  <si>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</si>
  <si>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</si>
  <si>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</si>
  <si>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</si>
  <si>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</si>
  <si>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</si>
  <si>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</si>
  <si>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</si>
  <si>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</si>
  <si>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</si>
  <si>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</si>
  <si>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</si>
  <si>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</si>
  <si>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</si>
  <si>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</si>
  <si>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</si>
  <si>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</si>
  <si>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</si>
  <si>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</si>
  <si>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</si>
  <si>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</si>
  <si>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</si>
  <si>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</si>
  <si>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</si>
  <si>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</si>
  <si>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</si>
  <si>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</si>
  <si>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</si>
  <si>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</si>
  <si>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</si>
  <si>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</si>
  <si>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</si>
  <si>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</si>
  <si>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</si>
  <si>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</si>
  <si>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</si>
  <si>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</si>
  <si>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</si>
  <si>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</si>
  <si>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</si>
  <si>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</si>
  <si>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</si>
  <si>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</si>
  <si>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</si>
  <si>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</si>
  <si>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</si>
  <si>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</si>
  <si>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</si>
  <si>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</si>
  <si>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</si>
  <si>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</si>
  <si>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</si>
  <si>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</si>
  <si>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</si>
  <si>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</si>
  <si>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</si>
  <si>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</si>
  <si>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</si>
  <si>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</si>
  <si>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</si>
  <si>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</si>
  <si>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</si>
  <si>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</si>
  <si>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</si>
  <si>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</si>
  <si>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</si>
  <si>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</si>
  <si>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</si>
  <si>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</si>
  <si>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</si>
  <si>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</si>
  <si>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</si>
  <si>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</si>
  <si>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</si>
  <si>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</si>
  <si>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</si>
  <si>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</si>
  <si>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</si>
  <si>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</si>
  <si>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</si>
  <si>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</si>
  <si>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</si>
  <si>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</si>
  <si>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</si>
  <si>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</si>
  <si>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</si>
  <si>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</si>
  <si>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</si>
  <si>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</si>
  <si>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</si>
  <si>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</si>
  <si>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</si>
  <si>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</si>
  <si>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</si>
  <si>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</si>
  <si>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</si>
  <si>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</si>
  <si>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</si>
  <si>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</si>
  <si>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</si>
  <si>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</si>
  <si>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</si>
  <si>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</si>
  <si>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</si>
  <si>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</si>
  <si>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</si>
  <si>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</si>
  <si>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</si>
  <si>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</si>
  <si>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</si>
  <si>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</si>
  <si>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</si>
  <si>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</si>
  <si>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</si>
  <si>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</si>
  <si>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</si>
  <si>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</si>
  <si>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</si>
  <si>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</si>
  <si>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</si>
  <si>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</si>
  <si>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</si>
  <si>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</si>
  <si>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</si>
  <si>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</si>
  <si>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</si>
  <si>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</si>
  <si>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</si>
  <si>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</si>
  <si>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</si>
  <si>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</si>
  <si>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</si>
  <si>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</si>
  <si>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</si>
  <si>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</si>
  <si>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</si>
  <si>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</si>
  <si>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</si>
  <si>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</si>
  <si>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</si>
  <si>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</si>
  <si>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</si>
  <si>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</si>
  <si>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</si>
  <si>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</si>
  <si>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</si>
  <si>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</si>
  <si>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</si>
  <si>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</si>
  <si>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</si>
  <si>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</si>
  <si>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</si>
  <si>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</si>
  <si>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</si>
  <si>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</si>
  <si>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</si>
  <si>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</si>
  <si>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</si>
  <si>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</si>
  <si>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</si>
  <si>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</si>
  <si>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</si>
  <si>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</si>
  <si>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</si>
  <si>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</si>
  <si>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</si>
  <si>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</si>
  <si>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</si>
  <si>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</si>
  <si>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</si>
  <si>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</si>
  <si>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</si>
  <si>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</si>
  <si>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</si>
  <si>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</si>
  <si>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</si>
  <si>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</si>
  <si>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</si>
  <si>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</si>
  <si>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</si>
  <si>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</si>
  <si>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</si>
  <si>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</si>
  <si>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</si>
  <si>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</si>
  <si>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</si>
  <si>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</si>
  <si>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</si>
  <si>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</si>
  <si>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</si>
  <si>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</si>
  <si>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</si>
  <si>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</si>
  <si>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</si>
  <si>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</si>
  <si>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</si>
  <si>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</si>
  <si>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</si>
  <si>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</si>
  <si>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</si>
  <si>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</si>
  <si>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</si>
  <si>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</si>
  <si>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</si>
  <si>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</si>
  <si>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</si>
  <si>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</si>
  <si>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</si>
  <si>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</si>
  <si>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</si>
  <si>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</si>
  <si>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</si>
  <si>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</si>
  <si>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</si>
  <si>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</si>
  <si>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</si>
  <si>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</si>
  <si>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</si>
  <si>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</si>
  <si>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</si>
  <si>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</si>
  <si>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</si>
  <si>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</si>
  <si>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</si>
  <si>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</si>
  <si>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</si>
  <si>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</si>
  <si>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</si>
  <si>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</si>
  <si>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</si>
  <si>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</si>
  <si>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</si>
  <si>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</si>
  <si>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</si>
  <si>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</si>
  <si>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</si>
  <si>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</si>
  <si>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</si>
  <si>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</si>
  <si>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</si>
  <si>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</si>
  <si>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</si>
  <si>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</si>
  <si>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</si>
  <si>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</si>
  <si>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</si>
  <si>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</si>
  <si>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</si>
  <si>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</si>
  <si>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</si>
  <si>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</si>
  <si>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</si>
  <si>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</si>
  <si>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</si>
  <si>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</si>
  <si>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</si>
  <si>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</si>
  <si>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</si>
  <si>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</si>
  <si>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</si>
  <si>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</si>
  <si>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</si>
  <si>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</si>
  <si>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</si>
  <si>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</si>
  <si>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</si>
  <si>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</si>
  <si>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</si>
  <si>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</si>
  <si>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</si>
  <si>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</si>
  <si>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</si>
  <si>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</si>
  <si>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</si>
  <si>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</si>
  <si>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</si>
  <si>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</si>
  <si>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</si>
  <si>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</si>
  <si>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</si>
  <si>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</si>
  <si>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</si>
  <si>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</si>
  <si>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</si>
  <si>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</si>
  <si>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</si>
  <si>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</si>
  <si>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</si>
  <si>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</si>
  <si>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</si>
  <si>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</si>
  <si>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</si>
  <si>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</si>
  <si>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</si>
  <si>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</si>
  <si>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</si>
  <si>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</si>
  <si>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</si>
  <si>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</si>
  <si>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</si>
  <si>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</si>
  <si>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</si>
  <si>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</si>
  <si>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</si>
  <si>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</si>
  <si>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</si>
  <si>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</si>
  <si>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</si>
  <si>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</si>
  <si>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</si>
  <si>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</si>
  <si>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</si>
  <si>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</si>
  <si>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</si>
  <si>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</si>
  <si>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</si>
  <si>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</si>
  <si>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</si>
  <si>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</si>
  <si>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</si>
  <si>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</si>
  <si>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</si>
  <si>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</si>
  <si>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</si>
  <si>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</si>
  <si>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</si>
  <si>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</si>
  <si>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</si>
  <si>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</si>
  <si>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</si>
  <si>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</si>
  <si>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</si>
  <si>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</si>
  <si>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</si>
  <si>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</si>
  <si>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</si>
  <si>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</si>
  <si>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</si>
  <si>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</si>
  <si>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</si>
  <si>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</si>
  <si>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</si>
  <si>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</si>
  <si>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</si>
  <si>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</si>
  <si>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</si>
  <si>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</si>
  <si>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</si>
  <si>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</si>
  <si>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</si>
  <si>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</si>
  <si>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</si>
  <si>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</si>
  <si>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</si>
  <si>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</si>
  <si>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</si>
  <si>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</si>
  <si>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</si>
  <si>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</si>
  <si>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</si>
  <si>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</si>
  <si>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</si>
  <si>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</si>
  <si>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</si>
  <si>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</si>
  <si>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</si>
  <si>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</si>
  <si>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</si>
  <si>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</si>
  <si>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</si>
  <si>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</si>
  <si>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</si>
  <si>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</si>
  <si>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</si>
  <si>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</si>
  <si>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</si>
  <si>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</si>
  <si>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</si>
  <si>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</si>
  <si>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</si>
  <si>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</si>
  <si>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</si>
  <si>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</si>
  <si>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</si>
  <si>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</si>
  <si>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</si>
  <si>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</si>
  <si>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</si>
  <si>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</si>
  <si>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</si>
  <si>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</si>
  <si>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</si>
  <si>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</si>
  <si>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</si>
  <si>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</si>
  <si>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</si>
  <si>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</si>
  <si>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</si>
  <si>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</si>
  <si>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</si>
  <si>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</si>
  <si>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</si>
  <si>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</si>
  <si>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</si>
  <si>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</si>
  <si>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</si>
  <si>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</si>
  <si>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</si>
  <si>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</si>
  <si>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</si>
  <si>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</si>
  <si>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</si>
  <si>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</si>
  <si>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</si>
  <si>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</si>
  <si>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</si>
  <si>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</si>
  <si>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</si>
  <si>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</si>
  <si>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</si>
  <si>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</si>
  <si>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</si>
  <si>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</si>
  <si>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</si>
  <si>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</si>
  <si>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</si>
  <si>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</si>
  <si>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</si>
  <si>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</si>
  <si>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</si>
  <si>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</si>
  <si>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</si>
  <si>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</si>
  <si>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</si>
  <si>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</si>
  <si>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</si>
  <si>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</si>
  <si>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</si>
  <si>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</si>
  <si>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</si>
  <si>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</si>
  <si>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</si>
  <si>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</si>
  <si>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</si>
  <si>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</si>
  <si>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</si>
  <si>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</si>
  <si>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</si>
  <si>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</si>
  <si>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</si>
  <si>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</si>
  <si>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</si>
  <si>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</si>
  <si>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</si>
  <si>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</si>
  <si>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</si>
  <si>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</si>
  <si>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</si>
  <si>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</si>
  <si>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</si>
  <si>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</si>
  <si>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</si>
  <si>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</si>
  <si>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</si>
  <si>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</si>
  <si>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</si>
  <si>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</si>
  <si>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</si>
  <si>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31003</t>
  </si>
  <si>
    <t>BEERNEM</t>
  </si>
  <si>
    <t>Paarden&amp;pony's 200 - 600 kg</t>
  </si>
  <si>
    <t>Paarden&amp;pony's &lt; 200 kg</t>
  </si>
  <si>
    <t>referentietaak LNE (2017); Jaarverslag De Lijn (2014)</t>
  </si>
  <si>
    <t>op basis van VEA (maart 2018) en Inventaris Hernieuwbare Energiebronnen (juni 2018)</t>
  </si>
  <si>
    <t>VEA (maart 2016)</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</si>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</sst>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124901.02087363764</c:v>
                </c:pt>
                <c:pt idx="1">
                  <c:v>67132.888124337493</c:v>
                </c:pt>
                <c:pt idx="2">
                  <c:v>1100.413</c:v>
                </c:pt>
                <c:pt idx="3">
                  <c:v>34064.885508121952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124901.02087363764</c:v>
                </c:pt>
                <c:pt idx="1">
                  <c:v>67132.888124337493</c:v>
                </c:pt>
                <c:pt idx="2">
                  <c:v>1100.413</c:v>
                </c:pt>
                <c:pt idx="3">
                  <c:v>34064.885508121952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21364.280372524532</c:v>
                </c:pt>
                <c:pt idx="1">
                  <c:v>12312.105268542917</c:v>
                </c:pt>
                <c:pt idx="2">
                  <c:v>183.27525914663212</c:v>
                </c:pt>
                <c:pt idx="3">
                  <c:v>4348.1299471931679</c:v>
                </c:pt>
                <c:pt idx="4">
                  <c:v>8942.0497005541238</c:v>
                </c:pt>
                <c:pt idx="5">
                  <c:v>64487.444101532106</c:v>
                </c:pt>
                <c:pt idx="6">
                  <c:v>265.60275248376564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21364.280372524532</c:v>
                </c:pt>
                <c:pt idx="1">
                  <c:v>12312.105268542917</c:v>
                </c:pt>
                <c:pt idx="2">
                  <c:v>183.27525914663212</c:v>
                </c:pt>
                <c:pt idx="3">
                  <c:v>4348.1299471931679</c:v>
                </c:pt>
                <c:pt idx="4">
                  <c:v>8942.0497005541238</c:v>
                </c:pt>
                <c:pt idx="5">
                  <c:v>64487.444101532106</c:v>
                </c:pt>
                <c:pt idx="6">
                  <c:v>265.60275248376564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31003</v>
      </c>
      <c r="B6" s="416"/>
      <c r="C6" s="417"/>
    </row>
    <row r="7" spans="1:7" s="414" customFormat="1" ht="15.75" customHeight="1">
      <c r="A7" s="418" t="str">
        <f>txtMunicipality</f>
        <v>BEERNEM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6082</v>
      </c>
      <c r="C9" s="342">
        <v>6296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4652</v>
      </c>
    </row>
    <row r="15" spans="1:6">
      <c r="A15" s="348" t="s">
        <v>184</v>
      </c>
      <c r="B15" s="334">
        <v>100</v>
      </c>
    </row>
    <row r="16" spans="1:6">
      <c r="A16" s="348" t="s">
        <v>6</v>
      </c>
      <c r="B16" s="334">
        <v>3992</v>
      </c>
    </row>
    <row r="17" spans="1:6">
      <c r="A17" s="348" t="s">
        <v>7</v>
      </c>
      <c r="B17" s="334">
        <v>1264</v>
      </c>
    </row>
    <row r="18" spans="1:6">
      <c r="A18" s="348" t="s">
        <v>8</v>
      </c>
      <c r="B18" s="334">
        <v>3124</v>
      </c>
    </row>
    <row r="19" spans="1:6">
      <c r="A19" s="348" t="s">
        <v>9</v>
      </c>
      <c r="B19" s="334">
        <v>3237</v>
      </c>
    </row>
    <row r="20" spans="1:6">
      <c r="A20" s="348" t="s">
        <v>10</v>
      </c>
      <c r="B20" s="334">
        <v>1921</v>
      </c>
    </row>
    <row r="21" spans="1:6">
      <c r="A21" s="348" t="s">
        <v>11</v>
      </c>
      <c r="B21" s="334">
        <v>17845</v>
      </c>
    </row>
    <row r="22" spans="1:6">
      <c r="A22" s="348" t="s">
        <v>12</v>
      </c>
      <c r="B22" s="334">
        <v>40788</v>
      </c>
    </row>
    <row r="23" spans="1:6">
      <c r="A23" s="348" t="s">
        <v>13</v>
      </c>
      <c r="B23" s="334">
        <v>705</v>
      </c>
    </row>
    <row r="24" spans="1:6">
      <c r="A24" s="348" t="s">
        <v>14</v>
      </c>
      <c r="B24" s="334">
        <v>23</v>
      </c>
    </row>
    <row r="25" spans="1:6">
      <c r="A25" s="348" t="s">
        <v>15</v>
      </c>
      <c r="B25" s="334">
        <v>4004</v>
      </c>
    </row>
    <row r="26" spans="1:6">
      <c r="A26" s="348" t="s">
        <v>16</v>
      </c>
      <c r="B26" s="334">
        <v>585</v>
      </c>
    </row>
    <row r="27" spans="1:6">
      <c r="A27" s="348" t="s">
        <v>17</v>
      </c>
      <c r="B27" s="334">
        <v>3</v>
      </c>
    </row>
    <row r="28" spans="1:6" s="356" customFormat="1">
      <c r="A28" s="355" t="s">
        <v>18</v>
      </c>
      <c r="B28" s="355">
        <v>99325</v>
      </c>
    </row>
    <row r="29" spans="1:6">
      <c r="A29" s="355" t="s">
        <v>865</v>
      </c>
      <c r="B29" s="355">
        <v>253</v>
      </c>
      <c r="C29" s="356"/>
      <c r="D29" s="356"/>
      <c r="E29" s="356"/>
      <c r="F29" s="356"/>
    </row>
    <row r="30" spans="1:6">
      <c r="A30" s="341" t="s">
        <v>866</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6361</v>
      </c>
    </row>
    <row r="37" spans="1:6">
      <c r="A37" s="348" t="s">
        <v>25</v>
      </c>
      <c r="B37" s="348" t="s">
        <v>28</v>
      </c>
      <c r="C37" s="334">
        <v>0</v>
      </c>
      <c r="D37" s="334">
        <v>0</v>
      </c>
      <c r="E37" s="334">
        <v>0</v>
      </c>
      <c r="F37" s="334">
        <v>0</v>
      </c>
    </row>
    <row r="38" spans="1:6">
      <c r="A38" s="348" t="s">
        <v>25</v>
      </c>
      <c r="B38" s="348" t="s">
        <v>29</v>
      </c>
      <c r="C38" s="334">
        <v>0</v>
      </c>
      <c r="D38" s="334">
        <v>0</v>
      </c>
      <c r="E38" s="334">
        <v>1</v>
      </c>
      <c r="F38" s="334">
        <v>4156</v>
      </c>
    </row>
    <row r="39" spans="1:6">
      <c r="A39" s="348" t="s">
        <v>30</v>
      </c>
      <c r="B39" s="348" t="s">
        <v>31</v>
      </c>
      <c r="C39" s="334">
        <v>3361</v>
      </c>
      <c r="D39" s="334">
        <v>47887936.001944698</v>
      </c>
      <c r="E39" s="334">
        <v>5768</v>
      </c>
      <c r="F39" s="334">
        <v>27377795</v>
      </c>
    </row>
    <row r="40" spans="1:6">
      <c r="A40" s="348" t="s">
        <v>30</v>
      </c>
      <c r="B40" s="348" t="s">
        <v>29</v>
      </c>
      <c r="C40" s="334">
        <v>0</v>
      </c>
      <c r="D40" s="334">
        <v>0</v>
      </c>
      <c r="E40" s="334">
        <v>0</v>
      </c>
      <c r="F40" s="334">
        <v>0</v>
      </c>
    </row>
    <row r="41" spans="1:6">
      <c r="A41" s="348" t="s">
        <v>32</v>
      </c>
      <c r="B41" s="348" t="s">
        <v>33</v>
      </c>
      <c r="C41" s="334">
        <v>55</v>
      </c>
      <c r="D41" s="334">
        <v>965961.58400477201</v>
      </c>
      <c r="E41" s="334">
        <v>148</v>
      </c>
      <c r="F41" s="334">
        <v>4927427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228574.04767909701</v>
      </c>
      <c r="E44" s="334">
        <v>21</v>
      </c>
      <c r="F44" s="334">
        <v>2690425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216475.2</v>
      </c>
    </row>
    <row r="48" spans="1:6">
      <c r="A48" s="348" t="s">
        <v>32</v>
      </c>
      <c r="B48" s="348" t="s">
        <v>29</v>
      </c>
      <c r="C48" s="334">
        <v>32</v>
      </c>
      <c r="D48" s="334">
        <v>18134092.604619801</v>
      </c>
      <c r="E48" s="334">
        <v>36</v>
      </c>
      <c r="F48" s="334">
        <v>7293468</v>
      </c>
    </row>
    <row r="49" spans="1:6">
      <c r="A49" s="348" t="s">
        <v>32</v>
      </c>
      <c r="B49" s="348" t="s">
        <v>40</v>
      </c>
      <c r="C49" s="334">
        <v>0</v>
      </c>
      <c r="D49" s="334">
        <v>0</v>
      </c>
      <c r="E49" s="334">
        <v>3</v>
      </c>
      <c r="F49" s="334">
        <v>21453.27</v>
      </c>
    </row>
    <row r="50" spans="1:6">
      <c r="A50" s="348" t="s">
        <v>32</v>
      </c>
      <c r="B50" s="348" t="s">
        <v>41</v>
      </c>
      <c r="C50" s="334">
        <v>8</v>
      </c>
      <c r="D50" s="334">
        <v>624488.87503121805</v>
      </c>
      <c r="E50" s="334">
        <v>18</v>
      </c>
      <c r="F50" s="334">
        <v>965276.5</v>
      </c>
    </row>
    <row r="51" spans="1:6">
      <c r="A51" s="348" t="s">
        <v>42</v>
      </c>
      <c r="B51" s="348" t="s">
        <v>43</v>
      </c>
      <c r="C51" s="334">
        <v>15</v>
      </c>
      <c r="D51" s="334">
        <v>259415.237183385</v>
      </c>
      <c r="E51" s="334">
        <v>202</v>
      </c>
      <c r="F51" s="334">
        <v>4421118</v>
      </c>
    </row>
    <row r="52" spans="1:6">
      <c r="A52" s="348" t="s">
        <v>42</v>
      </c>
      <c r="B52" s="348" t="s">
        <v>29</v>
      </c>
      <c r="C52" s="334">
        <v>2</v>
      </c>
      <c r="D52" s="334">
        <v>34850.643417616397</v>
      </c>
      <c r="E52" s="334">
        <v>1</v>
      </c>
      <c r="F52" s="334">
        <v>11428.2</v>
      </c>
    </row>
    <row r="53" spans="1:6">
      <c r="A53" s="348" t="s">
        <v>44</v>
      </c>
      <c r="B53" s="348" t="s">
        <v>45</v>
      </c>
      <c r="C53" s="334">
        <v>83</v>
      </c>
      <c r="D53" s="334">
        <v>1666507.3379679101</v>
      </c>
      <c r="E53" s="334">
        <v>180</v>
      </c>
      <c r="F53" s="334">
        <v>955003.1</v>
      </c>
    </row>
    <row r="54" spans="1:6">
      <c r="A54" s="348" t="s">
        <v>46</v>
      </c>
      <c r="B54" s="348" t="s">
        <v>47</v>
      </c>
      <c r="C54" s="334">
        <v>0</v>
      </c>
      <c r="D54" s="334">
        <v>0</v>
      </c>
      <c r="E54" s="334">
        <v>1</v>
      </c>
      <c r="F54" s="334">
        <v>1100413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21041343.6804148</v>
      </c>
      <c r="E57" s="334">
        <v>107</v>
      </c>
      <c r="F57" s="334">
        <v>4795444</v>
      </c>
    </row>
    <row r="58" spans="1:6">
      <c r="A58" s="348" t="s">
        <v>49</v>
      </c>
      <c r="B58" s="348" t="s">
        <v>51</v>
      </c>
      <c r="C58" s="334">
        <v>38</v>
      </c>
      <c r="D58" s="334">
        <v>2205770.4804056399</v>
      </c>
      <c r="E58" s="334">
        <v>54</v>
      </c>
      <c r="F58" s="334">
        <v>841522</v>
      </c>
    </row>
    <row r="59" spans="1:6">
      <c r="A59" s="348" t="s">
        <v>49</v>
      </c>
      <c r="B59" s="348" t="s">
        <v>52</v>
      </c>
      <c r="C59" s="334">
        <v>58</v>
      </c>
      <c r="D59" s="334">
        <v>2138791.5559286</v>
      </c>
      <c r="E59" s="334">
        <v>147</v>
      </c>
      <c r="F59" s="334">
        <v>4861114</v>
      </c>
    </row>
    <row r="60" spans="1:6">
      <c r="A60" s="348" t="s">
        <v>49</v>
      </c>
      <c r="B60" s="348" t="s">
        <v>53</v>
      </c>
      <c r="C60" s="334">
        <v>33</v>
      </c>
      <c r="D60" s="334">
        <v>14218226.311823299</v>
      </c>
      <c r="E60" s="334">
        <v>60</v>
      </c>
      <c r="F60" s="334">
        <v>1781343</v>
      </c>
    </row>
    <row r="61" spans="1:6">
      <c r="A61" s="348" t="s">
        <v>49</v>
      </c>
      <c r="B61" s="348" t="s">
        <v>54</v>
      </c>
      <c r="C61" s="334">
        <v>69</v>
      </c>
      <c r="D61" s="334">
        <v>2780703.4798772102</v>
      </c>
      <c r="E61" s="334">
        <v>172</v>
      </c>
      <c r="F61" s="334">
        <v>2365622</v>
      </c>
    </row>
    <row r="62" spans="1:6">
      <c r="A62" s="348" t="s">
        <v>49</v>
      </c>
      <c r="B62" s="348" t="s">
        <v>55</v>
      </c>
      <c r="C62" s="334">
        <v>6</v>
      </c>
      <c r="D62" s="334">
        <v>376001.5282919</v>
      </c>
      <c r="E62" s="334">
        <v>11</v>
      </c>
      <c r="F62" s="334">
        <v>185576.8</v>
      </c>
    </row>
    <row r="63" spans="1:6">
      <c r="A63" s="348" t="s">
        <v>49</v>
      </c>
      <c r="B63" s="348" t="s">
        <v>29</v>
      </c>
      <c r="C63" s="334">
        <v>78</v>
      </c>
      <c r="D63" s="334">
        <v>2498288.3987640901</v>
      </c>
      <c r="E63" s="334">
        <v>107</v>
      </c>
      <c r="F63" s="334">
        <v>4295887</v>
      </c>
    </row>
    <row r="64" spans="1:6">
      <c r="A64" s="348" t="s">
        <v>56</v>
      </c>
      <c r="B64" s="348" t="s">
        <v>57</v>
      </c>
      <c r="C64" s="334">
        <v>0</v>
      </c>
      <c r="D64" s="334">
        <v>0</v>
      </c>
      <c r="E64" s="334">
        <v>0</v>
      </c>
      <c r="F64" s="334">
        <v>0</v>
      </c>
    </row>
    <row r="65" spans="1:6">
      <c r="A65" s="348" t="s">
        <v>56</v>
      </c>
      <c r="B65" s="348" t="s">
        <v>29</v>
      </c>
      <c r="C65" s="334">
        <v>2</v>
      </c>
      <c r="D65" s="334">
        <v>35726.990661809003</v>
      </c>
      <c r="E65" s="334">
        <v>1</v>
      </c>
      <c r="F65" s="334">
        <v>6777.4260000000004</v>
      </c>
    </row>
    <row r="66" spans="1:6">
      <c r="A66" s="348" t="s">
        <v>56</v>
      </c>
      <c r="B66" s="348" t="s">
        <v>58</v>
      </c>
      <c r="C66" s="334">
        <v>0</v>
      </c>
      <c r="D66" s="334">
        <v>0</v>
      </c>
      <c r="E66" s="334">
        <v>15</v>
      </c>
      <c r="F66" s="334">
        <v>274476.40000000002</v>
      </c>
    </row>
    <row r="67" spans="1:6">
      <c r="A67" s="355" t="s">
        <v>56</v>
      </c>
      <c r="B67" s="355" t="s">
        <v>59</v>
      </c>
      <c r="C67" s="334">
        <v>0</v>
      </c>
      <c r="D67" s="334">
        <v>0</v>
      </c>
      <c r="E67" s="334">
        <v>0</v>
      </c>
      <c r="F67" s="334">
        <v>0</v>
      </c>
    </row>
    <row r="68" spans="1:6">
      <c r="A68" s="341" t="s">
        <v>56</v>
      </c>
      <c r="B68" s="341" t="s">
        <v>60</v>
      </c>
      <c r="C68" s="334">
        <v>5</v>
      </c>
      <c r="D68" s="334">
        <v>76819.522959789407</v>
      </c>
      <c r="E68" s="334">
        <v>12</v>
      </c>
      <c r="F68" s="334">
        <v>120353.9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57146753</v>
      </c>
      <c r="E73" s="477">
        <v>61174193.821100205</v>
      </c>
    </row>
    <row r="74" spans="1:6">
      <c r="A74" s="348" t="s">
        <v>64</v>
      </c>
      <c r="B74" s="348" t="s">
        <v>714</v>
      </c>
      <c r="C74" s="1288" t="s">
        <v>716</v>
      </c>
      <c r="D74" s="477">
        <v>5138768.6468663597</v>
      </c>
      <c r="E74" s="477">
        <v>5357249.4102705019</v>
      </c>
    </row>
    <row r="75" spans="1:6">
      <c r="A75" s="348" t="s">
        <v>65</v>
      </c>
      <c r="B75" s="348" t="s">
        <v>713</v>
      </c>
      <c r="C75" s="1288" t="s">
        <v>717</v>
      </c>
      <c r="D75" s="477">
        <v>25627591</v>
      </c>
      <c r="E75" s="477">
        <v>28242453.161697369</v>
      </c>
    </row>
    <row r="76" spans="1:6">
      <c r="A76" s="348" t="s">
        <v>65</v>
      </c>
      <c r="B76" s="348" t="s">
        <v>714</v>
      </c>
      <c r="C76" s="1288" t="s">
        <v>718</v>
      </c>
      <c r="D76" s="477">
        <v>2541646.6468663597</v>
      </c>
      <c r="E76" s="477">
        <v>2746189.9428228862</v>
      </c>
    </row>
    <row r="77" spans="1:6">
      <c r="A77" s="348" t="s">
        <v>66</v>
      </c>
      <c r="B77" s="348" t="s">
        <v>713</v>
      </c>
      <c r="C77" s="1288" t="s">
        <v>719</v>
      </c>
      <c r="D77" s="477">
        <v>156034328</v>
      </c>
      <c r="E77" s="477">
        <v>167326892.57970315</v>
      </c>
    </row>
    <row r="78" spans="1:6">
      <c r="A78" s="341" t="s">
        <v>66</v>
      </c>
      <c r="B78" s="341" t="s">
        <v>714</v>
      </c>
      <c r="C78" s="341" t="s">
        <v>720</v>
      </c>
      <c r="D78" s="1284">
        <v>27696933</v>
      </c>
      <c r="E78" s="1284">
        <v>28569659.349357504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280984.70626728074</v>
      </c>
      <c r="C83" s="477">
        <v>283383.32531882467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3905.9161952050799</v>
      </c>
    </row>
    <row r="92" spans="1:6">
      <c r="A92" s="341" t="s">
        <v>69</v>
      </c>
      <c r="B92" s="342">
        <v>2727.4694479738955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2</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258</v>
      </c>
    </row>
    <row r="130" spans="1:6">
      <c r="A130" s="348" t="s">
        <v>295</v>
      </c>
      <c r="B130" s="334">
        <v>3</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72090.433734570805</v>
      </c>
      <c r="C3" s="43" t="s">
        <v>170</v>
      </c>
      <c r="D3" s="43"/>
      <c r="E3" s="154"/>
      <c r="F3" s="43"/>
      <c r="G3" s="43"/>
      <c r="H3" s="43"/>
      <c r="I3" s="43"/>
      <c r="J3" s="43"/>
      <c r="K3" s="96"/>
    </row>
    <row r="4" spans="1:11">
      <c r="A4" s="384" t="s">
        <v>171</v>
      </c>
      <c r="B4" s="49">
        <f>IF(ISERROR('SEAP template'!B69),0,'SEAP template'!B69)</f>
        <v>17761.210643178976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0.16655133949401918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15896.892857142857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0.16655133949401918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183.27525914663212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27377.794999999998</v>
      </c>
      <c r="C5" s="17">
        <f>IF(ISERROR('Eigen informatie GS &amp; warmtenet'!B57),0,'Eigen informatie GS &amp; warmtenet'!B57)</f>
        <v>0</v>
      </c>
      <c r="D5" s="30">
        <f>(SUM(HH_hh_gas_kWh,HH_rest_gas_kWh)/1000)*0.902</f>
        <v>43194.91827375412</v>
      </c>
      <c r="E5" s="17">
        <f>B46*B57</f>
        <v>6269.6890204602523</v>
      </c>
      <c r="F5" s="17">
        <f>B51*B62</f>
        <v>17450.626890099596</v>
      </c>
      <c r="G5" s="18"/>
      <c r="H5" s="17"/>
      <c r="I5" s="17"/>
      <c r="J5" s="17">
        <f>B50*B61+C50*C61</f>
        <v>3802.3335876262208</v>
      </c>
      <c r="K5" s="17"/>
      <c r="L5" s="17"/>
      <c r="M5" s="17"/>
      <c r="N5" s="17">
        <f>B48*B59+C48*C59</f>
        <v>21408.95857315902</v>
      </c>
      <c r="O5" s="17">
        <f>B69*B70*B71</f>
        <v>461.18333333333334</v>
      </c>
      <c r="P5" s="17">
        <f>B77*B78*B79/1000-B77*B78*B79/1000/B80</f>
        <v>1029.5999999999999</v>
      </c>
    </row>
    <row r="6" spans="1:16">
      <c r="A6" s="16" t="s">
        <v>631</v>
      </c>
      <c r="B6" s="844">
        <f>kWh_PV_kleiner_dan_10kW</f>
        <v>3905.9161952050799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31283.711195205076</v>
      </c>
      <c r="C8" s="21">
        <f>C5</f>
        <v>0</v>
      </c>
      <c r="D8" s="21">
        <f>D5</f>
        <v>43194.91827375412</v>
      </c>
      <c r="E8" s="21">
        <f>E5</f>
        <v>6269.6890204602523</v>
      </c>
      <c r="F8" s="21">
        <f>F5</f>
        <v>17450.626890099596</v>
      </c>
      <c r="G8" s="21"/>
      <c r="H8" s="21"/>
      <c r="I8" s="21"/>
      <c r="J8" s="21">
        <f>J5</f>
        <v>3802.3335876262208</v>
      </c>
      <c r="K8" s="21"/>
      <c r="L8" s="21">
        <f>L5</f>
        <v>0</v>
      </c>
      <c r="M8" s="21">
        <f>M5</f>
        <v>0</v>
      </c>
      <c r="N8" s="21">
        <f>N5</f>
        <v>21408.95857315902</v>
      </c>
      <c r="O8" s="21">
        <f>O5</f>
        <v>461.18333333333334</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0.16655133949401918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5210.3440039054494</v>
      </c>
      <c r="C12" s="23">
        <f ca="1">C10*C8</f>
        <v>0</v>
      </c>
      <c r="D12" s="23">
        <f>D8*D10</f>
        <v>8725.3734912983327</v>
      </c>
      <c r="E12" s="23">
        <f>E10*E8</f>
        <v>1423.2194076444773</v>
      </c>
      <c r="F12" s="23">
        <f>F10*F8</f>
        <v>4659.3173796565925</v>
      </c>
      <c r="G12" s="23"/>
      <c r="H12" s="23"/>
      <c r="I12" s="23"/>
      <c r="J12" s="23">
        <f>J10*J8</f>
        <v>1346.0260900196822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6082</v>
      </c>
      <c r="C28" s="36"/>
      <c r="D28" s="228"/>
    </row>
    <row r="29" spans="1:7" s="15" customFormat="1">
      <c r="A29" s="230" t="s">
        <v>741</v>
      </c>
      <c r="B29" s="37">
        <f>SUM(HH_hh_gas_aantal,HH_rest_gas_aantal)</f>
        <v>3361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3361</v>
      </c>
      <c r="C32" s="167">
        <f>IF(ISERROR(B32/SUM($B$32,$B$34,$B$35,$B$36,$B$38,$B$39)*100),0,B32/SUM($B$32,$B$34,$B$35,$B$36,$B$38,$B$39)*100)</f>
        <v>55.756469807564699</v>
      </c>
      <c r="D32" s="233"/>
      <c r="G32" s="15"/>
    </row>
    <row r="33" spans="1:7">
      <c r="A33" s="171" t="s">
        <v>72</v>
      </c>
      <c r="B33" s="34" t="s">
        <v>111</v>
      </c>
      <c r="C33" s="167"/>
      <c r="D33" s="233"/>
      <c r="G33" s="15"/>
    </row>
    <row r="34" spans="1:7">
      <c r="A34" s="171" t="s">
        <v>73</v>
      </c>
      <c r="B34" s="33">
        <f>IF((($B$28-$B$32-$B$39-$B$77-$B$38)*C20/100)&lt;0,0,($B$28-$B$32-$B$39-$B$77-$B$38)*C20/100)</f>
        <v>420.20648967551625</v>
      </c>
      <c r="C34" s="167">
        <f>IF(ISERROR(B34/SUM($B$32,$B$34,$B$35,$B$36,$B$38,$B$39)*100),0,B34/SUM($B$32,$B$34,$B$35,$B$36,$B$38,$B$39)*100)</f>
        <v>6.9709105785586631</v>
      </c>
      <c r="D34" s="233"/>
      <c r="G34" s="15"/>
    </row>
    <row r="35" spans="1:7">
      <c r="A35" s="171" t="s">
        <v>74</v>
      </c>
      <c r="B35" s="33">
        <f>IF((($B$28-$B$32-$B$39-$B$77-$B$38)*C21/100)&lt;0,0,($B$28-$B$32-$B$39-$B$77-$B$38)*C21/100)</f>
        <v>1051.4257620452311</v>
      </c>
      <c r="C35" s="167">
        <f>IF(ISERROR(B35/SUM($B$32,$B$34,$B$35,$B$36,$B$38,$B$39)*100),0,B35/SUM($B$32,$B$34,$B$35,$B$36,$B$38,$B$39)*100)</f>
        <v>17.442364997432499</v>
      </c>
      <c r="D35" s="233"/>
      <c r="G35" s="15"/>
    </row>
    <row r="36" spans="1:7">
      <c r="A36" s="171" t="s">
        <v>75</v>
      </c>
      <c r="B36" s="33">
        <f>IF((($B$28-$B$32-$B$39-$B$77-$B$38)*C22/100)&lt;0,0,($B$28-$B$32-$B$39-$B$77-$B$38)*C22/100)</f>
        <v>378.36774827925268</v>
      </c>
      <c r="C36" s="167">
        <f>IF(ISERROR(B36/SUM($B$32,$B$34,$B$35,$B$36,$B$38,$B$39)*100),0,B36/SUM($B$32,$B$34,$B$35,$B$36,$B$38,$B$39)*100)</f>
        <v>6.2768372309099654</v>
      </c>
      <c r="D36" s="233"/>
      <c r="G36" s="15"/>
    </row>
    <row r="37" spans="1:7">
      <c r="A37" s="171" t="s">
        <v>76</v>
      </c>
      <c r="B37" s="34" t="s">
        <v>111</v>
      </c>
      <c r="C37" s="167"/>
      <c r="D37" s="173"/>
      <c r="G37" s="15"/>
    </row>
    <row r="38" spans="1:7">
      <c r="A38" s="171" t="s">
        <v>77</v>
      </c>
      <c r="B38" s="33">
        <f>IF((B24-(B29-B18)*0.1)&lt;0,0,B24-(B29-B18)*0.1)</f>
        <v>108.1</v>
      </c>
      <c r="C38" s="167">
        <f>IF(ISERROR(B38/SUM($B$32,$B$34,$B$35,$B$36,$B$38,$B$39)*100),0,B38/SUM($B$32,$B$34,$B$35,$B$36,$B$38,$B$39)*100)</f>
        <v>1.7932979429329792</v>
      </c>
      <c r="D38" s="234"/>
      <c r="G38" s="15"/>
    </row>
    <row r="39" spans="1:7">
      <c r="A39" s="171" t="s">
        <v>78</v>
      </c>
      <c r="B39" s="33">
        <f>IF((B25-(B29-B18))&lt;0,0,B25-(B29-B18)*0.9)</f>
        <v>708.89999999999986</v>
      </c>
      <c r="C39" s="167">
        <f>IF(ISERROR(B39/SUM($B$32,$B$34,$B$35,$B$36,$B$38,$B$39)*100),0,B39/SUM($B$32,$B$34,$B$35,$B$36,$B$38,$B$39)*100)</f>
        <v>11.760119442601193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3361</v>
      </c>
      <c r="C44" s="34" t="s">
        <v>111</v>
      </c>
      <c r="D44" s="174"/>
    </row>
    <row r="45" spans="1:7">
      <c r="A45" s="171" t="s">
        <v>72</v>
      </c>
      <c r="B45" s="33" t="str">
        <f t="shared" si="0"/>
        <v>-</v>
      </c>
      <c r="C45" s="34" t="s">
        <v>111</v>
      </c>
      <c r="D45" s="174"/>
    </row>
    <row r="46" spans="1:7">
      <c r="A46" s="171" t="s">
        <v>73</v>
      </c>
      <c r="B46" s="33">
        <f t="shared" si="0"/>
        <v>420.20648967551625</v>
      </c>
      <c r="C46" s="34" t="s">
        <v>111</v>
      </c>
      <c r="D46" s="174"/>
    </row>
    <row r="47" spans="1:7">
      <c r="A47" s="171" t="s">
        <v>74</v>
      </c>
      <c r="B47" s="33">
        <f t="shared" si="0"/>
        <v>1051.4257620452311</v>
      </c>
      <c r="C47" s="34" t="s">
        <v>111</v>
      </c>
      <c r="D47" s="174"/>
    </row>
    <row r="48" spans="1:7">
      <c r="A48" s="171" t="s">
        <v>75</v>
      </c>
      <c r="B48" s="33">
        <f t="shared" si="0"/>
        <v>378.36774827925268</v>
      </c>
      <c r="C48" s="33">
        <f>B48*10</f>
        <v>3783.6774827925269</v>
      </c>
      <c r="D48" s="234"/>
    </row>
    <row r="49" spans="1:6">
      <c r="A49" s="171" t="s">
        <v>76</v>
      </c>
      <c r="B49" s="33" t="str">
        <f t="shared" si="0"/>
        <v>-</v>
      </c>
      <c r="C49" s="34" t="s">
        <v>111</v>
      </c>
      <c r="D49" s="234"/>
    </row>
    <row r="50" spans="1:6">
      <c r="A50" s="171" t="s">
        <v>77</v>
      </c>
      <c r="B50" s="33">
        <f t="shared" si="0"/>
        <v>108.1</v>
      </c>
      <c r="C50" s="33">
        <f>B50*2</f>
        <v>216.2</v>
      </c>
      <c r="D50" s="234"/>
    </row>
    <row r="51" spans="1:6">
      <c r="A51" s="171" t="s">
        <v>78</v>
      </c>
      <c r="B51" s="33">
        <f t="shared" si="0"/>
        <v>708.89999999999986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19126.508800000003</v>
      </c>
      <c r="C5" s="17">
        <f>IF(ISERROR('Eigen informatie GS &amp; warmtenet'!B58),0,'Eigen informatie GS &amp; warmtenet'!B58)</f>
        <v>0</v>
      </c>
      <c r="D5" s="30">
        <f>SUM(D6:D12)</f>
        <v>40823.731142826</v>
      </c>
      <c r="E5" s="17">
        <f>SUM(E6:E12)</f>
        <v>189.91395451927735</v>
      </c>
      <c r="F5" s="17">
        <f>SUM(F6:F12)</f>
        <v>3135.0391368241244</v>
      </c>
      <c r="G5" s="18"/>
      <c r="H5" s="17"/>
      <c r="I5" s="17"/>
      <c r="J5" s="17">
        <f>SUM(J6:J12)</f>
        <v>0</v>
      </c>
      <c r="K5" s="17"/>
      <c r="L5" s="17"/>
      <c r="M5" s="17"/>
      <c r="N5" s="17">
        <f>SUM(N6:N12)</f>
        <v>3814.8717568347565</v>
      </c>
      <c r="O5" s="17">
        <f>B38*B39*B40</f>
        <v>4.6900000000000004</v>
      </c>
      <c r="P5" s="17">
        <f>B46*B47*B48/1000-B46*B47*B48/1000/B49</f>
        <v>38.133333333333333</v>
      </c>
      <c r="R5" s="32"/>
    </row>
    <row r="6" spans="1:18">
      <c r="A6" s="32" t="s">
        <v>54</v>
      </c>
      <c r="B6" s="37">
        <f>B26</f>
        <v>2365.6219999999998</v>
      </c>
      <c r="C6" s="33"/>
      <c r="D6" s="37">
        <f>IF(ISERROR(TER_kantoor_gas_kWh/1000),0,TER_kantoor_gas_kWh/1000)*0.902</f>
        <v>2508.1945388492436</v>
      </c>
      <c r="E6" s="33">
        <f>$C$26*'E Balans VL '!I12/100/3.6*1000000</f>
        <v>6.8535540199616207</v>
      </c>
      <c r="F6" s="33">
        <f>$C$26*('E Balans VL '!L12+'E Balans VL '!N12)/100/3.6*1000000</f>
        <v>267.73629170645546</v>
      </c>
      <c r="G6" s="34"/>
      <c r="H6" s="33"/>
      <c r="I6" s="33"/>
      <c r="J6" s="33">
        <f>$C$26*('E Balans VL '!D12+'E Balans VL '!E12)/100/3.6*1000000</f>
        <v>0</v>
      </c>
      <c r="K6" s="33"/>
      <c r="L6" s="33"/>
      <c r="M6" s="33"/>
      <c r="N6" s="33">
        <f>$C$26*'E Balans VL '!Y12/100/3.6*1000000</f>
        <v>23.678133151884555</v>
      </c>
      <c r="O6" s="33"/>
      <c r="P6" s="33"/>
      <c r="R6" s="32"/>
    </row>
    <row r="7" spans="1:18">
      <c r="A7" s="32" t="s">
        <v>53</v>
      </c>
      <c r="B7" s="37">
        <f t="shared" ref="B7:B12" si="0">B27</f>
        <v>1781.3430000000001</v>
      </c>
      <c r="C7" s="33"/>
      <c r="D7" s="37">
        <f>IF(ISERROR(TER_horeca_gas_kWh/1000),0,TER_horeca_gas_kWh/1000)*0.902</f>
        <v>12824.840133264615</v>
      </c>
      <c r="E7" s="33">
        <f>$C$27*'E Balans VL '!I9/100/3.6*1000000</f>
        <v>74.775802166022089</v>
      </c>
      <c r="F7" s="33">
        <f>$C$27*('E Balans VL '!L9+'E Balans VL '!N9)/100/3.6*1000000</f>
        <v>382.75807342870667</v>
      </c>
      <c r="G7" s="34"/>
      <c r="H7" s="33"/>
      <c r="I7" s="33"/>
      <c r="J7" s="33">
        <f>$C$27*('E Balans VL '!D9+'E Balans VL '!E9)/100/3.6*1000000</f>
        <v>0</v>
      </c>
      <c r="K7" s="33"/>
      <c r="L7" s="33"/>
      <c r="M7" s="33"/>
      <c r="N7" s="33">
        <f>$C$27*'E Balans VL '!Y9/100/3.6*1000000</f>
        <v>0.45903651269032214</v>
      </c>
      <c r="O7" s="33"/>
      <c r="P7" s="33"/>
      <c r="R7" s="32"/>
    </row>
    <row r="8" spans="1:18">
      <c r="A8" s="6" t="s">
        <v>52</v>
      </c>
      <c r="B8" s="37">
        <f t="shared" si="0"/>
        <v>4861.1139999999996</v>
      </c>
      <c r="C8" s="33"/>
      <c r="D8" s="37">
        <f>IF(ISERROR(TER_handel_gas_kWh/1000),0,TER_handel_gas_kWh/1000)*0.902</f>
        <v>1929.1899834475976</v>
      </c>
      <c r="E8" s="33">
        <f>$C$28*'E Balans VL '!I13/100/3.6*1000000</f>
        <v>52.212410150174172</v>
      </c>
      <c r="F8" s="33">
        <f>$C$28*('E Balans VL '!L13+'E Balans VL '!N13)/100/3.6*1000000</f>
        <v>629.3113495518877</v>
      </c>
      <c r="G8" s="34"/>
      <c r="H8" s="33"/>
      <c r="I8" s="33"/>
      <c r="J8" s="33">
        <f>$C$28*('E Balans VL '!D13+'E Balans VL '!E13)/100/3.6*1000000</f>
        <v>0</v>
      </c>
      <c r="K8" s="33"/>
      <c r="L8" s="33"/>
      <c r="M8" s="33"/>
      <c r="N8" s="33">
        <f>$C$28*'E Balans VL '!Y13/100/3.6*1000000</f>
        <v>39.433622196365093</v>
      </c>
      <c r="O8" s="33"/>
      <c r="P8" s="33"/>
      <c r="R8" s="32"/>
    </row>
    <row r="9" spans="1:18">
      <c r="A9" s="32" t="s">
        <v>51</v>
      </c>
      <c r="B9" s="37">
        <f t="shared" si="0"/>
        <v>841.52200000000005</v>
      </c>
      <c r="C9" s="33"/>
      <c r="D9" s="37">
        <f>IF(ISERROR(TER_gezond_gas_kWh/1000),0,TER_gezond_gas_kWh/1000)*0.902</f>
        <v>1989.6049733258872</v>
      </c>
      <c r="E9" s="33">
        <f>$C$29*'E Balans VL '!I10/100/3.6*1000000</f>
        <v>0.66990594018478589</v>
      </c>
      <c r="F9" s="33">
        <f>$C$29*('E Balans VL '!L10+'E Balans VL '!N10)/100/3.6*1000000</f>
        <v>102.29916018825415</v>
      </c>
      <c r="G9" s="34"/>
      <c r="H9" s="33"/>
      <c r="I9" s="33"/>
      <c r="J9" s="33">
        <f>$C$29*('E Balans VL '!D10+'E Balans VL '!E10)/100/3.6*1000000</f>
        <v>0</v>
      </c>
      <c r="K9" s="33"/>
      <c r="L9" s="33"/>
      <c r="M9" s="33"/>
      <c r="N9" s="33">
        <f>$C$29*'E Balans VL '!Y10/100/3.6*1000000</f>
        <v>6.7975917693945194</v>
      </c>
      <c r="O9" s="33"/>
      <c r="P9" s="33"/>
      <c r="R9" s="32"/>
    </row>
    <row r="10" spans="1:18">
      <c r="A10" s="32" t="s">
        <v>50</v>
      </c>
      <c r="B10" s="37">
        <f t="shared" si="0"/>
        <v>4795.4440000000004</v>
      </c>
      <c r="C10" s="33"/>
      <c r="D10" s="37">
        <f>IF(ISERROR(TER_ander_gas_kWh/1000),0,TER_ander_gas_kWh/1000)*0.902</f>
        <v>18979.291999734152</v>
      </c>
      <c r="E10" s="33">
        <f>$C$30*'E Balans VL '!I14/100/3.6*1000000</f>
        <v>16.43423850833511</v>
      </c>
      <c r="F10" s="33">
        <f>$C$30*('E Balans VL '!L14+'E Balans VL '!N14)/100/3.6*1000000</f>
        <v>1071.1073257101245</v>
      </c>
      <c r="G10" s="34"/>
      <c r="H10" s="33"/>
      <c r="I10" s="33"/>
      <c r="J10" s="33">
        <f>$C$30*('E Balans VL '!D14+'E Balans VL '!E14)/100/3.6*1000000</f>
        <v>0</v>
      </c>
      <c r="K10" s="33"/>
      <c r="L10" s="33"/>
      <c r="M10" s="33"/>
      <c r="N10" s="33">
        <f>$C$30*'E Balans VL '!Y14/100/3.6*1000000</f>
        <v>3377.9369505984914</v>
      </c>
      <c r="O10" s="33"/>
      <c r="P10" s="33"/>
      <c r="R10" s="32"/>
    </row>
    <row r="11" spans="1:18">
      <c r="A11" s="32" t="s">
        <v>55</v>
      </c>
      <c r="B11" s="37">
        <f t="shared" si="0"/>
        <v>185.57679999999999</v>
      </c>
      <c r="C11" s="33"/>
      <c r="D11" s="37">
        <f>IF(ISERROR(TER_onderwijs_gas_kWh/1000),0,TER_onderwijs_gas_kWh/1000)*0.902</f>
        <v>339.15337851929382</v>
      </c>
      <c r="E11" s="33">
        <f>$C$31*'E Balans VL '!I11/100/3.6*1000000</f>
        <v>0.1282835265243624</v>
      </c>
      <c r="F11" s="33">
        <f>$C$31*('E Balans VL '!L11+'E Balans VL '!N11)/100/3.6*1000000</f>
        <v>48.578615599723712</v>
      </c>
      <c r="G11" s="34"/>
      <c r="H11" s="33"/>
      <c r="I11" s="33"/>
      <c r="J11" s="33">
        <f>$C$31*('E Balans VL '!D11+'E Balans VL '!E11)/100/3.6*1000000</f>
        <v>0</v>
      </c>
      <c r="K11" s="33"/>
      <c r="L11" s="33"/>
      <c r="M11" s="33"/>
      <c r="N11" s="33">
        <f>$C$31*'E Balans VL '!Y11/100/3.6*1000000</f>
        <v>0.18472589820119006</v>
      </c>
      <c r="O11" s="33"/>
      <c r="P11" s="33"/>
      <c r="R11" s="32"/>
    </row>
    <row r="12" spans="1:18">
      <c r="A12" s="32" t="s">
        <v>260</v>
      </c>
      <c r="B12" s="37">
        <f t="shared" si="0"/>
        <v>4295.8869999999997</v>
      </c>
      <c r="C12" s="33"/>
      <c r="D12" s="37">
        <f>IF(ISERROR(TER_rest_gas_kWh/1000),0,TER_rest_gas_kWh/1000)*0.902</f>
        <v>2253.4561356852096</v>
      </c>
      <c r="E12" s="33">
        <f>$C$32*'E Balans VL '!I8/100/3.6*1000000</f>
        <v>38.839760208075205</v>
      </c>
      <c r="F12" s="33">
        <f>$C$32*('E Balans VL '!L8+'E Balans VL '!N8)/100/3.6*1000000</f>
        <v>633.24832063897225</v>
      </c>
      <c r="G12" s="34"/>
      <c r="H12" s="33"/>
      <c r="I12" s="33"/>
      <c r="J12" s="33">
        <f>$C$32*('E Balans VL '!D8+'E Balans VL '!E8)/100/3.6*1000000</f>
        <v>0</v>
      </c>
      <c r="K12" s="33"/>
      <c r="L12" s="33"/>
      <c r="M12" s="33"/>
      <c r="N12" s="33">
        <f>$C$32*'E Balans VL '!Y8/100/3.6*1000000</f>
        <v>366.38169670772959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19126.508800000003</v>
      </c>
      <c r="C16" s="21">
        <f t="shared" ca="1" si="1"/>
        <v>0</v>
      </c>
      <c r="D16" s="21">
        <f t="shared" ca="1" si="1"/>
        <v>40823.731142826</v>
      </c>
      <c r="E16" s="21">
        <f t="shared" si="1"/>
        <v>189.91395451927735</v>
      </c>
      <c r="F16" s="21">
        <f t="shared" ca="1" si="1"/>
        <v>3135.0391368241244</v>
      </c>
      <c r="G16" s="21">
        <f t="shared" si="1"/>
        <v>0</v>
      </c>
      <c r="H16" s="21">
        <f t="shared" si="1"/>
        <v>0</v>
      </c>
      <c r="I16" s="21">
        <f t="shared" si="1"/>
        <v>0</v>
      </c>
      <c r="J16" s="21">
        <f t="shared" si="1"/>
        <v>0</v>
      </c>
      <c r="K16" s="21">
        <f t="shared" si="1"/>
        <v>0</v>
      </c>
      <c r="L16" s="21">
        <f t="shared" ca="1" si="1"/>
        <v>0</v>
      </c>
      <c r="M16" s="21">
        <f t="shared" si="1"/>
        <v>0</v>
      </c>
      <c r="N16" s="21">
        <f t="shared" ca="1" si="1"/>
        <v>3814.8717568347565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0.16655133949401918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3185.5456604841461</v>
      </c>
      <c r="C20" s="23">
        <f t="shared" ref="C20:P20" ca="1" si="2">C16*C18</f>
        <v>0</v>
      </c>
      <c r="D20" s="23">
        <f t="shared" ca="1" si="2"/>
        <v>8246.3936908508531</v>
      </c>
      <c r="E20" s="23">
        <f t="shared" si="2"/>
        <v>43.11046767587596</v>
      </c>
      <c r="F20" s="23">
        <f t="shared" ca="1" si="2"/>
        <v>837.05544953204128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2365.6219999999998</v>
      </c>
      <c r="C26" s="39">
        <f>IF(ISERROR(B26*3.6/1000000/'E Balans VL '!Z12*100),0,B26*3.6/1000000/'E Balans VL '!Z12*100)</f>
        <v>5.1963622162900638E-2</v>
      </c>
      <c r="D26" s="237" t="s">
        <v>692</v>
      </c>
      <c r="F26" s="6"/>
    </row>
    <row r="27" spans="1:18">
      <c r="A27" s="231" t="s">
        <v>53</v>
      </c>
      <c r="B27" s="33">
        <f>IF(ISERROR(TER_horeca_ele_kWh/1000),0,TER_horeca_ele_kWh/1000)</f>
        <v>1781.3430000000001</v>
      </c>
      <c r="C27" s="39">
        <f>IF(ISERROR(B27*3.6/1000000/'E Balans VL '!Z9*100),0,B27*3.6/1000000/'E Balans VL '!Z9*100)</f>
        <v>0.14314866668674905</v>
      </c>
      <c r="D27" s="237" t="s">
        <v>692</v>
      </c>
      <c r="F27" s="6"/>
    </row>
    <row r="28" spans="1:18">
      <c r="A28" s="171" t="s">
        <v>52</v>
      </c>
      <c r="B28" s="33">
        <f>IF(ISERROR(TER_handel_ele_kWh/1000),0,TER_handel_ele_kWh/1000)</f>
        <v>4861.1139999999996</v>
      </c>
      <c r="C28" s="39">
        <f>IF(ISERROR(B28*3.6/1000000/'E Balans VL '!Z13*100),0,B28*3.6/1000000/'E Balans VL '!Z13*100)</f>
        <v>0.14373974493445427</v>
      </c>
      <c r="D28" s="237" t="s">
        <v>692</v>
      </c>
      <c r="F28" s="6"/>
    </row>
    <row r="29" spans="1:18">
      <c r="A29" s="231" t="s">
        <v>51</v>
      </c>
      <c r="B29" s="33">
        <f>IF(ISERROR(TER_gezond_ele_kWh/1000),0,TER_gezond_ele_kWh/1000)</f>
        <v>841.52200000000005</v>
      </c>
      <c r="C29" s="39">
        <f>IF(ISERROR(B29*3.6/1000000/'E Balans VL '!Z10*100),0,B29*3.6/1000000/'E Balans VL '!Z10*100)</f>
        <v>9.4817803217127877E-2</v>
      </c>
      <c r="D29" s="237" t="s">
        <v>692</v>
      </c>
      <c r="F29" s="6"/>
    </row>
    <row r="30" spans="1:18">
      <c r="A30" s="231" t="s">
        <v>50</v>
      </c>
      <c r="B30" s="33">
        <f>IF(ISERROR(TER_ander_ele_kWh/1000),0,TER_ander_ele_kWh/1000)</f>
        <v>4795.4440000000004</v>
      </c>
      <c r="C30" s="39">
        <f>IF(ISERROR(B30*3.6/1000000/'E Balans VL '!Z14*100),0,B30*3.6/1000000/'E Balans VL '!Z14*100)</f>
        <v>0.36267123227876097</v>
      </c>
      <c r="D30" s="237" t="s">
        <v>692</v>
      </c>
      <c r="F30" s="6"/>
    </row>
    <row r="31" spans="1:18">
      <c r="A31" s="231" t="s">
        <v>55</v>
      </c>
      <c r="B31" s="33">
        <f>IF(ISERROR(TER_onderwijs_ele_kWh/1000),0,TER_onderwijs_ele_kWh/1000)</f>
        <v>185.57679999999999</v>
      </c>
      <c r="C31" s="39">
        <f>IF(ISERROR(B31*3.6/1000000/'E Balans VL '!Z11*100),0,B31*3.6/1000000/'E Balans VL '!Z11*100)</f>
        <v>3.8521435699531419E-2</v>
      </c>
      <c r="D31" s="237" t="s">
        <v>692</v>
      </c>
    </row>
    <row r="32" spans="1:18">
      <c r="A32" s="231" t="s">
        <v>260</v>
      </c>
      <c r="B32" s="33">
        <f>IF(ISERROR(TER_rest_ele_kWh/1000),0,TER_rest_ele_kWh/1000)</f>
        <v>4295.8869999999997</v>
      </c>
      <c r="C32" s="39">
        <f>IF(ISERROR(B32*3.6/1000000/'E Balans VL '!Z8*100),0,B32*3.6/1000000/'E Balans VL '!Z8*100)</f>
        <v>3.6190320790260105E-2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16114.524970000002</v>
      </c>
      <c r="C5" s="17">
        <f>IF(ISERROR('Eigen informatie GS &amp; warmtenet'!B59),0,'Eigen informatie GS &amp; warmtenet'!B59)</f>
        <v>0</v>
      </c>
      <c r="D5" s="30">
        <f>SUM(D6:D15)</f>
        <v>17997.711634424068</v>
      </c>
      <c r="E5" s="17">
        <f>SUM(E6:E15)</f>
        <v>1803.5593087150676</v>
      </c>
      <c r="F5" s="17">
        <f>SUM(F6:F15)</f>
        <v>8217.9708196800511</v>
      </c>
      <c r="G5" s="18"/>
      <c r="H5" s="17"/>
      <c r="I5" s="17"/>
      <c r="J5" s="17">
        <f>SUM(J6:J15)</f>
        <v>53.700732780364049</v>
      </c>
      <c r="K5" s="17"/>
      <c r="L5" s="17"/>
      <c r="M5" s="17"/>
      <c r="N5" s="17">
        <f>SUM(N6:N15)</f>
        <v>3633.473983974779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2690.4250000000002</v>
      </c>
      <c r="C8" s="33"/>
      <c r="D8" s="37">
        <f>IF( ISERROR(IND_metaal_Gas_kWH/1000),0,IND_metaal_Gas_kWH/1000)*0.902</f>
        <v>206.17379100654551</v>
      </c>
      <c r="E8" s="33">
        <f>C30*'E Balans VL '!I18/100/3.6*1000000</f>
        <v>67.331921464230774</v>
      </c>
      <c r="F8" s="33">
        <f>C30*'E Balans VL '!L18/100/3.6*1000000+C30*'E Balans VL '!N18/100/3.6*1000000</f>
        <v>843.19257786220351</v>
      </c>
      <c r="G8" s="34"/>
      <c r="H8" s="33"/>
      <c r="I8" s="33"/>
      <c r="J8" s="40">
        <f>C30*'E Balans VL '!D18/100/3.6*1000000+C30*'E Balans VL '!E18/100/3.6*1000000</f>
        <v>0</v>
      </c>
      <c r="K8" s="33"/>
      <c r="L8" s="33"/>
      <c r="M8" s="33"/>
      <c r="N8" s="33">
        <f>C30*'E Balans VL '!Y18/100/3.6*1000000</f>
        <v>67.590458261732934</v>
      </c>
      <c r="O8" s="33"/>
      <c r="P8" s="33"/>
      <c r="R8" s="32"/>
    </row>
    <row r="9" spans="1:18">
      <c r="A9" s="6" t="s">
        <v>33</v>
      </c>
      <c r="B9" s="37">
        <f t="shared" si="0"/>
        <v>4927.4269999999997</v>
      </c>
      <c r="C9" s="33"/>
      <c r="D9" s="37">
        <f>IF( ISERROR(IND_andere_gas_kWh/1000),0,IND_andere_gas_kWh/1000)*0.902</f>
        <v>871.29734877230442</v>
      </c>
      <c r="E9" s="33">
        <f>C31*'E Balans VL '!I19/100/3.6*1000000</f>
        <v>1354.8403263076584</v>
      </c>
      <c r="F9" s="33">
        <f>C31*'E Balans VL '!L19/100/3.6*1000000+C31*'E Balans VL '!N19/100/3.6*1000000</f>
        <v>3883.6699098600016</v>
      </c>
      <c r="G9" s="34"/>
      <c r="H9" s="33"/>
      <c r="I9" s="33"/>
      <c r="J9" s="40">
        <f>C31*'E Balans VL '!D19/100/3.6*1000000+C31*'E Balans VL '!E19/100/3.6*1000000</f>
        <v>0</v>
      </c>
      <c r="K9" s="33"/>
      <c r="L9" s="33"/>
      <c r="M9" s="33"/>
      <c r="N9" s="33">
        <f>C31*'E Balans VL '!Y19/100/3.6*1000000</f>
        <v>1595.1381822082842</v>
      </c>
      <c r="O9" s="33"/>
      <c r="P9" s="33"/>
      <c r="R9" s="32"/>
    </row>
    <row r="10" spans="1:18">
      <c r="A10" s="6" t="s">
        <v>41</v>
      </c>
      <c r="B10" s="37">
        <f t="shared" si="0"/>
        <v>965.27650000000006</v>
      </c>
      <c r="C10" s="33"/>
      <c r="D10" s="37">
        <f>IF( ISERROR(IND_voed_gas_kWh/1000),0,IND_voed_gas_kWh/1000)*0.902</f>
        <v>563.28896527815868</v>
      </c>
      <c r="E10" s="33">
        <f>C32*'E Balans VL '!I20/100/3.6*1000000</f>
        <v>9.8404621436418349</v>
      </c>
      <c r="F10" s="33">
        <f>C32*'E Balans VL '!L20/100/3.6*1000000+C32*'E Balans VL '!N20/100/3.6*1000000</f>
        <v>1823.4012712782715</v>
      </c>
      <c r="G10" s="34"/>
      <c r="H10" s="33"/>
      <c r="I10" s="33"/>
      <c r="J10" s="40">
        <f>C32*'E Balans VL '!D20/100/3.6*1000000+C32*'E Balans VL '!E20/100/3.6*1000000</f>
        <v>23.102225044007326</v>
      </c>
      <c r="K10" s="33"/>
      <c r="L10" s="33"/>
      <c r="M10" s="33"/>
      <c r="N10" s="33">
        <f>C32*'E Balans VL '!Y20/100/3.6*1000000</f>
        <v>508.81190171874931</v>
      </c>
      <c r="O10" s="33"/>
      <c r="P10" s="33"/>
      <c r="R10" s="32"/>
    </row>
    <row r="11" spans="1:18">
      <c r="A11" s="6" t="s">
        <v>40</v>
      </c>
      <c r="B11" s="37">
        <f t="shared" si="0"/>
        <v>21.45327</v>
      </c>
      <c r="C11" s="33"/>
      <c r="D11" s="37">
        <f>IF( ISERROR(IND_textiel_gas_kWh/1000),0,IND_textiel_gas_kWh/1000)*0.902</f>
        <v>0</v>
      </c>
      <c r="E11" s="33">
        <f>C33*'E Balans VL '!I21/100/3.6*1000000</f>
        <v>5.6861660815168552E-2</v>
      </c>
      <c r="F11" s="33">
        <f>C33*'E Balans VL '!L21/100/3.6*1000000+C33*'E Balans VL '!N21/100/3.6*1000000</f>
        <v>0.95812516889590038</v>
      </c>
      <c r="G11" s="34"/>
      <c r="H11" s="33"/>
      <c r="I11" s="33"/>
      <c r="J11" s="40">
        <f>C33*'E Balans VL '!D21/100/3.6*1000000+C33*'E Balans VL '!E21/100/3.6*1000000</f>
        <v>0</v>
      </c>
      <c r="K11" s="33"/>
      <c r="L11" s="33"/>
      <c r="M11" s="33"/>
      <c r="N11" s="33">
        <f>C33*'E Balans VL '!Y21/100/3.6*1000000</f>
        <v>0.20218173404919257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216.4752</v>
      </c>
      <c r="C13" s="33"/>
      <c r="D13" s="37">
        <f>IF( ISERROR(IND_papier_gas_kWh/1000),0,IND_papier_gas_kWh/1000)*0.902</f>
        <v>0</v>
      </c>
      <c r="E13" s="33">
        <f>C35*'E Balans VL '!I23/100/3.6*1000000</f>
        <v>0.44833475092415581</v>
      </c>
      <c r="F13" s="33">
        <f>C35*'E Balans VL '!L23/100/3.6*1000000+C35*'E Balans VL '!N23/100/3.6*1000000</f>
        <v>4.2931673019428862</v>
      </c>
      <c r="G13" s="34"/>
      <c r="H13" s="33"/>
      <c r="I13" s="33"/>
      <c r="J13" s="40">
        <f>C35*'E Balans VL '!D23/100/3.6*1000000+C35*'E Balans VL '!E23/100/3.6*1000000</f>
        <v>0</v>
      </c>
      <c r="K13" s="33"/>
      <c r="L13" s="33"/>
      <c r="M13" s="33"/>
      <c r="N13" s="33">
        <f>C35*'E Balans VL '!Y23/100/3.6*1000000</f>
        <v>91.406191843779325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7293.4679999999998</v>
      </c>
      <c r="C15" s="33"/>
      <c r="D15" s="37">
        <f>IF( ISERROR(IND_rest_gas_kWh/1000),0,IND_rest_gas_kWh/1000)*0.902</f>
        <v>16356.951529367059</v>
      </c>
      <c r="E15" s="33">
        <f>C37*'E Balans VL '!I15/100/3.6*1000000</f>
        <v>371.04140238779695</v>
      </c>
      <c r="F15" s="33">
        <f>C37*'E Balans VL '!L15/100/3.6*1000000+C37*'E Balans VL '!N15/100/3.6*1000000</f>
        <v>1662.4557682087361</v>
      </c>
      <c r="G15" s="34"/>
      <c r="H15" s="33"/>
      <c r="I15" s="33"/>
      <c r="J15" s="40">
        <f>C37*'E Balans VL '!D15/100/3.6*1000000+C37*'E Balans VL '!E15/100/3.6*1000000</f>
        <v>30.598507736356719</v>
      </c>
      <c r="K15" s="33"/>
      <c r="L15" s="33"/>
      <c r="M15" s="33"/>
      <c r="N15" s="33">
        <f>C37*'E Balans VL '!Y15/100/3.6*1000000</f>
        <v>1370.3250682081846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16114.524970000002</v>
      </c>
      <c r="C18" s="21">
        <f>C5+C16</f>
        <v>0</v>
      </c>
      <c r="D18" s="21">
        <f>MAX((D5+D16),0)</f>
        <v>17997.711634424068</v>
      </c>
      <c r="E18" s="21">
        <f>MAX((E5+E16),0)</f>
        <v>1803.5593087150676</v>
      </c>
      <c r="F18" s="21">
        <f>MAX((F5+F16),0)</f>
        <v>8217.9708196800511</v>
      </c>
      <c r="G18" s="21"/>
      <c r="H18" s="21"/>
      <c r="I18" s="21"/>
      <c r="J18" s="21">
        <f>MAX((J5+J16),0)</f>
        <v>53.700732780364049</v>
      </c>
      <c r="K18" s="21"/>
      <c r="L18" s="21">
        <f>MAX((L5+L16),0)</f>
        <v>0</v>
      </c>
      <c r="M18" s="21"/>
      <c r="N18" s="21">
        <f>MAX((N5+N16),0)</f>
        <v>3633.473983974779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0.16655133949401918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2683.8957190633196</v>
      </c>
      <c r="C22" s="23">
        <f ca="1">C18*C20</f>
        <v>0</v>
      </c>
      <c r="D22" s="23">
        <f>D18*D20</f>
        <v>3635.5377501536618</v>
      </c>
      <c r="E22" s="23">
        <f>E18*E20</f>
        <v>409.40796307832034</v>
      </c>
      <c r="F22" s="23">
        <f>F18*F20</f>
        <v>2194.1982088545737</v>
      </c>
      <c r="G22" s="23"/>
      <c r="H22" s="23"/>
      <c r="I22" s="23"/>
      <c r="J22" s="23">
        <f>J18*J20</f>
        <v>19.010059404248871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2690.4250000000002</v>
      </c>
      <c r="C30" s="39">
        <f>IF(ISERROR(B30*3.6/1000000/'E Balans VL '!Z18*100),0,B30*3.6/1000000/'E Balans VL '!Z18*100)</f>
        <v>0.37656984059638027</v>
      </c>
      <c r="D30" s="237" t="s">
        <v>692</v>
      </c>
    </row>
    <row r="31" spans="1:18">
      <c r="A31" s="6" t="s">
        <v>33</v>
      </c>
      <c r="B31" s="37">
        <f>IF( ISERROR(IND_ander_ele_kWh/1000),0,IND_ander_ele_kWh/1000)</f>
        <v>4927.4269999999997</v>
      </c>
      <c r="C31" s="39">
        <f>IF(ISERROR(B31*3.6/1000000/'E Balans VL '!Z19*100),0,B31*3.6/1000000/'E Balans VL '!Z19*100)</f>
        <v>0.21567268044777455</v>
      </c>
      <c r="D31" s="237" t="s">
        <v>692</v>
      </c>
    </row>
    <row r="32" spans="1:18">
      <c r="A32" s="171" t="s">
        <v>41</v>
      </c>
      <c r="B32" s="37">
        <f>IF( ISERROR(IND_voed_ele_kWh/1000),0,IND_voed_ele_kWh/1000)</f>
        <v>965.27650000000006</v>
      </c>
      <c r="C32" s="39">
        <f>IF(ISERROR(B32*3.6/1000000/'E Balans VL '!Z20*100),0,B32*3.6/1000000/'E Balans VL '!Z20*100)</f>
        <v>0.23897040614857568</v>
      </c>
      <c r="D32" s="237" t="s">
        <v>692</v>
      </c>
    </row>
    <row r="33" spans="1:5">
      <c r="A33" s="171" t="s">
        <v>40</v>
      </c>
      <c r="B33" s="37">
        <f>IF( ISERROR(IND_textiel_ele_kWh/1000),0,IND_textiel_ele_kWh/1000)</f>
        <v>21.45327</v>
      </c>
      <c r="C33" s="39">
        <f>IF(ISERROR(B33*3.6/1000000/'E Balans VL '!Z21*100),0,B33*3.6/1000000/'E Balans VL '!Z21*100)</f>
        <v>2.4174056261673234E-3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216.4752</v>
      </c>
      <c r="C35" s="39">
        <f>IF(ISERROR(B35*3.6/1000000/'E Balans VL '!Z22*100),0,B35*3.6/1000000/'E Balans VL '!Z22*100)</f>
        <v>6.1426830046495623E-3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7293.4679999999998</v>
      </c>
      <c r="C37" s="39">
        <f>IF(ISERROR(B37*3.6/1000000/'E Balans VL '!Z15*100),0,B37*3.6/1000000/'E Balans VL '!Z15*100)</f>
        <v>5.4079816525438085E-2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4432.5461999999998</v>
      </c>
      <c r="C5" s="17">
        <f>'Eigen informatie GS &amp; warmtenet'!B60</f>
        <v>0</v>
      </c>
      <c r="D5" s="30">
        <f>IF(ISERROR(SUM(LB_lb_gas_kWh,LB_rest_gas_kWh,onbekend_gas_kWh)/1000),0,SUM(LB_lb_gas_kWh,LB_rest_gas_kWh,onbekend_gas_kWh)/1000)*0.902</f>
        <v>1768.6174431491581</v>
      </c>
      <c r="E5" s="17">
        <f>B17*'E Balans VL '!I25/3.6*1000000/100</f>
        <v>41.056099425403545</v>
      </c>
      <c r="F5" s="17">
        <f>B17*('E Balans VL '!L25/3.6*1000000+'E Balans VL '!N25/3.6*1000000)/100</f>
        <v>11246.214108584563</v>
      </c>
      <c r="G5" s="18"/>
      <c r="H5" s="17"/>
      <c r="I5" s="17"/>
      <c r="J5" s="17">
        <f>('E Balans VL '!D25+'E Balans VL '!E25)/3.6*1000000*landbouw!B17/100</f>
        <v>679.55879981996725</v>
      </c>
      <c r="K5" s="17"/>
      <c r="L5" s="17">
        <f>L6*(-1)</f>
        <v>0</v>
      </c>
      <c r="M5" s="17"/>
      <c r="N5" s="17">
        <f>N6*(-1)</f>
        <v>31793.785714285714</v>
      </c>
      <c r="O5" s="17"/>
      <c r="P5" s="17"/>
      <c r="R5" s="32"/>
    </row>
    <row r="6" spans="1:18">
      <c r="A6" s="16" t="s">
        <v>494</v>
      </c>
      <c r="B6" s="17" t="s">
        <v>211</v>
      </c>
      <c r="C6" s="17">
        <f>'lokale energieproductie'!O91+'lokale energieproductie'!O60</f>
        <v>15896.892857142857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-31793.785714285714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4432.5461999999998</v>
      </c>
      <c r="C8" s="21">
        <f>C5+C6</f>
        <v>15896.892857142857</v>
      </c>
      <c r="D8" s="21">
        <f>MAX((D5+D6),0)</f>
        <v>1768.6174431491581</v>
      </c>
      <c r="E8" s="21">
        <f>MAX((E5+E6),0)</f>
        <v>41.056099425403545</v>
      </c>
      <c r="F8" s="21">
        <f>MAX((F5+F6),0)</f>
        <v>11246.214108584563</v>
      </c>
      <c r="G8" s="21"/>
      <c r="H8" s="21"/>
      <c r="I8" s="21"/>
      <c r="J8" s="21">
        <f>MAX((J5+J6),0)</f>
        <v>679.55879981996725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0.16655133949401918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738.24650697912455</v>
      </c>
      <c r="C12" s="23">
        <f ca="1">C8*C10</f>
        <v>0</v>
      </c>
      <c r="D12" s="23">
        <f>D8*D10</f>
        <v>357.26072351612999</v>
      </c>
      <c r="E12" s="23">
        <f>E8*E10</f>
        <v>9.3197345695666058</v>
      </c>
      <c r="F12" s="23">
        <f>F8*F10</f>
        <v>3002.7391669920785</v>
      </c>
      <c r="G12" s="23"/>
      <c r="H12" s="23"/>
      <c r="I12" s="23"/>
      <c r="J12" s="23">
        <f>J8*J10</f>
        <v>240.5638151362684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0.63021408341512852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1142.0099457304511</v>
      </c>
      <c r="C26" s="247">
        <f>B26*'GWP N2O_CH4'!B5</f>
        <v>23982.208860339473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474.17229619527808</v>
      </c>
      <c r="C27" s="247">
        <f>B27*'GWP N2O_CH4'!B5</f>
        <v>9957.6182201008396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14.506477060391678</v>
      </c>
      <c r="C28" s="247">
        <f>B28*'GWP N2O_CH4'!B4</f>
        <v>4497.0078887214204</v>
      </c>
      <c r="D28" s="50"/>
    </row>
    <row r="29" spans="1:4">
      <c r="A29" s="41" t="s">
        <v>277</v>
      </c>
      <c r="B29" s="247">
        <f>B34*'ha_N2O bodem landbouw'!B4</f>
        <v>30.795249810585787</v>
      </c>
      <c r="C29" s="247">
        <f>B29*'GWP N2O_CH4'!B4</f>
        <v>9546.5274412815943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6.9068320030406692E-3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1.1782644971657734E-4</v>
      </c>
      <c r="C5" s="464" t="s">
        <v>211</v>
      </c>
      <c r="D5" s="449">
        <f>SUM(D6:D11)</f>
        <v>3.0366612303417298E-4</v>
      </c>
      <c r="E5" s="449">
        <f>SUM(E6:E11)</f>
        <v>2.2513044552802406E-3</v>
      </c>
      <c r="F5" s="462" t="s">
        <v>211</v>
      </c>
      <c r="G5" s="449">
        <f>SUM(G6:G11)</f>
        <v>0.75701378879929959</v>
      </c>
      <c r="H5" s="449">
        <f>SUM(H6:H11)</f>
        <v>0.11823335877459004</v>
      </c>
      <c r="I5" s="464" t="s">
        <v>211</v>
      </c>
      <c r="J5" s="464" t="s">
        <v>211</v>
      </c>
      <c r="K5" s="464" t="s">
        <v>211</v>
      </c>
      <c r="L5" s="464" t="s">
        <v>211</v>
      </c>
      <c r="M5" s="449">
        <f>SUM(M6:M11)</f>
        <v>4.7429423296117393E-2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2.8195789384148349E-5</v>
      </c>
      <c r="C6" s="450"/>
      <c r="D6" s="963">
        <f>vkm_2011_GW_PW*SUMIFS(TableVerdeelsleutelVkm[CNG],TableVerdeelsleutelVkm[Voertuigtype],"Lichte voertuigen")*SUMIFS(TableECFTransport[EnergieConsumptieFactor (PJ per km)],TableECFTransport[Index],CONCATENATE($A6,"_CNG_CNG"))</f>
        <v>6.5219965073354659E-5</v>
      </c>
      <c r="E6" s="963">
        <f>vkm_2011_GW_PW*SUMIFS(TableVerdeelsleutelVkm[LPG],TableVerdeelsleutelVkm[Voertuigtype],"Lichte voertuigen")*SUMIFS(TableECFTransport[EnergieConsumptieFactor (PJ per km)],TableECFTransport[Index],CONCATENATE($A6,"_LPG_LPG"))</f>
        <v>4.2467302732398523E-4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8.8222679580877567E-2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2.4868150197704254E-2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5.8688278103592373E-3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4.7938773472799928E-2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1.6394189919016368E-5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2.7735297747009595E-3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1.2644465701473815E-5</v>
      </c>
      <c r="C8" s="450"/>
      <c r="D8" s="452">
        <f>vkm_2011_NGW_PW*SUMIFS(TableVerdeelsleutelVkm[CNG],TableVerdeelsleutelVkm[Voertuigtype],"Lichte voertuigen")*SUMIFS(TableECFTransport[EnergieConsumptieFactor (PJ per km)],TableECFTransport[Index],CONCATENATE($A8,"_CNG_CNG"))</f>
        <v>5.1731237435722461E-5</v>
      </c>
      <c r="E8" s="452">
        <f>vkm_2011_NGW_PW*SUMIFS(TableVerdeelsleutelVkm[LPG],TableVerdeelsleutelVkm[Voertuigtype],"Lichte voertuigen")*SUMIFS(TableECFTransport[EnergieConsumptieFactor (PJ per km)],TableECFTransport[Index],CONCATENATE($A8,"_LPG_LPG"))</f>
        <v>3.1087065560572768E-4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6.0370624629580621E-2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1.9072629124744798E-2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4.0793046807728892E-3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3.0248525875871873E-2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9.7880706178908262E-6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1.7500315501219642E-3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7.6986194630955176E-5</v>
      </c>
      <c r="C10" s="450"/>
      <c r="D10" s="452">
        <f>vkm_2011_SW_PW*SUMIFS(TableVerdeelsleutelVkm[CNG],TableVerdeelsleutelVkm[Voertuigtype],"Lichte voertuigen")*SUMIFS(TableECFTransport[EnergieConsumptieFactor (PJ per km)],TableECFTransport[Index],CONCATENATE($A10,"_CNG_CNG"))</f>
        <v>1.8671492052509583E-4</v>
      </c>
      <c r="E10" s="452">
        <f>vkm_2011_SW_PW*SUMIFS(TableVerdeelsleutelVkm[LPG],TableVerdeelsleutelVkm[Voertuigtype],"Lichte voertuigen")*SUMIFS(TableECFTransport[EnergieConsumptieFactor (PJ per km)],TableECFTransport[Index],CONCATENATE($A10,"_LPG_LPG"))</f>
        <v>1.5157607723505278E-3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0.28349078568784936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7.4175457254528135E-2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1.8682081160458126E-2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0.2467423995523203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9.09399370759622E-5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1.4275648319704215E-2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32.729569365715925</v>
      </c>
      <c r="C14" s="21"/>
      <c r="D14" s="21">
        <f t="shared" ref="D14:M14" si="0">((D5)*10^9/3600)+D12</f>
        <v>84.351700842825835</v>
      </c>
      <c r="E14" s="21">
        <f t="shared" si="0"/>
        <v>625.36234868895576</v>
      </c>
      <c r="F14" s="21"/>
      <c r="G14" s="21">
        <f t="shared" si="0"/>
        <v>210281.60799980545</v>
      </c>
      <c r="H14" s="21">
        <f t="shared" si="0"/>
        <v>32842.599659608342</v>
      </c>
      <c r="I14" s="21"/>
      <c r="J14" s="21"/>
      <c r="K14" s="21"/>
      <c r="L14" s="21"/>
      <c r="M14" s="21">
        <f t="shared" si="0"/>
        <v>13174.839804477055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0.16655133949401918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5.4511536189224028</v>
      </c>
      <c r="C18" s="23"/>
      <c r="D18" s="23">
        <f t="shared" ref="D18:M18" si="1">D14*D16</f>
        <v>17.039043570250819</v>
      </c>
      <c r="E18" s="23">
        <f t="shared" si="1"/>
        <v>141.95725315239295</v>
      </c>
      <c r="F18" s="23"/>
      <c r="G18" s="23">
        <f t="shared" si="1"/>
        <v>56145.18933594806</v>
      </c>
      <c r="H18" s="23">
        <f t="shared" si="1"/>
        <v>8177.8073152424768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3.5811607076462778E-3</v>
      </c>
      <c r="H50" s="321">
        <f t="shared" si="2"/>
        <v>0</v>
      </c>
      <c r="I50" s="321">
        <f t="shared" si="2"/>
        <v>0</v>
      </c>
      <c r="J50" s="321">
        <f t="shared" si="2"/>
        <v>0</v>
      </c>
      <c r="K50" s="321">
        <f t="shared" si="2"/>
        <v>0</v>
      </c>
      <c r="L50" s="321">
        <f t="shared" si="2"/>
        <v>0</v>
      </c>
      <c r="M50" s="321">
        <f t="shared" si="2"/>
        <v>2.0422315550965733E-4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3.5811607076462778E-3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2.0422315550965733E-4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994.76686323507715</v>
      </c>
      <c r="H54" s="21">
        <f t="shared" si="3"/>
        <v>0</v>
      </c>
      <c r="I54" s="21">
        <f t="shared" si="3"/>
        <v>0</v>
      </c>
      <c r="J54" s="21">
        <f t="shared" si="3"/>
        <v>0</v>
      </c>
      <c r="K54" s="21">
        <f t="shared" si="3"/>
        <v>0</v>
      </c>
      <c r="L54" s="21">
        <f t="shared" si="3"/>
        <v>0</v>
      </c>
      <c r="M54" s="21">
        <f t="shared" si="3"/>
        <v>56.728654308238148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0.16655133949401918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265.60275248376564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6633.3856431789754</v>
      </c>
      <c r="C6" s="1223"/>
      <c r="D6" s="1226"/>
      <c r="E6" s="1226"/>
      <c r="F6" s="1229"/>
      <c r="G6" s="1232"/>
      <c r="H6" s="1220"/>
      <c r="I6" s="1226"/>
      <c r="J6" s="1226"/>
      <c r="K6" s="1226"/>
      <c r="L6" s="1256"/>
      <c r="M6" s="576"/>
      <c r="N6" s="1268"/>
      <c r="O6" s="1269"/>
      <c r="Q6" s="574"/>
      <c r="R6" s="1253"/>
      <c r="S6" s="1253"/>
    </row>
    <row r="7" spans="1:19" s="564" customFormat="1">
      <c r="A7" s="577" t="s">
        <v>252</v>
      </c>
      <c r="B7" s="578">
        <f>N57</f>
        <v>11127.825000000001</v>
      </c>
      <c r="C7" s="579">
        <f>B100</f>
        <v>0</v>
      </c>
      <c r="D7" s="580"/>
      <c r="E7" s="580">
        <f>E100</f>
        <v>0</v>
      </c>
      <c r="F7" s="581"/>
      <c r="G7" s="582"/>
      <c r="H7" s="580">
        <f>I100</f>
        <v>0</v>
      </c>
      <c r="I7" s="580">
        <f>G100+F100</f>
        <v>0</v>
      </c>
      <c r="J7" s="580">
        <f>H100+D100+C100</f>
        <v>13091.558823529411</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17761.210643178976</v>
      </c>
      <c r="C9" s="595">
        <f t="shared" ref="C9:L9" si="0">SUM(C7:C8)</f>
        <v>0</v>
      </c>
      <c r="D9" s="595">
        <f t="shared" si="0"/>
        <v>0</v>
      </c>
      <c r="E9" s="595">
        <f t="shared" si="0"/>
        <v>0</v>
      </c>
      <c r="F9" s="595">
        <f t="shared" si="0"/>
        <v>0</v>
      </c>
      <c r="G9" s="595">
        <f t="shared" si="0"/>
        <v>0</v>
      </c>
      <c r="H9" s="595">
        <f t="shared" si="0"/>
        <v>0</v>
      </c>
      <c r="I9" s="595">
        <f t="shared" si="0"/>
        <v>0</v>
      </c>
      <c r="J9" s="595">
        <f t="shared" si="0"/>
        <v>13091.558823529411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15896.892857142857</v>
      </c>
      <c r="C16" s="611">
        <f>B101</f>
        <v>0</v>
      </c>
      <c r="D16" s="612"/>
      <c r="E16" s="612">
        <f>E101</f>
        <v>0</v>
      </c>
      <c r="F16" s="613"/>
      <c r="G16" s="614"/>
      <c r="H16" s="611">
        <f>I101</f>
        <v>0</v>
      </c>
      <c r="I16" s="612">
        <f>G101+F101</f>
        <v>0</v>
      </c>
      <c r="J16" s="612">
        <f>H101+D101+C101</f>
        <v>18702.226890756298</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15896.892857142857</v>
      </c>
      <c r="C19" s="594">
        <f>SUM(C16:C18)</f>
        <v>0</v>
      </c>
      <c r="D19" s="594">
        <f t="shared" ref="D19:M19" si="1">SUM(D16:D18)</f>
        <v>0</v>
      </c>
      <c r="E19" s="594">
        <f t="shared" si="1"/>
        <v>0</v>
      </c>
      <c r="F19" s="594">
        <f t="shared" si="1"/>
        <v>0</v>
      </c>
      <c r="G19" s="594">
        <f t="shared" si="1"/>
        <v>0</v>
      </c>
      <c r="H19" s="594">
        <f t="shared" si="1"/>
        <v>0</v>
      </c>
      <c r="I19" s="594">
        <f t="shared" si="1"/>
        <v>0</v>
      </c>
      <c r="J19" s="594">
        <f t="shared" si="1"/>
        <v>18702.226890756298</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31003</v>
      </c>
      <c r="C27" s="852">
        <v>8730</v>
      </c>
      <c r="D27" s="673" t="s">
        <v>871</v>
      </c>
      <c r="E27" s="672" t="s">
        <v>872</v>
      </c>
      <c r="F27" s="672" t="s">
        <v>873</v>
      </c>
      <c r="G27" s="672" t="s">
        <v>874</v>
      </c>
      <c r="H27" s="672" t="s">
        <v>875</v>
      </c>
      <c r="I27" s="672" t="s">
        <v>872</v>
      </c>
      <c r="J27" s="851">
        <v>39280</v>
      </c>
      <c r="K27" s="851">
        <v>39280</v>
      </c>
      <c r="L27" s="672" t="s">
        <v>876</v>
      </c>
      <c r="M27" s="672">
        <v>2461</v>
      </c>
      <c r="N27" s="672">
        <v>11074.5</v>
      </c>
      <c r="O27" s="672">
        <v>15820.714285714286</v>
      </c>
      <c r="P27" s="672">
        <v>0</v>
      </c>
      <c r="Q27" s="672">
        <v>31641.428571428572</v>
      </c>
      <c r="R27" s="672">
        <v>0</v>
      </c>
      <c r="S27" s="672">
        <v>0</v>
      </c>
      <c r="T27" s="672">
        <v>0</v>
      </c>
      <c r="U27" s="672">
        <v>0</v>
      </c>
      <c r="V27" s="672">
        <v>0</v>
      </c>
      <c r="W27" s="672">
        <v>0</v>
      </c>
      <c r="X27" s="672">
        <v>10</v>
      </c>
      <c r="Y27" s="672" t="s">
        <v>112</v>
      </c>
      <c r="Z27" s="674" t="s">
        <v>112</v>
      </c>
    </row>
    <row r="28" spans="1:26" s="626" customFormat="1" ht="25.5">
      <c r="A28" s="625"/>
      <c r="B28" s="852">
        <v>31003</v>
      </c>
      <c r="C28" s="852">
        <v>8730</v>
      </c>
      <c r="D28" s="673" t="s">
        <v>877</v>
      </c>
      <c r="E28" s="672" t="s">
        <v>878</v>
      </c>
      <c r="F28" s="672" t="s">
        <v>879</v>
      </c>
      <c r="G28" s="672" t="s">
        <v>874</v>
      </c>
      <c r="H28" s="672" t="s">
        <v>875</v>
      </c>
      <c r="I28" s="672" t="s">
        <v>878</v>
      </c>
      <c r="J28" s="851">
        <v>41459</v>
      </c>
      <c r="K28" s="851">
        <v>41459</v>
      </c>
      <c r="L28" s="672" t="s">
        <v>876</v>
      </c>
      <c r="M28" s="672">
        <v>7</v>
      </c>
      <c r="N28" s="672">
        <v>31.5</v>
      </c>
      <c r="O28" s="672">
        <v>45</v>
      </c>
      <c r="P28" s="672">
        <v>0</v>
      </c>
      <c r="Q28" s="672">
        <v>90</v>
      </c>
      <c r="R28" s="672">
        <v>0</v>
      </c>
      <c r="S28" s="672">
        <v>0</v>
      </c>
      <c r="T28" s="672">
        <v>0</v>
      </c>
      <c r="U28" s="672">
        <v>0</v>
      </c>
      <c r="V28" s="672">
        <v>0</v>
      </c>
      <c r="W28" s="672">
        <v>0</v>
      </c>
      <c r="X28" s="672">
        <v>10</v>
      </c>
      <c r="Y28" s="672" t="s">
        <v>112</v>
      </c>
      <c r="Z28" s="674" t="s">
        <v>112</v>
      </c>
    </row>
    <row r="29" spans="1:26" s="626" customFormat="1" ht="25.5">
      <c r="A29" s="625"/>
      <c r="B29" s="852">
        <v>31003</v>
      </c>
      <c r="C29" s="852">
        <v>8730</v>
      </c>
      <c r="D29" s="673" t="s">
        <v>880</v>
      </c>
      <c r="E29" s="672" t="s">
        <v>881</v>
      </c>
      <c r="F29" s="672" t="s">
        <v>882</v>
      </c>
      <c r="G29" s="672" t="s">
        <v>874</v>
      </c>
      <c r="H29" s="672" t="s">
        <v>875</v>
      </c>
      <c r="I29" s="672" t="s">
        <v>881</v>
      </c>
      <c r="J29" s="851">
        <v>41810</v>
      </c>
      <c r="K29" s="851">
        <v>41810</v>
      </c>
      <c r="L29" s="672" t="s">
        <v>876</v>
      </c>
      <c r="M29" s="672">
        <v>9.6999999999999993</v>
      </c>
      <c r="N29" s="672">
        <v>21.824999999999996</v>
      </c>
      <c r="O29" s="672">
        <v>31.178571428571423</v>
      </c>
      <c r="P29" s="672">
        <v>0</v>
      </c>
      <c r="Q29" s="672">
        <v>62.357142857142847</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2477.6999999999998</v>
      </c>
      <c r="N57" s="630">
        <f>SUM(N27:N56)</f>
        <v>11127.825000000001</v>
      </c>
      <c r="O57" s="630">
        <f t="shared" ref="O57:W57" si="2">SUM(O27:O56)</f>
        <v>15896.892857142857</v>
      </c>
      <c r="P57" s="630">
        <f t="shared" si="2"/>
        <v>0</v>
      </c>
      <c r="Q57" s="630">
        <f t="shared" si="2"/>
        <v>31793.785714285714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2477.6999999999998</v>
      </c>
      <c r="N60" s="635">
        <f t="shared" ref="N60:W60" si="4">SUMIF($Z$27:$Z$56,"landbouw",N27:N56)</f>
        <v>11127.825000000001</v>
      </c>
      <c r="O60" s="635">
        <f t="shared" si="4"/>
        <v>15896.892857142857</v>
      </c>
      <c r="P60" s="635">
        <f t="shared" si="4"/>
        <v>0</v>
      </c>
      <c r="Q60" s="635">
        <f t="shared" si="4"/>
        <v>31793.785714285714</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13091.558823529411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18702.226890756298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20226.921800000004</v>
      </c>
      <c r="D10" s="719">
        <f ca="1">tertiair!C16</f>
        <v>0</v>
      </c>
      <c r="E10" s="719">
        <f ca="1">tertiair!D16</f>
        <v>40823.731142826</v>
      </c>
      <c r="F10" s="719">
        <f>tertiair!E16</f>
        <v>189.91395451927735</v>
      </c>
      <c r="G10" s="719">
        <f ca="1">tertiair!F16</f>
        <v>3135.0391368241244</v>
      </c>
      <c r="H10" s="719">
        <f>tertiair!G16</f>
        <v>0</v>
      </c>
      <c r="I10" s="719">
        <f>tertiair!H16</f>
        <v>0</v>
      </c>
      <c r="J10" s="719">
        <f>tertiair!I16</f>
        <v>0</v>
      </c>
      <c r="K10" s="719">
        <f>tertiair!J16</f>
        <v>0</v>
      </c>
      <c r="L10" s="719">
        <f>tertiair!K16</f>
        <v>0</v>
      </c>
      <c r="M10" s="719">
        <f ca="1">tertiair!L16</f>
        <v>0</v>
      </c>
      <c r="N10" s="719">
        <f>tertiair!M16</f>
        <v>0</v>
      </c>
      <c r="O10" s="719">
        <f ca="1">tertiair!N16</f>
        <v>3814.8717568347565</v>
      </c>
      <c r="P10" s="719">
        <f>tertiair!O16</f>
        <v>4.6900000000000004</v>
      </c>
      <c r="Q10" s="720">
        <f>tertiair!P16</f>
        <v>38.133333333333333</v>
      </c>
      <c r="R10" s="722">
        <f ca="1">SUM(C10:Q10)</f>
        <v>68233.301124337493</v>
      </c>
      <c r="S10" s="67"/>
    </row>
    <row r="11" spans="1:19" s="475" customFormat="1">
      <c r="A11" s="871" t="s">
        <v>225</v>
      </c>
      <c r="B11" s="876"/>
      <c r="C11" s="719">
        <f>huishoudens!B8</f>
        <v>31283.711195205076</v>
      </c>
      <c r="D11" s="719">
        <f>huishoudens!C8</f>
        <v>0</v>
      </c>
      <c r="E11" s="719">
        <f>huishoudens!D8</f>
        <v>43194.91827375412</v>
      </c>
      <c r="F11" s="719">
        <f>huishoudens!E8</f>
        <v>6269.6890204602523</v>
      </c>
      <c r="G11" s="719">
        <f>huishoudens!F8</f>
        <v>17450.626890099596</v>
      </c>
      <c r="H11" s="719">
        <f>huishoudens!G8</f>
        <v>0</v>
      </c>
      <c r="I11" s="719">
        <f>huishoudens!H8</f>
        <v>0</v>
      </c>
      <c r="J11" s="719">
        <f>huishoudens!I8</f>
        <v>0</v>
      </c>
      <c r="K11" s="719">
        <f>huishoudens!J8</f>
        <v>3802.3335876262208</v>
      </c>
      <c r="L11" s="719">
        <f>huishoudens!K8</f>
        <v>0</v>
      </c>
      <c r="M11" s="719">
        <f>huishoudens!L8</f>
        <v>0</v>
      </c>
      <c r="N11" s="719">
        <f>huishoudens!M8</f>
        <v>0</v>
      </c>
      <c r="O11" s="719">
        <f>huishoudens!N8</f>
        <v>21408.95857315902</v>
      </c>
      <c r="P11" s="719">
        <f>huishoudens!O8</f>
        <v>461.18333333333334</v>
      </c>
      <c r="Q11" s="720">
        <f>huishoudens!P8</f>
        <v>1029.5999999999999</v>
      </c>
      <c r="R11" s="722">
        <f>SUM(C11:Q11)</f>
        <v>124901.02087363764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16114.524970000002</v>
      </c>
      <c r="D13" s="719">
        <f>industrie!C18</f>
        <v>0</v>
      </c>
      <c r="E13" s="719">
        <f>industrie!D18</f>
        <v>17997.711634424068</v>
      </c>
      <c r="F13" s="719">
        <f>industrie!E18</f>
        <v>1803.5593087150676</v>
      </c>
      <c r="G13" s="719">
        <f>industrie!F18</f>
        <v>8217.9708196800511</v>
      </c>
      <c r="H13" s="719">
        <f>industrie!G18</f>
        <v>0</v>
      </c>
      <c r="I13" s="719">
        <f>industrie!H18</f>
        <v>0</v>
      </c>
      <c r="J13" s="719">
        <f>industrie!I18</f>
        <v>0</v>
      </c>
      <c r="K13" s="719">
        <f>industrie!J18</f>
        <v>53.700732780364049</v>
      </c>
      <c r="L13" s="719">
        <f>industrie!K18</f>
        <v>0</v>
      </c>
      <c r="M13" s="719">
        <f>industrie!L18</f>
        <v>0</v>
      </c>
      <c r="N13" s="719">
        <f>industrie!M18</f>
        <v>0</v>
      </c>
      <c r="O13" s="719">
        <f>industrie!N18</f>
        <v>3633.473983974779</v>
      </c>
      <c r="P13" s="719">
        <f>industrie!O18</f>
        <v>0</v>
      </c>
      <c r="Q13" s="720">
        <f>industrie!P18</f>
        <v>0</v>
      </c>
      <c r="R13" s="722">
        <f>SUM(C13:Q13)</f>
        <v>47820.941449574333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67625.157965205086</v>
      </c>
      <c r="D15" s="724">
        <f t="shared" ref="D15:Q15" ca="1" si="0">SUM(D9:D14)</f>
        <v>0</v>
      </c>
      <c r="E15" s="724">
        <f t="shared" ca="1" si="0"/>
        <v>102016.36105100419</v>
      </c>
      <c r="F15" s="724">
        <f t="shared" si="0"/>
        <v>8263.1622836945971</v>
      </c>
      <c r="G15" s="724">
        <f t="shared" ca="1" si="0"/>
        <v>28803.636846603775</v>
      </c>
      <c r="H15" s="724">
        <f t="shared" si="0"/>
        <v>0</v>
      </c>
      <c r="I15" s="724">
        <f t="shared" si="0"/>
        <v>0</v>
      </c>
      <c r="J15" s="724">
        <f t="shared" si="0"/>
        <v>0</v>
      </c>
      <c r="K15" s="724">
        <f t="shared" si="0"/>
        <v>3856.0343204065848</v>
      </c>
      <c r="L15" s="724">
        <f t="shared" si="0"/>
        <v>0</v>
      </c>
      <c r="M15" s="724">
        <f t="shared" ca="1" si="0"/>
        <v>0</v>
      </c>
      <c r="N15" s="724">
        <f t="shared" si="0"/>
        <v>0</v>
      </c>
      <c r="O15" s="724">
        <f t="shared" ca="1" si="0"/>
        <v>28857.304313968554</v>
      </c>
      <c r="P15" s="724">
        <f t="shared" si="0"/>
        <v>465.87333333333333</v>
      </c>
      <c r="Q15" s="725">
        <f t="shared" si="0"/>
        <v>1067.7333333333333</v>
      </c>
      <c r="R15" s="726">
        <f ca="1">SUM(R9:R14)</f>
        <v>240955.26344754946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994.76686323507715</v>
      </c>
      <c r="I18" s="719">
        <f>transport!H54</f>
        <v>0</v>
      </c>
      <c r="J18" s="719">
        <f>transport!I54</f>
        <v>0</v>
      </c>
      <c r="K18" s="719">
        <f>transport!J54</f>
        <v>0</v>
      </c>
      <c r="L18" s="719">
        <f>transport!K54</f>
        <v>0</v>
      </c>
      <c r="M18" s="719">
        <f>transport!L54</f>
        <v>0</v>
      </c>
      <c r="N18" s="719">
        <f>transport!M54</f>
        <v>56.728654308238148</v>
      </c>
      <c r="O18" s="719">
        <f>transport!N54</f>
        <v>0</v>
      </c>
      <c r="P18" s="719">
        <f>transport!O54</f>
        <v>0</v>
      </c>
      <c r="Q18" s="720">
        <f>transport!P54</f>
        <v>0</v>
      </c>
      <c r="R18" s="722">
        <f>SUM(C18:Q18)</f>
        <v>1051.4955175433154</v>
      </c>
      <c r="S18" s="67"/>
    </row>
    <row r="19" spans="1:19" s="475" customFormat="1" ht="15" thickBot="1">
      <c r="A19" s="871" t="s">
        <v>307</v>
      </c>
      <c r="B19" s="876"/>
      <c r="C19" s="728">
        <f>transport!B14</f>
        <v>32.729569365715925</v>
      </c>
      <c r="D19" s="728">
        <f>transport!C14</f>
        <v>0</v>
      </c>
      <c r="E19" s="728">
        <f>transport!D14</f>
        <v>84.351700842825835</v>
      </c>
      <c r="F19" s="728">
        <f>transport!E14</f>
        <v>625.36234868895576</v>
      </c>
      <c r="G19" s="728">
        <f>transport!F14</f>
        <v>0</v>
      </c>
      <c r="H19" s="728">
        <f>transport!G14</f>
        <v>210281.60799980545</v>
      </c>
      <c r="I19" s="728">
        <f>transport!H14</f>
        <v>32842.599659608342</v>
      </c>
      <c r="J19" s="728">
        <f>transport!I14</f>
        <v>0</v>
      </c>
      <c r="K19" s="728">
        <f>transport!J14</f>
        <v>0</v>
      </c>
      <c r="L19" s="728">
        <f>transport!K14</f>
        <v>0</v>
      </c>
      <c r="M19" s="728">
        <f>transport!L14</f>
        <v>0</v>
      </c>
      <c r="N19" s="728">
        <f>transport!M14</f>
        <v>13174.839804477055</v>
      </c>
      <c r="O19" s="728">
        <f>transport!N14</f>
        <v>0</v>
      </c>
      <c r="P19" s="728">
        <f>transport!O14</f>
        <v>0</v>
      </c>
      <c r="Q19" s="729">
        <f>transport!P14</f>
        <v>0</v>
      </c>
      <c r="R19" s="730">
        <f>SUM(C19:Q19)</f>
        <v>257041.49108278833</v>
      </c>
      <c r="S19" s="67"/>
    </row>
    <row r="20" spans="1:19" s="475" customFormat="1" ht="15.75" thickBot="1">
      <c r="A20" s="731" t="s">
        <v>230</v>
      </c>
      <c r="B20" s="879"/>
      <c r="C20" s="874">
        <f>SUM(C17:C19)</f>
        <v>32.729569365715925</v>
      </c>
      <c r="D20" s="732">
        <f t="shared" ref="D20:R20" si="1">SUM(D17:D19)</f>
        <v>0</v>
      </c>
      <c r="E20" s="732">
        <f t="shared" si="1"/>
        <v>84.351700842825835</v>
      </c>
      <c r="F20" s="732">
        <f t="shared" si="1"/>
        <v>625.36234868895576</v>
      </c>
      <c r="G20" s="732">
        <f t="shared" si="1"/>
        <v>0</v>
      </c>
      <c r="H20" s="732">
        <f t="shared" si="1"/>
        <v>211276.37486304052</v>
      </c>
      <c r="I20" s="732">
        <f t="shared" si="1"/>
        <v>32842.599659608342</v>
      </c>
      <c r="J20" s="732">
        <f t="shared" si="1"/>
        <v>0</v>
      </c>
      <c r="K20" s="732">
        <f t="shared" si="1"/>
        <v>0</v>
      </c>
      <c r="L20" s="732">
        <f t="shared" si="1"/>
        <v>0</v>
      </c>
      <c r="M20" s="732">
        <f t="shared" si="1"/>
        <v>0</v>
      </c>
      <c r="N20" s="732">
        <f t="shared" si="1"/>
        <v>13231.568458785292</v>
      </c>
      <c r="O20" s="732">
        <f t="shared" si="1"/>
        <v>0</v>
      </c>
      <c r="P20" s="732">
        <f t="shared" si="1"/>
        <v>0</v>
      </c>
      <c r="Q20" s="733">
        <f t="shared" si="1"/>
        <v>0</v>
      </c>
      <c r="R20" s="734">
        <f t="shared" si="1"/>
        <v>258092.98660033164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4432.5461999999998</v>
      </c>
      <c r="D22" s="728">
        <f>+landbouw!C8</f>
        <v>15896.892857142857</v>
      </c>
      <c r="E22" s="728">
        <f>+landbouw!D8</f>
        <v>1768.6174431491581</v>
      </c>
      <c r="F22" s="728">
        <f>+landbouw!E8</f>
        <v>41.056099425403545</v>
      </c>
      <c r="G22" s="728">
        <f>+landbouw!F8</f>
        <v>11246.214108584563</v>
      </c>
      <c r="H22" s="728">
        <f>+landbouw!G8</f>
        <v>0</v>
      </c>
      <c r="I22" s="728">
        <f>+landbouw!H8</f>
        <v>0</v>
      </c>
      <c r="J22" s="728">
        <f>+landbouw!I8</f>
        <v>0</v>
      </c>
      <c r="K22" s="728">
        <f>+landbouw!J8</f>
        <v>679.55879981996725</v>
      </c>
      <c r="L22" s="728">
        <f>+landbouw!K8</f>
        <v>0</v>
      </c>
      <c r="M22" s="728">
        <f>+landbouw!L8</f>
        <v>0</v>
      </c>
      <c r="N22" s="728">
        <f>+landbouw!M8</f>
        <v>0</v>
      </c>
      <c r="O22" s="728">
        <f>+landbouw!N8</f>
        <v>0</v>
      </c>
      <c r="P22" s="728">
        <f>+landbouw!O8</f>
        <v>0</v>
      </c>
      <c r="Q22" s="729">
        <f>+landbouw!P8</f>
        <v>0</v>
      </c>
      <c r="R22" s="730">
        <f>SUM(C22:Q22)</f>
        <v>34064.885508121952</v>
      </c>
      <c r="S22" s="67"/>
    </row>
    <row r="23" spans="1:19" s="475" customFormat="1" ht="17.25" thickTop="1" thickBot="1">
      <c r="A23" s="735" t="s">
        <v>116</v>
      </c>
      <c r="B23" s="865"/>
      <c r="C23" s="736">
        <f ca="1">C20+C15+C22</f>
        <v>72090.433734570805</v>
      </c>
      <c r="D23" s="736">
        <f t="shared" ref="D23:Q23" ca="1" si="2">D20+D15+D22</f>
        <v>15896.892857142857</v>
      </c>
      <c r="E23" s="736">
        <f t="shared" ca="1" si="2"/>
        <v>103869.33019499618</v>
      </c>
      <c r="F23" s="736">
        <f t="shared" si="2"/>
        <v>8929.5807318089555</v>
      </c>
      <c r="G23" s="736">
        <f t="shared" ca="1" si="2"/>
        <v>40049.85095518834</v>
      </c>
      <c r="H23" s="736">
        <f t="shared" si="2"/>
        <v>211276.37486304052</v>
      </c>
      <c r="I23" s="736">
        <f t="shared" si="2"/>
        <v>32842.599659608342</v>
      </c>
      <c r="J23" s="736">
        <f t="shared" si="2"/>
        <v>0</v>
      </c>
      <c r="K23" s="736">
        <f t="shared" si="2"/>
        <v>4535.5931202265519</v>
      </c>
      <c r="L23" s="736">
        <f t="shared" si="2"/>
        <v>0</v>
      </c>
      <c r="M23" s="736">
        <f t="shared" ca="1" si="2"/>
        <v>0</v>
      </c>
      <c r="N23" s="736">
        <f t="shared" si="2"/>
        <v>13231.568458785292</v>
      </c>
      <c r="O23" s="736">
        <f t="shared" ca="1" si="2"/>
        <v>28857.304313968554</v>
      </c>
      <c r="P23" s="736">
        <f t="shared" si="2"/>
        <v>465.87333333333333</v>
      </c>
      <c r="Q23" s="737">
        <f t="shared" si="2"/>
        <v>1067.7333333333333</v>
      </c>
      <c r="R23" s="738">
        <f ca="1">R20+R15+R22</f>
        <v>533113.13555600308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3368.820919630778</v>
      </c>
      <c r="D36" s="719">
        <f ca="1">tertiair!C20</f>
        <v>0</v>
      </c>
      <c r="E36" s="719">
        <f ca="1">tertiair!D20</f>
        <v>8246.3936908508531</v>
      </c>
      <c r="F36" s="719">
        <f>tertiair!E20</f>
        <v>43.11046767587596</v>
      </c>
      <c r="G36" s="719">
        <f ca="1">tertiair!F20</f>
        <v>837.05544953204128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12495.380527689549</v>
      </c>
    </row>
    <row r="37" spans="1:18">
      <c r="A37" s="886" t="s">
        <v>225</v>
      </c>
      <c r="B37" s="893"/>
      <c r="C37" s="719">
        <f ca="1">huishoudens!B12</f>
        <v>5210.3440039054494</v>
      </c>
      <c r="D37" s="719">
        <f ca="1">huishoudens!C12</f>
        <v>0</v>
      </c>
      <c r="E37" s="719">
        <f>huishoudens!D12</f>
        <v>8725.3734912983327</v>
      </c>
      <c r="F37" s="719">
        <f>huishoudens!E12</f>
        <v>1423.2194076444773</v>
      </c>
      <c r="G37" s="719">
        <f>huishoudens!F12</f>
        <v>4659.3173796565925</v>
      </c>
      <c r="H37" s="719">
        <f>huishoudens!G12</f>
        <v>0</v>
      </c>
      <c r="I37" s="719">
        <f>huishoudens!H12</f>
        <v>0</v>
      </c>
      <c r="J37" s="719">
        <f>huishoudens!I12</f>
        <v>0</v>
      </c>
      <c r="K37" s="719">
        <f>huishoudens!J12</f>
        <v>1346.0260900196822</v>
      </c>
      <c r="L37" s="719">
        <f>huishoudens!K12</f>
        <v>0</v>
      </c>
      <c r="M37" s="719">
        <f>huishoudens!L12</f>
        <v>0</v>
      </c>
      <c r="N37" s="719">
        <f>huishoudens!M12</f>
        <v>0</v>
      </c>
      <c r="O37" s="719">
        <f>huishoudens!N12</f>
        <v>0</v>
      </c>
      <c r="P37" s="719">
        <f>huishoudens!O12</f>
        <v>0</v>
      </c>
      <c r="Q37" s="829">
        <f>huishoudens!P12</f>
        <v>0</v>
      </c>
      <c r="R37" s="918">
        <f ca="1">SUM(C37:Q37)</f>
        <v>21364.280372524532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2683.8957190633196</v>
      </c>
      <c r="D39" s="719">
        <f ca="1">industrie!C22</f>
        <v>0</v>
      </c>
      <c r="E39" s="719">
        <f>industrie!D22</f>
        <v>3635.5377501536618</v>
      </c>
      <c r="F39" s="719">
        <f>industrie!E22</f>
        <v>409.40796307832034</v>
      </c>
      <c r="G39" s="719">
        <f>industrie!F22</f>
        <v>2194.1982088545737</v>
      </c>
      <c r="H39" s="719">
        <f>industrie!G22</f>
        <v>0</v>
      </c>
      <c r="I39" s="719">
        <f>industrie!H22</f>
        <v>0</v>
      </c>
      <c r="J39" s="719">
        <f>industrie!I22</f>
        <v>0</v>
      </c>
      <c r="K39" s="719">
        <f>industrie!J22</f>
        <v>19.010059404248871</v>
      </c>
      <c r="L39" s="719">
        <f>industrie!K22</f>
        <v>0</v>
      </c>
      <c r="M39" s="719">
        <f>industrie!L22</f>
        <v>0</v>
      </c>
      <c r="N39" s="719">
        <f>industrie!M22</f>
        <v>0</v>
      </c>
      <c r="O39" s="719">
        <f>industrie!N22</f>
        <v>0</v>
      </c>
      <c r="P39" s="719">
        <f>industrie!O22</f>
        <v>0</v>
      </c>
      <c r="Q39" s="829">
        <f>industrie!P22</f>
        <v>0</v>
      </c>
      <c r="R39" s="919">
        <f ca="1">SUM(C39:Q39)</f>
        <v>8942.0497005541238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11263.060642599547</v>
      </c>
      <c r="D41" s="764">
        <f t="shared" ref="D41:R41" ca="1" si="4">SUM(D35:D40)</f>
        <v>0</v>
      </c>
      <c r="E41" s="764">
        <f t="shared" ca="1" si="4"/>
        <v>20607.304932302846</v>
      </c>
      <c r="F41" s="764">
        <f t="shared" si="4"/>
        <v>1875.7378383986736</v>
      </c>
      <c r="G41" s="764">
        <f t="shared" ca="1" si="4"/>
        <v>7690.5710380432074</v>
      </c>
      <c r="H41" s="764">
        <f t="shared" si="4"/>
        <v>0</v>
      </c>
      <c r="I41" s="764">
        <f t="shared" si="4"/>
        <v>0</v>
      </c>
      <c r="J41" s="764">
        <f t="shared" si="4"/>
        <v>0</v>
      </c>
      <c r="K41" s="764">
        <f t="shared" si="4"/>
        <v>1365.0361494239312</v>
      </c>
      <c r="L41" s="764">
        <f t="shared" si="4"/>
        <v>0</v>
      </c>
      <c r="M41" s="764">
        <f t="shared" ca="1" si="4"/>
        <v>0</v>
      </c>
      <c r="N41" s="764">
        <f t="shared" si="4"/>
        <v>0</v>
      </c>
      <c r="O41" s="764">
        <f t="shared" ca="1" si="4"/>
        <v>0</v>
      </c>
      <c r="P41" s="764">
        <f t="shared" si="4"/>
        <v>0</v>
      </c>
      <c r="Q41" s="765">
        <f t="shared" si="4"/>
        <v>0</v>
      </c>
      <c r="R41" s="766">
        <f t="shared" ca="1" si="4"/>
        <v>42801.710600768209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265.60275248376564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265.60275248376564</v>
      </c>
    </row>
    <row r="45" spans="1:18" ht="15" thickBot="1">
      <c r="A45" s="889" t="s">
        <v>307</v>
      </c>
      <c r="B45" s="899"/>
      <c r="C45" s="728">
        <f ca="1">transport!B18</f>
        <v>5.4511536189224028</v>
      </c>
      <c r="D45" s="728">
        <f>transport!C18</f>
        <v>0</v>
      </c>
      <c r="E45" s="728">
        <f>transport!D18</f>
        <v>17.039043570250819</v>
      </c>
      <c r="F45" s="728">
        <f>transport!E18</f>
        <v>141.95725315239295</v>
      </c>
      <c r="G45" s="728">
        <f>transport!F18</f>
        <v>0</v>
      </c>
      <c r="H45" s="728">
        <f>transport!G18</f>
        <v>56145.18933594806</v>
      </c>
      <c r="I45" s="728">
        <f>transport!H18</f>
        <v>8177.8073152424768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64487.444101532106</v>
      </c>
    </row>
    <row r="46" spans="1:18" ht="15.75" thickBot="1">
      <c r="A46" s="887" t="s">
        <v>230</v>
      </c>
      <c r="B46" s="900"/>
      <c r="C46" s="764">
        <f t="shared" ref="C46:R46" ca="1" si="5">SUM(C43:C45)</f>
        <v>5.4511536189224028</v>
      </c>
      <c r="D46" s="764">
        <f t="shared" ca="1" si="5"/>
        <v>0</v>
      </c>
      <c r="E46" s="764">
        <f t="shared" si="5"/>
        <v>17.039043570250819</v>
      </c>
      <c r="F46" s="764">
        <f t="shared" si="5"/>
        <v>141.95725315239295</v>
      </c>
      <c r="G46" s="764">
        <f t="shared" si="5"/>
        <v>0</v>
      </c>
      <c r="H46" s="764">
        <f t="shared" si="5"/>
        <v>56410.792088431823</v>
      </c>
      <c r="I46" s="764">
        <f t="shared" si="5"/>
        <v>8177.8073152424768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64753.046854015869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738.24650697912455</v>
      </c>
      <c r="D48" s="719">
        <f ca="1">+landbouw!C12</f>
        <v>0</v>
      </c>
      <c r="E48" s="719">
        <f>+landbouw!D12</f>
        <v>357.26072351612999</v>
      </c>
      <c r="F48" s="719">
        <f>+landbouw!E12</f>
        <v>9.3197345695666058</v>
      </c>
      <c r="G48" s="719">
        <f>+landbouw!F12</f>
        <v>3002.7391669920785</v>
      </c>
      <c r="H48" s="719">
        <f>+landbouw!G12</f>
        <v>0</v>
      </c>
      <c r="I48" s="719">
        <f>+landbouw!H12</f>
        <v>0</v>
      </c>
      <c r="J48" s="719">
        <f>+landbouw!I12</f>
        <v>0</v>
      </c>
      <c r="K48" s="719">
        <f>+landbouw!J12</f>
        <v>240.5638151362684</v>
      </c>
      <c r="L48" s="719">
        <f>+landbouw!K12</f>
        <v>0</v>
      </c>
      <c r="M48" s="719">
        <f>+landbouw!L12</f>
        <v>0</v>
      </c>
      <c r="N48" s="719">
        <f>+landbouw!M12</f>
        <v>0</v>
      </c>
      <c r="O48" s="719">
        <f>+landbouw!N12</f>
        <v>0</v>
      </c>
      <c r="P48" s="719">
        <f>+landbouw!O12</f>
        <v>0</v>
      </c>
      <c r="Q48" s="720">
        <f>+landbouw!P12</f>
        <v>0</v>
      </c>
      <c r="R48" s="762">
        <f ca="1">SUM(C48:Q48)</f>
        <v>4348.1299471931679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12006.758303197594</v>
      </c>
      <c r="D53" s="774">
        <f t="shared" ref="D53:Q53" ca="1" si="6">D41+D46+D48</f>
        <v>0</v>
      </c>
      <c r="E53" s="774">
        <f t="shared" ca="1" si="6"/>
        <v>20981.604699389227</v>
      </c>
      <c r="F53" s="774">
        <f t="shared" si="6"/>
        <v>2027.0148261206332</v>
      </c>
      <c r="G53" s="774">
        <f t="shared" ca="1" si="6"/>
        <v>10693.310205035286</v>
      </c>
      <c r="H53" s="774">
        <f t="shared" si="6"/>
        <v>56410.792088431823</v>
      </c>
      <c r="I53" s="774">
        <f t="shared" si="6"/>
        <v>8177.8073152424768</v>
      </c>
      <c r="J53" s="774">
        <f t="shared" si="6"/>
        <v>0</v>
      </c>
      <c r="K53" s="774">
        <f t="shared" si="6"/>
        <v>1605.5999645601996</v>
      </c>
      <c r="L53" s="774">
        <f t="shared" si="6"/>
        <v>0</v>
      </c>
      <c r="M53" s="774">
        <f t="shared" ca="1" si="6"/>
        <v>0</v>
      </c>
      <c r="N53" s="774">
        <f t="shared" si="6"/>
        <v>0</v>
      </c>
      <c r="O53" s="774">
        <f t="shared" ca="1" si="6"/>
        <v>0</v>
      </c>
      <c r="P53" s="774">
        <f>P41+P46+P48</f>
        <v>0</v>
      </c>
      <c r="Q53" s="775">
        <f t="shared" si="6"/>
        <v>0</v>
      </c>
      <c r="R53" s="776">
        <f ca="1">R41+R46+R48</f>
        <v>111902.88740197725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0.16655133949401915</v>
      </c>
      <c r="D55" s="837">
        <f t="shared" ca="1" si="7"/>
        <v>0</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6633.3856431789754</v>
      </c>
      <c r="C66" s="796">
        <f>'lokale energieproductie'!B6</f>
        <v>6633.3856431789754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11127.825000000001</v>
      </c>
      <c r="C67" s="795">
        <f>B67*IFERROR(SUM(J67:L67)/SUM(D67:M67),0)</f>
        <v>11127.825000000001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13091.558823529411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17761.210643178976</v>
      </c>
      <c r="C69" s="804">
        <f>SUM(C64:C68)</f>
        <v>17761.210643178976</v>
      </c>
      <c r="D69" s="805">
        <f t="shared" ref="D69:M69" si="8">SUM(D67:D68)</f>
        <v>0</v>
      </c>
      <c r="E69" s="805">
        <f t="shared" si="8"/>
        <v>0</v>
      </c>
      <c r="F69" s="805">
        <f t="shared" si="8"/>
        <v>0</v>
      </c>
      <c r="G69" s="805">
        <f t="shared" si="8"/>
        <v>0</v>
      </c>
      <c r="H69" s="805">
        <f t="shared" si="8"/>
        <v>0</v>
      </c>
      <c r="I69" s="805">
        <f t="shared" si="8"/>
        <v>0</v>
      </c>
      <c r="J69" s="805">
        <f t="shared" si="8"/>
        <v>0</v>
      </c>
      <c r="K69" s="805">
        <f t="shared" si="8"/>
        <v>13091.558823529411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15896.892857142857</v>
      </c>
      <c r="C78" s="818">
        <f>B78*IFERROR(SUM(I78:L78)/SUM(D78:M78),0)</f>
        <v>15896.892857142857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18702.226890756298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15896.892857142857</v>
      </c>
      <c r="C81" s="804">
        <f>SUM(C78:C80)</f>
        <v>15896.892857142857</v>
      </c>
      <c r="D81" s="804">
        <f t="shared" ref="D81:P81" si="9">SUM(D78:D80)</f>
        <v>0</v>
      </c>
      <c r="E81" s="804">
        <f t="shared" si="9"/>
        <v>0</v>
      </c>
      <c r="F81" s="804">
        <f t="shared" si="9"/>
        <v>0</v>
      </c>
      <c r="G81" s="804">
        <f t="shared" si="9"/>
        <v>0</v>
      </c>
      <c r="H81" s="804">
        <f t="shared" si="9"/>
        <v>0</v>
      </c>
      <c r="I81" s="804">
        <f t="shared" si="9"/>
        <v>0</v>
      </c>
      <c r="J81" s="804">
        <f t="shared" si="9"/>
        <v>0</v>
      </c>
      <c r="K81" s="804">
        <f t="shared" si="9"/>
        <v>18702.226890756298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31283.711195205076</v>
      </c>
      <c r="C4" s="479">
        <f>huishoudens!C8</f>
        <v>0</v>
      </c>
      <c r="D4" s="479">
        <f>huishoudens!D8</f>
        <v>43194.91827375412</v>
      </c>
      <c r="E4" s="479">
        <f>huishoudens!E8</f>
        <v>6269.6890204602523</v>
      </c>
      <c r="F4" s="479">
        <f>huishoudens!F8</f>
        <v>17450.626890099596</v>
      </c>
      <c r="G4" s="479">
        <f>huishoudens!G8</f>
        <v>0</v>
      </c>
      <c r="H4" s="479">
        <f>huishoudens!H8</f>
        <v>0</v>
      </c>
      <c r="I4" s="479">
        <f>huishoudens!I8</f>
        <v>0</v>
      </c>
      <c r="J4" s="479">
        <f>huishoudens!J8</f>
        <v>3802.3335876262208</v>
      </c>
      <c r="K4" s="479">
        <f>huishoudens!K8</f>
        <v>0</v>
      </c>
      <c r="L4" s="479">
        <f>huishoudens!L8</f>
        <v>0</v>
      </c>
      <c r="M4" s="479">
        <f>huishoudens!M8</f>
        <v>0</v>
      </c>
      <c r="N4" s="479">
        <f>huishoudens!N8</f>
        <v>21408.95857315902</v>
      </c>
      <c r="O4" s="479">
        <f>huishoudens!O8</f>
        <v>461.18333333333334</v>
      </c>
      <c r="P4" s="480">
        <f>huishoudens!P8</f>
        <v>1029.5999999999999</v>
      </c>
      <c r="Q4" s="481">
        <f>SUM(B4:P4)</f>
        <v>124901.02087363764</v>
      </c>
    </row>
    <row r="5" spans="1:17">
      <c r="A5" s="478" t="s">
        <v>156</v>
      </c>
      <c r="B5" s="479">
        <f ca="1">tertiair!B16</f>
        <v>19126.508800000003</v>
      </c>
      <c r="C5" s="479">
        <f ca="1">tertiair!C16</f>
        <v>0</v>
      </c>
      <c r="D5" s="479">
        <f ca="1">tertiair!D16</f>
        <v>40823.731142826</v>
      </c>
      <c r="E5" s="479">
        <f>tertiair!E16</f>
        <v>189.91395451927735</v>
      </c>
      <c r="F5" s="479">
        <f ca="1">tertiair!F16</f>
        <v>3135.0391368241244</v>
      </c>
      <c r="G5" s="479">
        <f>tertiair!G16</f>
        <v>0</v>
      </c>
      <c r="H5" s="479">
        <f>tertiair!H16</f>
        <v>0</v>
      </c>
      <c r="I5" s="479">
        <f>tertiair!I16</f>
        <v>0</v>
      </c>
      <c r="J5" s="479">
        <f>tertiair!J16</f>
        <v>0</v>
      </c>
      <c r="K5" s="479">
        <f>tertiair!K16</f>
        <v>0</v>
      </c>
      <c r="L5" s="479">
        <f ca="1">tertiair!L16</f>
        <v>0</v>
      </c>
      <c r="M5" s="479">
        <f>tertiair!M16</f>
        <v>0</v>
      </c>
      <c r="N5" s="479">
        <f ca="1">tertiair!N16</f>
        <v>3814.8717568347565</v>
      </c>
      <c r="O5" s="479">
        <f>tertiair!O16</f>
        <v>4.6900000000000004</v>
      </c>
      <c r="P5" s="480">
        <f>tertiair!P16</f>
        <v>38.133333333333333</v>
      </c>
      <c r="Q5" s="478">
        <f t="shared" ref="Q5:Q13" ca="1" si="0">SUM(B5:P5)</f>
        <v>67132.888124337493</v>
      </c>
    </row>
    <row r="6" spans="1:17">
      <c r="A6" s="478" t="s">
        <v>194</v>
      </c>
      <c r="B6" s="479">
        <f>'openbare verlichting'!B8</f>
        <v>1100.413</v>
      </c>
      <c r="C6" s="479"/>
      <c r="D6" s="479"/>
      <c r="E6" s="479"/>
      <c r="F6" s="479"/>
      <c r="G6" s="479"/>
      <c r="H6" s="479"/>
      <c r="I6" s="479"/>
      <c r="J6" s="479"/>
      <c r="K6" s="479"/>
      <c r="L6" s="479"/>
      <c r="M6" s="479"/>
      <c r="N6" s="479"/>
      <c r="O6" s="479"/>
      <c r="P6" s="480"/>
      <c r="Q6" s="478">
        <f t="shared" si="0"/>
        <v>1100.413</v>
      </c>
    </row>
    <row r="7" spans="1:17">
      <c r="A7" s="478" t="s">
        <v>112</v>
      </c>
      <c r="B7" s="479">
        <f>landbouw!B8</f>
        <v>4432.5461999999998</v>
      </c>
      <c r="C7" s="479">
        <f>landbouw!C8</f>
        <v>15896.892857142857</v>
      </c>
      <c r="D7" s="479">
        <f>landbouw!D8</f>
        <v>1768.6174431491581</v>
      </c>
      <c r="E7" s="479">
        <f>landbouw!E8</f>
        <v>41.056099425403545</v>
      </c>
      <c r="F7" s="479">
        <f>landbouw!F8</f>
        <v>11246.214108584563</v>
      </c>
      <c r="G7" s="479">
        <f>landbouw!G8</f>
        <v>0</v>
      </c>
      <c r="H7" s="479">
        <f>landbouw!H8</f>
        <v>0</v>
      </c>
      <c r="I7" s="479">
        <f>landbouw!I8</f>
        <v>0</v>
      </c>
      <c r="J7" s="479">
        <f>landbouw!J8</f>
        <v>679.55879981996725</v>
      </c>
      <c r="K7" s="479">
        <f>landbouw!K8</f>
        <v>0</v>
      </c>
      <c r="L7" s="479">
        <f>landbouw!L8</f>
        <v>0</v>
      </c>
      <c r="M7" s="479">
        <f>landbouw!M8</f>
        <v>0</v>
      </c>
      <c r="N7" s="479">
        <f>landbouw!N8</f>
        <v>0</v>
      </c>
      <c r="O7" s="479">
        <f>landbouw!O8</f>
        <v>0</v>
      </c>
      <c r="P7" s="480">
        <f>landbouw!P8</f>
        <v>0</v>
      </c>
      <c r="Q7" s="478">
        <f t="shared" si="0"/>
        <v>34064.885508121952</v>
      </c>
    </row>
    <row r="8" spans="1:17">
      <c r="A8" s="478" t="s">
        <v>650</v>
      </c>
      <c r="B8" s="479">
        <f>industrie!B18</f>
        <v>16114.524970000002</v>
      </c>
      <c r="C8" s="479">
        <f>industrie!C18</f>
        <v>0</v>
      </c>
      <c r="D8" s="479">
        <f>industrie!D18</f>
        <v>17997.711634424068</v>
      </c>
      <c r="E8" s="479">
        <f>industrie!E18</f>
        <v>1803.5593087150676</v>
      </c>
      <c r="F8" s="479">
        <f>industrie!F18</f>
        <v>8217.9708196800511</v>
      </c>
      <c r="G8" s="479">
        <f>industrie!G18</f>
        <v>0</v>
      </c>
      <c r="H8" s="479">
        <f>industrie!H18</f>
        <v>0</v>
      </c>
      <c r="I8" s="479">
        <f>industrie!I18</f>
        <v>0</v>
      </c>
      <c r="J8" s="479">
        <f>industrie!J18</f>
        <v>53.700732780364049</v>
      </c>
      <c r="K8" s="479">
        <f>industrie!K18</f>
        <v>0</v>
      </c>
      <c r="L8" s="479">
        <f>industrie!L18</f>
        <v>0</v>
      </c>
      <c r="M8" s="479">
        <f>industrie!M18</f>
        <v>0</v>
      </c>
      <c r="N8" s="479">
        <f>industrie!N18</f>
        <v>3633.473983974779</v>
      </c>
      <c r="O8" s="479">
        <f>industrie!O18</f>
        <v>0</v>
      </c>
      <c r="P8" s="480">
        <f>industrie!P18</f>
        <v>0</v>
      </c>
      <c r="Q8" s="478">
        <f t="shared" si="0"/>
        <v>47820.941449574333</v>
      </c>
    </row>
    <row r="9" spans="1:17" s="484" customFormat="1">
      <c r="A9" s="482" t="s">
        <v>571</v>
      </c>
      <c r="B9" s="483">
        <f>transport!B14</f>
        <v>32.729569365715925</v>
      </c>
      <c r="C9" s="483"/>
      <c r="D9" s="483">
        <f>transport!D14</f>
        <v>84.351700842825835</v>
      </c>
      <c r="E9" s="483">
        <f>transport!E14</f>
        <v>625.36234868895576</v>
      </c>
      <c r="F9" s="483"/>
      <c r="G9" s="483">
        <f>transport!G14</f>
        <v>210281.60799980545</v>
      </c>
      <c r="H9" s="483">
        <f>transport!H14</f>
        <v>32842.599659608342</v>
      </c>
      <c r="I9" s="483"/>
      <c r="J9" s="483"/>
      <c r="K9" s="483"/>
      <c r="L9" s="483"/>
      <c r="M9" s="483">
        <f>transport!M14</f>
        <v>13174.839804477055</v>
      </c>
      <c r="N9" s="483"/>
      <c r="O9" s="483"/>
      <c r="P9" s="483"/>
      <c r="Q9" s="482">
        <f>SUM(B9:P9)</f>
        <v>257041.49108278833</v>
      </c>
    </row>
    <row r="10" spans="1:17">
      <c r="A10" s="478" t="s">
        <v>561</v>
      </c>
      <c r="B10" s="479">
        <f>transport!B54</f>
        <v>0</v>
      </c>
      <c r="C10" s="479"/>
      <c r="D10" s="479">
        <f>transport!D54</f>
        <v>0</v>
      </c>
      <c r="E10" s="479"/>
      <c r="F10" s="479"/>
      <c r="G10" s="479">
        <f>transport!G54</f>
        <v>994.76686323507715</v>
      </c>
      <c r="H10" s="479"/>
      <c r="I10" s="479"/>
      <c r="J10" s="479"/>
      <c r="K10" s="479"/>
      <c r="L10" s="479"/>
      <c r="M10" s="479">
        <f>transport!M54</f>
        <v>56.728654308238148</v>
      </c>
      <c r="N10" s="479"/>
      <c r="O10" s="479"/>
      <c r="P10" s="480"/>
      <c r="Q10" s="478">
        <f t="shared" si="0"/>
        <v>1051.4955175433154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72090.433734570805</v>
      </c>
      <c r="C14" s="489">
        <f t="shared" ref="C14:Q14" ca="1" si="1">SUM(C4:C13)</f>
        <v>15896.892857142857</v>
      </c>
      <c r="D14" s="489">
        <f t="shared" ca="1" si="1"/>
        <v>103869.33019499618</v>
      </c>
      <c r="E14" s="489">
        <f t="shared" si="1"/>
        <v>8929.5807318089574</v>
      </c>
      <c r="F14" s="489">
        <f t="shared" ca="1" si="1"/>
        <v>40049.850955188333</v>
      </c>
      <c r="G14" s="489">
        <f t="shared" si="1"/>
        <v>211276.37486304052</v>
      </c>
      <c r="H14" s="489">
        <f t="shared" si="1"/>
        <v>32842.599659608342</v>
      </c>
      <c r="I14" s="489">
        <f t="shared" si="1"/>
        <v>0</v>
      </c>
      <c r="J14" s="489">
        <f t="shared" si="1"/>
        <v>4535.5931202265519</v>
      </c>
      <c r="K14" s="489">
        <f t="shared" si="1"/>
        <v>0</v>
      </c>
      <c r="L14" s="489">
        <f t="shared" ca="1" si="1"/>
        <v>0</v>
      </c>
      <c r="M14" s="489">
        <f t="shared" si="1"/>
        <v>13231.568458785292</v>
      </c>
      <c r="N14" s="489">
        <f t="shared" ca="1" si="1"/>
        <v>28857.304313968554</v>
      </c>
      <c r="O14" s="489">
        <f t="shared" si="1"/>
        <v>465.87333333333333</v>
      </c>
      <c r="P14" s="490">
        <f t="shared" si="1"/>
        <v>1067.7333333333333</v>
      </c>
      <c r="Q14" s="490">
        <f t="shared" ca="1" si="1"/>
        <v>533113.13555600308</v>
      </c>
    </row>
    <row r="16" spans="1:17">
      <c r="A16" s="492" t="s">
        <v>566</v>
      </c>
      <c r="B16" s="842">
        <f ca="1">huishoudens!B10</f>
        <v>0.16655133949401918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5210.3440039054494</v>
      </c>
      <c r="C21" s="479">
        <f t="shared" ref="C21:C28" ca="1" si="3">C4*$C$16</f>
        <v>0</v>
      </c>
      <c r="D21" s="479">
        <f t="shared" ref="D21:D30" si="4">D4*$D$16</f>
        <v>8725.3734912983327</v>
      </c>
      <c r="E21" s="479">
        <f t="shared" ref="E21:E30" si="5">E4*$E$16</f>
        <v>1423.2194076444773</v>
      </c>
      <c r="F21" s="479">
        <f t="shared" ref="F21:F28" si="6">F4*$F$16</f>
        <v>4659.3173796565925</v>
      </c>
      <c r="G21" s="479">
        <f t="shared" ref="G21:G30" si="7">G4*$G$16</f>
        <v>0</v>
      </c>
      <c r="H21" s="479">
        <f t="shared" ref="H21:H30" si="8">H4*$H$16</f>
        <v>0</v>
      </c>
      <c r="I21" s="479">
        <f t="shared" ref="I21:I28" si="9">I4*$I$16</f>
        <v>0</v>
      </c>
      <c r="J21" s="479">
        <f t="shared" ref="J21:J28" si="10">J4*$J$16</f>
        <v>1346.0260900196822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21364.280372524532</v>
      </c>
    </row>
    <row r="22" spans="1:17">
      <c r="A22" s="478" t="s">
        <v>156</v>
      </c>
      <c r="B22" s="479">
        <f t="shared" ca="1" si="2"/>
        <v>3185.5456604841461</v>
      </c>
      <c r="C22" s="479">
        <f t="shared" ca="1" si="3"/>
        <v>0</v>
      </c>
      <c r="D22" s="479">
        <f t="shared" ca="1" si="4"/>
        <v>8246.3936908508531</v>
      </c>
      <c r="E22" s="479">
        <f t="shared" si="5"/>
        <v>43.11046767587596</v>
      </c>
      <c r="F22" s="479">
        <f t="shared" ca="1" si="6"/>
        <v>837.05544953204128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12312.105268542917</v>
      </c>
    </row>
    <row r="23" spans="1:17">
      <c r="A23" s="478" t="s">
        <v>194</v>
      </c>
      <c r="B23" s="479">
        <f t="shared" ca="1" si="2"/>
        <v>183.27525914663212</v>
      </c>
      <c r="C23" s="479"/>
      <c r="D23" s="479"/>
      <c r="E23" s="479"/>
      <c r="F23" s="479"/>
      <c r="G23" s="479"/>
      <c r="H23" s="479"/>
      <c r="I23" s="479"/>
      <c r="J23" s="479"/>
      <c r="K23" s="479"/>
      <c r="L23" s="479"/>
      <c r="M23" s="479"/>
      <c r="N23" s="479"/>
      <c r="O23" s="479"/>
      <c r="P23" s="480"/>
      <c r="Q23" s="478">
        <f t="shared" ca="1" si="17"/>
        <v>183.27525914663212</v>
      </c>
    </row>
    <row r="24" spans="1:17">
      <c r="A24" s="478" t="s">
        <v>112</v>
      </c>
      <c r="B24" s="479">
        <f t="shared" ca="1" si="2"/>
        <v>738.24650697912455</v>
      </c>
      <c r="C24" s="479">
        <f t="shared" ca="1" si="3"/>
        <v>0</v>
      </c>
      <c r="D24" s="479">
        <f t="shared" si="4"/>
        <v>357.26072351612999</v>
      </c>
      <c r="E24" s="479">
        <f t="shared" si="5"/>
        <v>9.3197345695666058</v>
      </c>
      <c r="F24" s="479">
        <f t="shared" si="6"/>
        <v>3002.7391669920785</v>
      </c>
      <c r="G24" s="479">
        <f t="shared" si="7"/>
        <v>0</v>
      </c>
      <c r="H24" s="479">
        <f t="shared" si="8"/>
        <v>0</v>
      </c>
      <c r="I24" s="479">
        <f t="shared" si="9"/>
        <v>0</v>
      </c>
      <c r="J24" s="479">
        <f t="shared" si="10"/>
        <v>240.5638151362684</v>
      </c>
      <c r="K24" s="479">
        <f t="shared" si="11"/>
        <v>0</v>
      </c>
      <c r="L24" s="479">
        <f t="shared" si="12"/>
        <v>0</v>
      </c>
      <c r="M24" s="479">
        <f t="shared" si="13"/>
        <v>0</v>
      </c>
      <c r="N24" s="479">
        <f t="shared" si="14"/>
        <v>0</v>
      </c>
      <c r="O24" s="479">
        <f t="shared" si="15"/>
        <v>0</v>
      </c>
      <c r="P24" s="480">
        <f t="shared" si="16"/>
        <v>0</v>
      </c>
      <c r="Q24" s="478">
        <f t="shared" ca="1" si="17"/>
        <v>4348.1299471931679</v>
      </c>
    </row>
    <row r="25" spans="1:17">
      <c r="A25" s="478" t="s">
        <v>650</v>
      </c>
      <c r="B25" s="479">
        <f t="shared" ca="1" si="2"/>
        <v>2683.8957190633196</v>
      </c>
      <c r="C25" s="479">
        <f t="shared" ca="1" si="3"/>
        <v>0</v>
      </c>
      <c r="D25" s="479">
        <f t="shared" si="4"/>
        <v>3635.5377501536618</v>
      </c>
      <c r="E25" s="479">
        <f t="shared" si="5"/>
        <v>409.40796307832034</v>
      </c>
      <c r="F25" s="479">
        <f t="shared" si="6"/>
        <v>2194.1982088545737</v>
      </c>
      <c r="G25" s="479">
        <f t="shared" si="7"/>
        <v>0</v>
      </c>
      <c r="H25" s="479">
        <f t="shared" si="8"/>
        <v>0</v>
      </c>
      <c r="I25" s="479">
        <f t="shared" si="9"/>
        <v>0</v>
      </c>
      <c r="J25" s="479">
        <f t="shared" si="10"/>
        <v>19.010059404248871</v>
      </c>
      <c r="K25" s="479">
        <f t="shared" si="11"/>
        <v>0</v>
      </c>
      <c r="L25" s="479">
        <f t="shared" si="12"/>
        <v>0</v>
      </c>
      <c r="M25" s="479">
        <f t="shared" si="13"/>
        <v>0</v>
      </c>
      <c r="N25" s="479">
        <f t="shared" si="14"/>
        <v>0</v>
      </c>
      <c r="O25" s="479">
        <f t="shared" si="15"/>
        <v>0</v>
      </c>
      <c r="P25" s="480">
        <f t="shared" si="16"/>
        <v>0</v>
      </c>
      <c r="Q25" s="478">
        <f t="shared" ca="1" si="17"/>
        <v>8942.0497005541238</v>
      </c>
    </row>
    <row r="26" spans="1:17" s="484" customFormat="1">
      <c r="A26" s="482" t="s">
        <v>571</v>
      </c>
      <c r="B26" s="836">
        <f t="shared" ca="1" si="2"/>
        <v>5.4511536189224028</v>
      </c>
      <c r="C26" s="483"/>
      <c r="D26" s="483">
        <f t="shared" si="4"/>
        <v>17.039043570250819</v>
      </c>
      <c r="E26" s="483">
        <f t="shared" si="5"/>
        <v>141.95725315239295</v>
      </c>
      <c r="F26" s="483"/>
      <c r="G26" s="483">
        <f t="shared" si="7"/>
        <v>56145.18933594806</v>
      </c>
      <c r="H26" s="483">
        <f t="shared" si="8"/>
        <v>8177.8073152424768</v>
      </c>
      <c r="I26" s="483"/>
      <c r="J26" s="483"/>
      <c r="K26" s="483"/>
      <c r="L26" s="483"/>
      <c r="M26" s="483">
        <f t="shared" si="13"/>
        <v>0</v>
      </c>
      <c r="N26" s="483"/>
      <c r="O26" s="483"/>
      <c r="P26" s="494"/>
      <c r="Q26" s="482">
        <f t="shared" ca="1" si="17"/>
        <v>64487.444101532106</v>
      </c>
    </row>
    <row r="27" spans="1:17">
      <c r="A27" s="478" t="s">
        <v>561</v>
      </c>
      <c r="B27" s="479">
        <f t="shared" ca="1" si="2"/>
        <v>0</v>
      </c>
      <c r="C27" s="479"/>
      <c r="D27" s="483">
        <f t="shared" si="4"/>
        <v>0</v>
      </c>
      <c r="E27" s="479"/>
      <c r="F27" s="479"/>
      <c r="G27" s="479">
        <f t="shared" si="7"/>
        <v>265.60275248376564</v>
      </c>
      <c r="H27" s="479"/>
      <c r="I27" s="479"/>
      <c r="J27" s="479"/>
      <c r="K27" s="479"/>
      <c r="L27" s="479"/>
      <c r="M27" s="479">
        <f t="shared" si="13"/>
        <v>0</v>
      </c>
      <c r="N27" s="479"/>
      <c r="O27" s="479"/>
      <c r="P27" s="480"/>
      <c r="Q27" s="478">
        <f t="shared" ca="1" si="17"/>
        <v>265.60275248376564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12006.758303197594</v>
      </c>
      <c r="C31" s="489">
        <f t="shared" ca="1" si="18"/>
        <v>0</v>
      </c>
      <c r="D31" s="489">
        <f t="shared" ca="1" si="18"/>
        <v>20981.604699389227</v>
      </c>
      <c r="E31" s="489">
        <f t="shared" si="18"/>
        <v>2027.0148261206332</v>
      </c>
      <c r="F31" s="489">
        <f t="shared" ca="1" si="18"/>
        <v>10693.310205035286</v>
      </c>
      <c r="G31" s="489">
        <f t="shared" si="18"/>
        <v>56410.792088431823</v>
      </c>
      <c r="H31" s="489">
        <f t="shared" si="18"/>
        <v>8177.8073152424768</v>
      </c>
      <c r="I31" s="489">
        <f t="shared" si="18"/>
        <v>0</v>
      </c>
      <c r="J31" s="489">
        <f t="shared" si="18"/>
        <v>1605.5999645601996</v>
      </c>
      <c r="K31" s="489">
        <f t="shared" si="18"/>
        <v>0</v>
      </c>
      <c r="L31" s="489">
        <f t="shared" ca="1" si="18"/>
        <v>0</v>
      </c>
      <c r="M31" s="489">
        <f t="shared" si="18"/>
        <v>0</v>
      </c>
      <c r="N31" s="489">
        <f t="shared" ca="1" si="18"/>
        <v>0</v>
      </c>
      <c r="O31" s="489">
        <f t="shared" si="18"/>
        <v>0</v>
      </c>
      <c r="P31" s="490">
        <f t="shared" si="18"/>
        <v>0</v>
      </c>
      <c r="Q31" s="490">
        <f t="shared" ca="1" si="18"/>
        <v>111902.88740197726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0.16655133949401918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0.16655133949401918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0.16655133949401918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2019-01-01T21:31:59Z</dcterms:modified>
</cp:coreProperties>
</file>