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N12" i="13"/>
  <c r="O37" i="14" s="1"/>
  <c r="O11"/>
  <c r="C38" i="13"/>
  <c r="C39"/>
  <c r="C32"/>
  <c r="C34"/>
  <c r="E4" i="48"/>
  <c r="E21" s="1"/>
  <c r="F11" i="14"/>
  <c r="J4" i="48"/>
  <c r="J12" i="13"/>
  <c r="K37" i="14" s="1"/>
  <c r="K11"/>
  <c r="N5" i="48"/>
  <c r="L20" i="15"/>
  <c r="J67" i="14" l="1"/>
  <c r="C67" s="1"/>
  <c r="C69" s="1"/>
  <c r="N20"/>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K13" i="14"/>
  <c r="B14" i="48"/>
  <c r="E22" i="16"/>
  <c r="F39" i="14" s="1"/>
  <c r="F41" s="1"/>
  <c r="F53"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N22" i="16"/>
  <c r="O39" i="14" s="1"/>
  <c r="O41" s="1"/>
  <c r="J69"/>
  <c r="O13"/>
  <c r="O15" s="1"/>
  <c r="N25" i="48"/>
  <c r="N31" s="1"/>
  <c r="N14"/>
  <c r="K41" i="14"/>
  <c r="K53"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<sst xmlns="http://schemas.openxmlformats.org/spreadsheetml/2006/main" count="2137" uniqueCount="871">
  <si>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</si>
  <si>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</si>
  <si>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</si>
  <si>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</si>
  <si>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</si>
  <si>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</si>
  <si>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</si>
  <si>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</si>
  <si>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</si>
  <si>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</si>
  <si>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</si>
  <si>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</si>
  <si>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</si>
  <si>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</si>
  <si>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</si>
  <si>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</si>
  <si>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</si>
  <si>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</si>
  <si>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</si>
  <si>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</si>
  <si>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</si>
  <si>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</si>
  <si>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</si>
  <si>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</si>
  <si>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</si>
  <si>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</si>
  <si>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</si>
  <si>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</si>
  <si>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</si>
  <si>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</si>
  <si>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</si>
  <si>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</si>
  <si>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</si>
  <si>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</si>
  <si>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</si>
  <si>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</si>
  <si>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</si>
  <si>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</si>
  <si>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</si>
  <si>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</si>
  <si>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</si>
  <si>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</si>
  <si>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</si>
  <si>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</si>
  <si>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</si>
  <si>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</si>
  <si>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</si>
  <si>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</si>
  <si>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</si>
  <si>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</si>
  <si>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</si>
  <si>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</si>
  <si>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</si>
  <si>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</si>
  <si>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</si>
  <si>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</si>
  <si>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</si>
  <si>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</si>
  <si>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</si>
  <si>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</si>
  <si>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</si>
  <si>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</si>
  <si>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</si>
  <si>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</si>
  <si>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</si>
  <si>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</si>
  <si>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</si>
  <si>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</si>
  <si>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</si>
  <si>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</si>
  <si>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</si>
  <si>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</si>
  <si>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</si>
  <si>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</si>
  <si>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</si>
  <si>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</si>
  <si>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</si>
  <si>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</si>
  <si>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</si>
  <si>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</si>
  <si>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</si>
  <si>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</si>
  <si>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</si>
  <si>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</si>
  <si>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</si>
  <si>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</si>
  <si>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</si>
  <si>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</si>
  <si>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</si>
  <si>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</si>
  <si>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</si>
  <si>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</si>
  <si>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</si>
  <si>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</si>
  <si>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</si>
  <si>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</si>
  <si>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</si>
  <si>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</si>
  <si>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</si>
  <si>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</si>
  <si>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</si>
  <si>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</si>
  <si>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</si>
  <si>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</si>
  <si>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</si>
  <si>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</si>
  <si>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</si>
  <si>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</si>
  <si>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</si>
  <si>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</si>
  <si>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</si>
  <si>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</si>
  <si>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</si>
  <si>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</si>
  <si>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</si>
  <si>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</si>
  <si>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</si>
  <si>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</si>
  <si>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</si>
  <si>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</si>
  <si>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</si>
  <si>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</si>
  <si>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</si>
  <si>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</si>
  <si>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</si>
  <si>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</si>
  <si>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</si>
  <si>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</si>
  <si>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</si>
  <si>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</si>
  <si>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</si>
  <si>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</si>
  <si>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</si>
  <si>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</si>
  <si>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</si>
  <si>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</si>
  <si>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</si>
  <si>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</si>
  <si>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</si>
  <si>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</si>
  <si>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</si>
  <si>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</si>
  <si>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</si>
  <si>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</si>
  <si>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</si>
  <si>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</si>
  <si>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</si>
  <si>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</si>
  <si>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</si>
  <si>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</si>
  <si>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</si>
  <si>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</si>
  <si>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</si>
  <si>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</si>
  <si>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</si>
  <si>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</si>
  <si>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</si>
  <si>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</si>
  <si>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</si>
  <si>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</si>
  <si>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</si>
  <si>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</si>
  <si>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</si>
  <si>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</si>
  <si>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</si>
  <si>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</si>
  <si>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</si>
  <si>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</si>
  <si>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</si>
  <si>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</si>
  <si>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</si>
  <si>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</si>
  <si>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</si>
  <si>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</si>
  <si>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</si>
  <si>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</si>
  <si>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</si>
  <si>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</si>
  <si>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</si>
  <si>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</si>
  <si>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</si>
  <si>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</si>
  <si>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</si>
  <si>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</si>
  <si>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</si>
  <si>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</si>
  <si>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</si>
  <si>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</si>
  <si>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</si>
  <si>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</si>
  <si>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</si>
  <si>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</si>
  <si>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</si>
  <si>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</si>
  <si>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</si>
  <si>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</si>
  <si>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</si>
  <si>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</si>
  <si>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</si>
  <si>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</si>
  <si>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</si>
  <si>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</si>
  <si>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</si>
  <si>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</si>
  <si>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</si>
  <si>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</si>
  <si>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</si>
  <si>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</si>
  <si>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</si>
  <si>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</si>
  <si>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</si>
  <si>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</si>
  <si>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</si>
  <si>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</si>
  <si>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</si>
  <si>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</si>
  <si>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</si>
  <si>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</si>
  <si>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</si>
  <si>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</si>
  <si>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</si>
  <si>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</si>
  <si>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</si>
  <si>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</si>
  <si>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</si>
  <si>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</si>
  <si>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</si>
  <si>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</si>
  <si>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</si>
  <si>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</si>
  <si>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</si>
  <si>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</si>
  <si>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</si>
  <si>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</si>
  <si>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</si>
  <si>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</si>
  <si>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</si>
  <si>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</si>
  <si>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</si>
  <si>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</si>
  <si>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</si>
  <si>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</si>
  <si>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</si>
  <si>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</si>
  <si>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</si>
  <si>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</si>
  <si>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</si>
  <si>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</si>
  <si>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</si>
  <si>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</si>
  <si>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</si>
  <si>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</si>
  <si>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</si>
  <si>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</si>
  <si>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</si>
  <si>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</si>
  <si>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</si>
  <si>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</si>
  <si>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</si>
  <si>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</si>
  <si>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</si>
  <si>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</si>
  <si>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</si>
  <si>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</si>
  <si>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</si>
  <si>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</si>
  <si>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</si>
  <si>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</si>
  <si>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</si>
  <si>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</si>
  <si>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</si>
  <si>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</si>
  <si>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</si>
  <si>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</si>
  <si>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</si>
  <si>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</si>
  <si>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</si>
  <si>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</si>
  <si>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</si>
  <si>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</si>
  <si>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</si>
  <si>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</si>
  <si>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</si>
  <si>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</si>
  <si>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</si>
  <si>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</si>
  <si>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</si>
  <si>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</si>
  <si>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</si>
  <si>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</si>
  <si>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</si>
  <si>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</si>
  <si>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</si>
  <si>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</si>
  <si>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</si>
  <si>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</si>
  <si>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</si>
  <si>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</si>
  <si>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</si>
  <si>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</si>
  <si>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</si>
  <si>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</si>
  <si>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</si>
  <si>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</si>
  <si>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</si>
  <si>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</si>
  <si>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</si>
  <si>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</si>
  <si>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</si>
  <si>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</si>
  <si>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</si>
  <si>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</si>
  <si>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</si>
  <si>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</si>
  <si>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</si>
  <si>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</si>
  <si>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</si>
  <si>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</si>
  <si>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</si>
  <si>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</si>
  <si>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</si>
  <si>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</si>
  <si>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</si>
  <si>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</si>
  <si>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</si>
  <si>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</si>
  <si>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</si>
  <si>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</si>
  <si>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</si>
  <si>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</si>
  <si>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</si>
  <si>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</si>
  <si>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</si>
  <si>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</si>
  <si>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</si>
  <si>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</si>
  <si>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</si>
  <si>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</si>
  <si>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</si>
  <si>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</si>
  <si>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</si>
  <si>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</si>
  <si>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</si>
  <si>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</si>
  <si>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</si>
  <si>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</si>
  <si>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</si>
  <si>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</si>
  <si>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</si>
  <si>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</si>
  <si>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</si>
  <si>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</si>
  <si>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</si>
  <si>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</si>
  <si>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</si>
  <si>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</si>
  <si>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</si>
  <si>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</si>
  <si>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</si>
  <si>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</si>
  <si>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</si>
  <si>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</si>
  <si>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</si>
  <si>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</si>
  <si>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</si>
  <si>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</si>
  <si>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</si>
  <si>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</si>
  <si>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</si>
  <si>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</si>
  <si>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</si>
  <si>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</si>
  <si>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</si>
  <si>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</si>
  <si>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</si>
  <si>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</si>
  <si>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</si>
  <si>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</si>
  <si>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</si>
  <si>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</si>
  <si>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</si>
  <si>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</si>
  <si>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</si>
  <si>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</si>
  <si>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</si>
  <si>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</si>
  <si>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</si>
  <si>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</si>
  <si>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</si>
  <si>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</si>
  <si>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</si>
  <si>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</si>
  <si>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</si>
  <si>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</si>
  <si>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</si>
  <si>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</si>
  <si>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</si>
  <si>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</si>
  <si>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</si>
  <si>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</si>
  <si>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</si>
  <si>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</si>
  <si>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</si>
  <si>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</si>
  <si>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</si>
  <si>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</si>
  <si>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</si>
  <si>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</si>
  <si>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</si>
  <si>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</si>
  <si>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</si>
  <si>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</si>
  <si>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</si>
  <si>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</si>
  <si>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</si>
  <si>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</si>
  <si>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</si>
  <si>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</si>
  <si>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</si>
  <si>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</si>
  <si>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</si>
  <si>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</si>
  <si>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</si>
  <si>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</si>
  <si>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</si>
  <si>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</si>
  <si>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</si>
  <si>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</si>
  <si>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</si>
  <si>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</si>
  <si>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</si>
  <si>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</si>
  <si>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</si>
  <si>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</si>
  <si>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</si>
  <si>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</si>
  <si>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</si>
  <si>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</si>
  <si>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</si>
  <si>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</si>
  <si>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</si>
  <si>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</si>
  <si>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</si>
  <si>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</si>
  <si>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</si>
  <si>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</si>
  <si>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</si>
  <si>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</si>
  <si>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</si>
  <si>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</si>
  <si>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</si>
  <si>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</si>
  <si>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</si>
  <si>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</si>
  <si>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</si>
  <si>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</si>
  <si>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</si>
  <si>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</si>
  <si>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</si>
  <si>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</si>
  <si>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</si>
  <si>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</si>
  <si>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</si>
  <si>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</si>
  <si>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</si>
  <si>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</si>
  <si>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</si>
  <si>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</si>
  <si>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</si>
  <si>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</si>
  <si>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</si>
  <si>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</si>
  <si>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</si>
  <si>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</si>
  <si>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</si>
  <si>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</si>
  <si>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</si>
  <si>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</si>
  <si>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</si>
  <si>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</si>
  <si>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</si>
  <si>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</si>
  <si>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</si>
  <si>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</si>
  <si>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</si>
  <si>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</si>
  <si>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</si>
  <si>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</si>
  <si>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</si>
  <si>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</si>
  <si>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</si>
  <si>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</si>
  <si>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</si>
  <si>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</si>
  <si>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</si>
  <si>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</si>
  <si>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</si>
  <si>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</si>
  <si>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</si>
  <si>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</si>
  <si>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</si>
  <si>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</si>
  <si>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</si>
  <si>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</si>
  <si>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</si>
  <si>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</si>
  <si>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</si>
  <si>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</si>
  <si>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</si>
  <si>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</si>
  <si>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</si>
  <si>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</si>
  <si>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</si>
  <si>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</si>
  <si>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</si>
  <si>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</si>
  <si>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</si>
  <si>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</si>
  <si>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</si>
  <si>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</si>
  <si>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</si>
  <si>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</si>
  <si>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</si>
  <si>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</si>
  <si>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</si>
  <si>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</si>
  <si>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</si>
  <si>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</si>
  <si>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</si>
  <si>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</si>
  <si>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</si>
  <si>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</si>
  <si>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</si>
  <si>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</si>
  <si>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</si>
  <si>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</si>
  <si>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</si>
  <si>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</si>
  <si>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</si>
  <si>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</si>
  <si>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</si>
  <si>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</si>
  <si>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</si>
  <si>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</si>
  <si>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</si>
  <si>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</si>
  <si>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</si>
  <si>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</si>
  <si>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</si>
  <si>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</si>
  <si>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</si>
  <si>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</si>
  <si>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</si>
  <si>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</si>
  <si>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</si>
  <si>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</si>
  <si>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</si>
  <si>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</si>
  <si>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</si>
  <si>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</si>
  <si>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</si>
  <si>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</si>
  <si>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</si>
  <si>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</si>
  <si>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</si>
  <si>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</si>
  <si>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</si>
  <si>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</si>
  <si>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</si>
  <si>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</si>
  <si>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</si>
  <si>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</si>
  <si>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</si>
  <si>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</si>
  <si>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</si>
  <si>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</si>
  <si>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</si>
  <si>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</si>
  <si>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</si>
  <si>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</si>
  <si>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</si>
  <si>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</si>
  <si>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</si>
  <si>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</si>
  <si>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</si>
  <si>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</si>
  <si>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</si>
  <si>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</si>
  <si>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</si>
  <si>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</si>
  <si>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</si>
  <si>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</si>
  <si>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</si>
  <si>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</si>
  <si>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</si>
  <si>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</si>
  <si>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</si>
  <si>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</si>
  <si>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</si>
  <si>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</si>
  <si>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</si>
  <si>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</si>
  <si>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</si>
  <si>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</si>
  <si>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</si>
  <si>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</si>
  <si>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</si>
  <si>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</si>
  <si>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</si>
  <si>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</si>
  <si>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</si>
  <si>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</si>
  <si>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</si>
  <si>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</si>
  <si>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</si>
  <si>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</si>
  <si>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</si>
  <si>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</si>
  <si>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</si>
  <si>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</si>
  <si>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</si>
  <si>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</si>
  <si>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</si>
  <si>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</si>
  <si>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</si>
  <si>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</si>
  <si>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</si>
  <si>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</si>
  <si>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</si>
  <si>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</si>
  <si>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</si>
  <si>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</si>
  <si>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</si>
  <si>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</si>
  <si>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</si>
  <si>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</si>
  <si>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</si>
  <si>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</si>
  <si>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</si>
  <si>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</si>
  <si>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</si>
  <si>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</si>
  <si>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</si>
  <si>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</si>
  <si>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</si>
  <si>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</si>
  <si>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</si>
  <si>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</si>
  <si>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</si>
  <si>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</si>
  <si>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</si>
  <si>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</si>
  <si>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</si>
  <si>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</si>
  <si>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</si>
  <si>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</si>
  <si>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</si>
  <si>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</si>
  <si>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</si>
  <si>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</si>
  <si>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</si>
  <si>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</si>
  <si>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</si>
  <si>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</si>
  <si>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</si>
  <si>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</si>
  <si>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</si>
  <si>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</si>
  <si>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</si>
  <si>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</si>
  <si>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</si>
  <si>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</si>
  <si>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</si>
  <si>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</si>
  <si>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</si>
  <si>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</si>
  <si>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</si>
  <si>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</si>
  <si>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</si>
  <si>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</si>
  <si>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</si>
  <si>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</si>
  <si>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</si>
  <si>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</si>
  <si>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</si>
  <si>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</si>
  <si>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</si>
  <si>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</si>
  <si>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</si>
  <si>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</si>
  <si>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</si>
  <si>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</si>
  <si>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</si>
  <si>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</si>
  <si>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</si>
  <si>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</si>
  <si>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</si>
  <si>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</si>
  <si>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</si>
  <si>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</si>
  <si>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</si>
  <si>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</si>
  <si>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</si>
  <si>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</si>
  <si>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</si>
  <si>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</si>
  <si>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</si>
  <si>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</si>
  <si>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</si>
  <si>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</si>
  <si>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</si>
  <si>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</si>
  <si>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</si>
  <si>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</si>
  <si>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</si>
  <si>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</si>
  <si>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</si>
  <si>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</si>
  <si>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</si>
  <si>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</si>
  <si>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</si>
  <si>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</si>
  <si>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</si>
  <si>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</si>
  <si>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</si>
  <si>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</si>
  <si>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</si>
  <si>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</si>
  <si>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</si>
  <si>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</si>
  <si>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</si>
  <si>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</si>
  <si>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</si>
  <si>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</si>
  <si>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</si>
  <si>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</si>
  <si>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</si>
  <si>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</si>
  <si>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</si>
  <si>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</si>
  <si>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</si>
  <si>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</si>
  <si>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</si>
  <si>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</si>
  <si>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</si>
  <si>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</si>
  <si>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</si>
  <si>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</si>
  <si>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</si>
  <si>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</si>
  <si>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</si>
  <si>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</si>
  <si>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</si>
  <si>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</si>
  <si>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</si>
  <si>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</si>
  <si>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</si>
  <si>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</si>
  <si>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</si>
  <si>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</si>
  <si>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</si>
  <si>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</si>
  <si>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</si>
  <si>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</si>
  <si>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</si>
  <si>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</si>
  <si>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</si>
  <si>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</si>
  <si>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</si>
  <si>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</si>
  <si>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</si>
  <si>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</si>
  <si>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</si>
  <si>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</si>
  <si>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</si>
  <si>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</si>
  <si>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</si>
  <si>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</si>
  <si>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</si>
  <si>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</si>
  <si>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</si>
  <si>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</si>
  <si>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</si>
  <si>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</si>
  <si>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</si>
  <si>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</si>
  <si>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</si>
  <si>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</si>
  <si>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</si>
  <si>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</si>
  <si>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</si>
  <si>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</si>
  <si>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</si>
  <si>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</si>
  <si>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</si>
  <si>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</si>
  <si>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</si>
  <si>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</si>
  <si>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</si>
  <si>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</si>
  <si>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</si>
  <si>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</si>
  <si>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</si>
  <si>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</si>
  <si>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</si>
  <si>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</si>
  <si>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</si>
  <si>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</si>
  <si>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</si>
  <si>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</si>
  <si>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</si>
  <si>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</si>
  <si>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</si>
  <si>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</si>
  <si>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</si>
  <si>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</si>
  <si>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</si>
  <si>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</si>
  <si>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</si>
  <si>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</si>
  <si>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</si>
  <si>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</si>
  <si>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</si>
  <si>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</si>
  <si>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</si>
  <si>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</si>
  <si>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</si>
  <si>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</si>
  <si>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</si>
  <si>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</si>
  <si>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</si>
  <si>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</si>
  <si>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</si>
  <si>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</si>
  <si>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</si>
  <si>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</si>
  <si>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</si>
  <si>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</si>
  <si>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</si>
  <si>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</si>
  <si>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</si>
  <si>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</si>
  <si>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</si>
  <si>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</si>
  <si>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</si>
  <si>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</si>
  <si>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</si>
  <si>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</si>
  <si>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</si>
  <si>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</si>
  <si>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</si>
  <si>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</si>
  <si>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</si>
  <si>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</si>
  <si>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</si>
  <si>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</si>
  <si>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</si>
  <si>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</si>
  <si>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</si>
  <si>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</si>
  <si>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</si>
  <si>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</si>
  <si>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</si>
  <si>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24107</t>
  </si>
  <si>
    <t>TIENEN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</si>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</sst>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264811.64261938934</c:v>
                </c:pt>
                <c:pt idx="1">
                  <c:v>144995.46144260227</c:v>
                </c:pt>
                <c:pt idx="2">
                  <c:v>2391.6219999999998</c:v>
                </c:pt>
                <c:pt idx="3">
                  <c:v>14571.55057514548</c:v>
                </c:pt>
                <c:pt idx="4">
                  <c:v>224729.58604555231</c:v>
                </c:pt>
                <c:pt idx="5">
                  <c:v>217763.7790019259</c:v>
                </c:pt>
                <c:pt idx="6">
                  <c:v>3573.3574662340616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85888"/>
        <c:axId val="184099968"/>
      </c:barChart>
      <c:catAx>
        <c:axId val="184085888"/>
        <c:scaling>
          <c:orientation val="minMax"/>
        </c:scaling>
        <c:axPos val="b"/>
        <c:numFmt formatCode="General" sourceLinked="0"/>
        <c:tickLblPos val="nextTo"/>
        <c:crossAx val="184099968"/>
        <c:crosses val="autoZero"/>
        <c:auto val="1"/>
        <c:lblAlgn val="ctr"/>
        <c:lblOffset val="100"/>
      </c:catAx>
      <c:valAx>
        <c:axId val="184099968"/>
        <c:scaling>
          <c:orientation val="minMax"/>
        </c:scaling>
        <c:axPos val="l"/>
        <c:majorGridlines/>
        <c:numFmt formatCode="#,##0" sourceLinked="1"/>
        <c:tickLblPos val="nextTo"/>
        <c:crossAx val="1840858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264811.64261938934</c:v>
                </c:pt>
                <c:pt idx="1">
                  <c:v>144995.46144260227</c:v>
                </c:pt>
                <c:pt idx="2">
                  <c:v>2391.6219999999998</c:v>
                </c:pt>
                <c:pt idx="3">
                  <c:v>14571.55057514548</c:v>
                </c:pt>
                <c:pt idx="4">
                  <c:v>224729.58604555231</c:v>
                </c:pt>
                <c:pt idx="5">
                  <c:v>217763.7790019259</c:v>
                </c:pt>
                <c:pt idx="6">
                  <c:v>3573.3574662340616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55924.134886601409</c:v>
                </c:pt>
                <c:pt idx="1">
                  <c:v>29665.98584554439</c:v>
                </c:pt>
                <c:pt idx="2">
                  <c:v>505.33388439190907</c:v>
                </c:pt>
                <c:pt idx="3">
                  <c:v>3343.235441765753</c:v>
                </c:pt>
                <c:pt idx="4">
                  <c:v>45017.343921683561</c:v>
                </c:pt>
                <c:pt idx="5">
                  <c:v>54582.389524148733</c:v>
                </c:pt>
                <c:pt idx="6">
                  <c:v>902.61305236718181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514816"/>
        <c:axId val="184569856"/>
      </c:barChart>
      <c:catAx>
        <c:axId val="184514816"/>
        <c:scaling>
          <c:orientation val="minMax"/>
        </c:scaling>
        <c:axPos val="b"/>
        <c:numFmt formatCode="General" sourceLinked="0"/>
        <c:tickLblPos val="nextTo"/>
        <c:crossAx val="184569856"/>
        <c:crosses val="autoZero"/>
        <c:auto val="1"/>
        <c:lblAlgn val="ctr"/>
        <c:lblOffset val="100"/>
      </c:catAx>
      <c:valAx>
        <c:axId val="184569856"/>
        <c:scaling>
          <c:orientation val="minMax"/>
        </c:scaling>
        <c:axPos val="l"/>
        <c:majorGridlines/>
        <c:numFmt formatCode="#,##0" sourceLinked="1"/>
        <c:tickLblPos val="nextTo"/>
        <c:crossAx val="1845148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55924.134886601409</c:v>
                </c:pt>
                <c:pt idx="1">
                  <c:v>29665.98584554439</c:v>
                </c:pt>
                <c:pt idx="2">
                  <c:v>505.33388439190907</c:v>
                </c:pt>
                <c:pt idx="3">
                  <c:v>3343.235441765753</c:v>
                </c:pt>
                <c:pt idx="4">
                  <c:v>45017.343921683561</c:v>
                </c:pt>
                <c:pt idx="5">
                  <c:v>54582.389524148733</c:v>
                </c:pt>
                <c:pt idx="6">
                  <c:v>902.61305236718181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24107</v>
      </c>
      <c r="B6" s="416"/>
      <c r="C6" s="417"/>
    </row>
    <row r="7" spans="1:7" s="414" customFormat="1" ht="15.75" customHeight="1">
      <c r="A7" s="418" t="str">
        <f>txtMunicipality</f>
        <v>TIENEN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60469.898599999993</v>
      </c>
      <c r="D10" s="719">
        <f ca="1">tertiair!C16</f>
        <v>0</v>
      </c>
      <c r="E10" s="719">
        <f ca="1">tertiair!D16</f>
        <v>75001.235482992299</v>
      </c>
      <c r="F10" s="719">
        <f>tertiair!E16</f>
        <v>479.01325748189504</v>
      </c>
      <c r="G10" s="719">
        <f ca="1">tertiair!F16</f>
        <v>7997.922039507499</v>
      </c>
      <c r="H10" s="719">
        <f>tertiair!G16</f>
        <v>0</v>
      </c>
      <c r="I10" s="719">
        <f>tertiair!H16</f>
        <v>0</v>
      </c>
      <c r="J10" s="719">
        <f>tertiair!I16</f>
        <v>0</v>
      </c>
      <c r="K10" s="719">
        <f>tertiair!J16</f>
        <v>0</v>
      </c>
      <c r="L10" s="719">
        <f>tertiair!K16</f>
        <v>0</v>
      </c>
      <c r="M10" s="719">
        <f ca="1">tertiair!L16</f>
        <v>0</v>
      </c>
      <c r="N10" s="719">
        <f>tertiair!M16</f>
        <v>0</v>
      </c>
      <c r="O10" s="719">
        <f ca="1">tertiair!N16</f>
        <v>3286.4807292872529</v>
      </c>
      <c r="P10" s="719">
        <f>tertiair!O16</f>
        <v>0</v>
      </c>
      <c r="Q10" s="720">
        <f>tertiair!P16</f>
        <v>152.53333333333333</v>
      </c>
      <c r="R10" s="722">
        <f ca="1">SUM(C10:Q10)</f>
        <v>147387.08344260228</v>
      </c>
      <c r="S10" s="67"/>
    </row>
    <row r="11" spans="1:19" s="475" customFormat="1">
      <c r="A11" s="871" t="s">
        <v>225</v>
      </c>
      <c r="B11" s="876"/>
      <c r="C11" s="719">
        <f>huishoudens!B8</f>
        <v>54727.930587857139</v>
      </c>
      <c r="D11" s="719">
        <f>huishoudens!C8</f>
        <v>0</v>
      </c>
      <c r="E11" s="719">
        <f>huishoudens!D8</f>
        <v>145463.2040573135</v>
      </c>
      <c r="F11" s="719">
        <f>huishoudens!E8</f>
        <v>3344.9981891234243</v>
      </c>
      <c r="G11" s="719">
        <f>huishoudens!F8</f>
        <v>51155.519453118883</v>
      </c>
      <c r="H11" s="719">
        <f>huishoudens!G8</f>
        <v>0</v>
      </c>
      <c r="I11" s="719">
        <f>huishoudens!H8</f>
        <v>0</v>
      </c>
      <c r="J11" s="719">
        <f>huishoudens!I8</f>
        <v>0</v>
      </c>
      <c r="K11" s="719">
        <f>huishoudens!J8</f>
        <v>1579.3226464793454</v>
      </c>
      <c r="L11" s="719">
        <f>huishoudens!K8</f>
        <v>0</v>
      </c>
      <c r="M11" s="719">
        <f>huishoudens!L8</f>
        <v>0</v>
      </c>
      <c r="N11" s="719">
        <f>huishoudens!M8</f>
        <v>0</v>
      </c>
      <c r="O11" s="719">
        <f>huishoudens!N8</f>
        <v>7892.9543521637352</v>
      </c>
      <c r="P11" s="719">
        <f>huishoudens!O8</f>
        <v>228.2466666666667</v>
      </c>
      <c r="Q11" s="720">
        <f>huishoudens!P8</f>
        <v>419.4666666666667</v>
      </c>
      <c r="R11" s="722">
        <f>SUM(C11:Q11)</f>
        <v>264811.64261938934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108174.39982999999</v>
      </c>
      <c r="D13" s="719">
        <f>industrie!C18</f>
        <v>0</v>
      </c>
      <c r="E13" s="719">
        <f>industrie!D18</f>
        <v>20428.561281680202</v>
      </c>
      <c r="F13" s="719">
        <f>industrie!E18</f>
        <v>7170.7543478633252</v>
      </c>
      <c r="G13" s="719">
        <f>industrie!F18</f>
        <v>60441.064144790682</v>
      </c>
      <c r="H13" s="719">
        <f>industrie!G18</f>
        <v>0</v>
      </c>
      <c r="I13" s="719">
        <f>industrie!H18</f>
        <v>0</v>
      </c>
      <c r="J13" s="719">
        <f>industrie!I18</f>
        <v>0</v>
      </c>
      <c r="K13" s="719">
        <f>industrie!J18</f>
        <v>759.08230923435292</v>
      </c>
      <c r="L13" s="719">
        <f>industrie!K18</f>
        <v>0</v>
      </c>
      <c r="M13" s="719">
        <f>industrie!L18</f>
        <v>0</v>
      </c>
      <c r="N13" s="719">
        <f>industrie!M18</f>
        <v>0</v>
      </c>
      <c r="O13" s="719">
        <f>industrie!N18</f>
        <v>27755.724131983738</v>
      </c>
      <c r="P13" s="719">
        <f>industrie!O18</f>
        <v>0</v>
      </c>
      <c r="Q13" s="720">
        <f>industrie!P18</f>
        <v>0</v>
      </c>
      <c r="R13" s="722">
        <f>SUM(C13:Q13)</f>
        <v>224729.58604555231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223372.22901785711</v>
      </c>
      <c r="D15" s="724">
        <f t="shared" ref="D15:Q15" ca="1" si="0">SUM(D9:D14)</f>
        <v>0</v>
      </c>
      <c r="E15" s="724">
        <f t="shared" ca="1" si="0"/>
        <v>240893.000821986</v>
      </c>
      <c r="F15" s="724">
        <f t="shared" si="0"/>
        <v>10994.765794468643</v>
      </c>
      <c r="G15" s="724">
        <f t="shared" ca="1" si="0"/>
        <v>119594.50563741707</v>
      </c>
      <c r="H15" s="724">
        <f t="shared" si="0"/>
        <v>0</v>
      </c>
      <c r="I15" s="724">
        <f t="shared" si="0"/>
        <v>0</v>
      </c>
      <c r="J15" s="724">
        <f t="shared" si="0"/>
        <v>0</v>
      </c>
      <c r="K15" s="724">
        <f t="shared" si="0"/>
        <v>2338.4049557136982</v>
      </c>
      <c r="L15" s="724">
        <f t="shared" si="0"/>
        <v>0</v>
      </c>
      <c r="M15" s="724">
        <f t="shared" ca="1" si="0"/>
        <v>0</v>
      </c>
      <c r="N15" s="724">
        <f t="shared" si="0"/>
        <v>0</v>
      </c>
      <c r="O15" s="724">
        <f t="shared" ca="1" si="0"/>
        <v>38935.15921343473</v>
      </c>
      <c r="P15" s="724">
        <f t="shared" si="0"/>
        <v>228.2466666666667</v>
      </c>
      <c r="Q15" s="725">
        <f t="shared" si="0"/>
        <v>572</v>
      </c>
      <c r="R15" s="726">
        <f ca="1">SUM(R9:R14)</f>
        <v>636928.31210754393</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3380.5732298396319</v>
      </c>
      <c r="I18" s="719">
        <f>transport!H54</f>
        <v>0</v>
      </c>
      <c r="J18" s="719">
        <f>transport!I54</f>
        <v>0</v>
      </c>
      <c r="K18" s="719">
        <f>transport!J54</f>
        <v>0</v>
      </c>
      <c r="L18" s="719">
        <f>transport!K54</f>
        <v>0</v>
      </c>
      <c r="M18" s="719">
        <f>transport!L54</f>
        <v>0</v>
      </c>
      <c r="N18" s="719">
        <f>transport!M54</f>
        <v>192.78423639442983</v>
      </c>
      <c r="O18" s="719">
        <f>transport!N54</f>
        <v>0</v>
      </c>
      <c r="P18" s="719">
        <f>transport!O54</f>
        <v>0</v>
      </c>
      <c r="Q18" s="720">
        <f>transport!P54</f>
        <v>0</v>
      </c>
      <c r="R18" s="722">
        <f>SUM(C18:Q18)</f>
        <v>3573.3574662340616</v>
      </c>
      <c r="S18" s="67"/>
    </row>
    <row r="19" spans="1:19" s="475" customFormat="1" ht="15" thickBot="1">
      <c r="A19" s="871" t="s">
        <v>307</v>
      </c>
      <c r="B19" s="876"/>
      <c r="C19" s="728">
        <f>transport!B14</f>
        <v>31.515390430821942</v>
      </c>
      <c r="D19" s="728">
        <f>transport!C14</f>
        <v>0</v>
      </c>
      <c r="E19" s="728">
        <f>transport!D14</f>
        <v>84.884211886220115</v>
      </c>
      <c r="F19" s="728">
        <f>transport!E14</f>
        <v>567.20314121203</v>
      </c>
      <c r="G19" s="728">
        <f>transport!F14</f>
        <v>0</v>
      </c>
      <c r="H19" s="728">
        <f>transport!G14</f>
        <v>173702.01621433126</v>
      </c>
      <c r="I19" s="728">
        <f>transport!H14</f>
        <v>32334.90151748505</v>
      </c>
      <c r="J19" s="728">
        <f>transport!I14</f>
        <v>0</v>
      </c>
      <c r="K19" s="728">
        <f>transport!J14</f>
        <v>0</v>
      </c>
      <c r="L19" s="728">
        <f>transport!K14</f>
        <v>0</v>
      </c>
      <c r="M19" s="728">
        <f>transport!L14</f>
        <v>0</v>
      </c>
      <c r="N19" s="728">
        <f>transport!M14</f>
        <v>11043.258526580523</v>
      </c>
      <c r="O19" s="728">
        <f>transport!N14</f>
        <v>0</v>
      </c>
      <c r="P19" s="728">
        <f>transport!O14</f>
        <v>0</v>
      </c>
      <c r="Q19" s="729">
        <f>transport!P14</f>
        <v>0</v>
      </c>
      <c r="R19" s="730">
        <f>SUM(C19:Q19)</f>
        <v>217763.7790019259</v>
      </c>
      <c r="S19" s="67"/>
    </row>
    <row r="20" spans="1:19" s="475" customFormat="1" ht="15.75" thickBot="1">
      <c r="A20" s="731" t="s">
        <v>230</v>
      </c>
      <c r="B20" s="879"/>
      <c r="C20" s="874">
        <f>SUM(C17:C19)</f>
        <v>31.515390430821942</v>
      </c>
      <c r="D20" s="732">
        <f t="shared" ref="D20:R20" si="1">SUM(D17:D19)</f>
        <v>0</v>
      </c>
      <c r="E20" s="732">
        <f t="shared" si="1"/>
        <v>84.884211886220115</v>
      </c>
      <c r="F20" s="732">
        <f t="shared" si="1"/>
        <v>567.20314121203</v>
      </c>
      <c r="G20" s="732">
        <f t="shared" si="1"/>
        <v>0</v>
      </c>
      <c r="H20" s="732">
        <f t="shared" si="1"/>
        <v>177082.58944417088</v>
      </c>
      <c r="I20" s="732">
        <f t="shared" si="1"/>
        <v>32334.90151748505</v>
      </c>
      <c r="J20" s="732">
        <f t="shared" si="1"/>
        <v>0</v>
      </c>
      <c r="K20" s="732">
        <f t="shared" si="1"/>
        <v>0</v>
      </c>
      <c r="L20" s="732">
        <f t="shared" si="1"/>
        <v>0</v>
      </c>
      <c r="M20" s="732">
        <f t="shared" si="1"/>
        <v>0</v>
      </c>
      <c r="N20" s="732">
        <f t="shared" si="1"/>
        <v>11236.042762974952</v>
      </c>
      <c r="O20" s="732">
        <f t="shared" si="1"/>
        <v>0</v>
      </c>
      <c r="P20" s="732">
        <f t="shared" si="1"/>
        <v>0</v>
      </c>
      <c r="Q20" s="733">
        <f t="shared" si="1"/>
        <v>0</v>
      </c>
      <c r="R20" s="734">
        <f t="shared" si="1"/>
        <v>221337.13646815997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2021.69958</v>
      </c>
      <c r="D22" s="728">
        <f>+landbouw!C8</f>
        <v>0</v>
      </c>
      <c r="E22" s="728">
        <f>+landbouw!D8</f>
        <v>7091.7390911879775</v>
      </c>
      <c r="F22" s="728">
        <f>+landbouw!E8</f>
        <v>18.72582827558043</v>
      </c>
      <c r="G22" s="728">
        <f>+landbouw!F8</f>
        <v>5129.4369678347584</v>
      </c>
      <c r="H22" s="728">
        <f>+landbouw!G8</f>
        <v>0</v>
      </c>
      <c r="I22" s="728">
        <f>+landbouw!H8</f>
        <v>0</v>
      </c>
      <c r="J22" s="728">
        <f>+landbouw!I8</f>
        <v>0</v>
      </c>
      <c r="K22" s="728">
        <f>+landbouw!J8</f>
        <v>309.94910784716285</v>
      </c>
      <c r="L22" s="728">
        <f>+landbouw!K8</f>
        <v>0</v>
      </c>
      <c r="M22" s="728">
        <f>+landbouw!L8</f>
        <v>0</v>
      </c>
      <c r="N22" s="728">
        <f>+landbouw!M8</f>
        <v>0</v>
      </c>
      <c r="O22" s="728">
        <f>+landbouw!N8</f>
        <v>0</v>
      </c>
      <c r="P22" s="728">
        <f>+landbouw!O8</f>
        <v>0</v>
      </c>
      <c r="Q22" s="729">
        <f>+landbouw!P8</f>
        <v>0</v>
      </c>
      <c r="R22" s="730">
        <f>SUM(C22:Q22)</f>
        <v>14571.55057514548</v>
      </c>
      <c r="S22" s="67"/>
    </row>
    <row r="23" spans="1:19" s="475" customFormat="1" ht="17.25" thickTop="1" thickBot="1">
      <c r="A23" s="735" t="s">
        <v>116</v>
      </c>
      <c r="B23" s="865"/>
      <c r="C23" s="736">
        <f ca="1">C20+C15+C22</f>
        <v>225425.44398828791</v>
      </c>
      <c r="D23" s="736">
        <f t="shared" ref="D23:Q23" ca="1" si="2">D20+D15+D22</f>
        <v>0</v>
      </c>
      <c r="E23" s="736">
        <f t="shared" ca="1" si="2"/>
        <v>248069.62412506019</v>
      </c>
      <c r="F23" s="736">
        <f t="shared" si="2"/>
        <v>11580.694763956255</v>
      </c>
      <c r="G23" s="736">
        <f t="shared" ca="1" si="2"/>
        <v>124723.94260525182</v>
      </c>
      <c r="H23" s="736">
        <f t="shared" si="2"/>
        <v>177082.58944417088</v>
      </c>
      <c r="I23" s="736">
        <f t="shared" si="2"/>
        <v>32334.90151748505</v>
      </c>
      <c r="J23" s="736">
        <f t="shared" si="2"/>
        <v>0</v>
      </c>
      <c r="K23" s="736">
        <f t="shared" si="2"/>
        <v>2648.3540635608611</v>
      </c>
      <c r="L23" s="736">
        <f t="shared" si="2"/>
        <v>0</v>
      </c>
      <c r="M23" s="736">
        <f t="shared" ca="1" si="2"/>
        <v>0</v>
      </c>
      <c r="N23" s="736">
        <f t="shared" si="2"/>
        <v>11236.042762974952</v>
      </c>
      <c r="O23" s="736">
        <f t="shared" ca="1" si="2"/>
        <v>38935.15921343473</v>
      </c>
      <c r="P23" s="736">
        <f t="shared" si="2"/>
        <v>228.2466666666667</v>
      </c>
      <c r="Q23" s="737">
        <f t="shared" si="2"/>
        <v>572</v>
      </c>
      <c r="R23" s="738">
        <f ca="1">R20+R15+R22</f>
        <v>872836.99915084941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12776.88896837496</v>
      </c>
      <c r="D36" s="719">
        <f ca="1">tertiair!C20</f>
        <v>0</v>
      </c>
      <c r="E36" s="719">
        <f ca="1">tertiair!D20</f>
        <v>15150.249567564446</v>
      </c>
      <c r="F36" s="719">
        <f>tertiair!E20</f>
        <v>108.73600944839018</v>
      </c>
      <c r="G36" s="719">
        <f ca="1">tertiair!F20</f>
        <v>2135.4451845485023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30171.319729936295</v>
      </c>
    </row>
    <row r="37" spans="1:18">
      <c r="A37" s="886" t="s">
        <v>225</v>
      </c>
      <c r="B37" s="893"/>
      <c r="C37" s="719">
        <f ca="1">huishoudens!B12</f>
        <v>11563.649167256624</v>
      </c>
      <c r="D37" s="719">
        <f ca="1">huishoudens!C12</f>
        <v>0</v>
      </c>
      <c r="E37" s="719">
        <f>huishoudens!D12</f>
        <v>29383.56721957733</v>
      </c>
      <c r="F37" s="719">
        <f>huishoudens!E12</f>
        <v>759.31458893101728</v>
      </c>
      <c r="G37" s="719">
        <f>huishoudens!F12</f>
        <v>13658.523693982743</v>
      </c>
      <c r="H37" s="719">
        <f>huishoudens!G12</f>
        <v>0</v>
      </c>
      <c r="I37" s="719">
        <f>huishoudens!H12</f>
        <v>0</v>
      </c>
      <c r="J37" s="719">
        <f>huishoudens!I12</f>
        <v>0</v>
      </c>
      <c r="K37" s="719">
        <f>huishoudens!J12</f>
        <v>559.08021685368828</v>
      </c>
      <c r="L37" s="719">
        <f>huishoudens!K12</f>
        <v>0</v>
      </c>
      <c r="M37" s="719">
        <f>huishoudens!L12</f>
        <v>0</v>
      </c>
      <c r="N37" s="719">
        <f>huishoudens!M12</f>
        <v>0</v>
      </c>
      <c r="O37" s="719">
        <f>huishoudens!N12</f>
        <v>0</v>
      </c>
      <c r="P37" s="719">
        <f>huishoudens!O12</f>
        <v>0</v>
      </c>
      <c r="Q37" s="829">
        <f>huishoudens!P12</f>
        <v>0</v>
      </c>
      <c r="R37" s="918">
        <f ca="1">SUM(C37:Q37)</f>
        <v>55924.134886601409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22856.534041691106</v>
      </c>
      <c r="D39" s="719">
        <f ca="1">industrie!C22</f>
        <v>0</v>
      </c>
      <c r="E39" s="719">
        <f>industrie!D22</f>
        <v>4126.5693788994013</v>
      </c>
      <c r="F39" s="719">
        <f>industrie!E22</f>
        <v>1627.7612369649748</v>
      </c>
      <c r="G39" s="719">
        <f>industrie!F22</f>
        <v>16137.764126659113</v>
      </c>
      <c r="H39" s="719">
        <f>industrie!G22</f>
        <v>0</v>
      </c>
      <c r="I39" s="719">
        <f>industrie!H22</f>
        <v>0</v>
      </c>
      <c r="J39" s="719">
        <f>industrie!I22</f>
        <v>0</v>
      </c>
      <c r="K39" s="719">
        <f>industrie!J22</f>
        <v>268.7151374689609</v>
      </c>
      <c r="L39" s="719">
        <f>industrie!K22</f>
        <v>0</v>
      </c>
      <c r="M39" s="719">
        <f>industrie!L22</f>
        <v>0</v>
      </c>
      <c r="N39" s="719">
        <f>industrie!M22</f>
        <v>0</v>
      </c>
      <c r="O39" s="719">
        <f>industrie!N22</f>
        <v>0</v>
      </c>
      <c r="P39" s="719">
        <f>industrie!O22</f>
        <v>0</v>
      </c>
      <c r="Q39" s="829">
        <f>industrie!P22</f>
        <v>0</v>
      </c>
      <c r="R39" s="919">
        <f ca="1">SUM(C39:Q39)</f>
        <v>45017.343921683561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47197.072177322691</v>
      </c>
      <c r="D41" s="764">
        <f t="shared" ref="D41:R41" ca="1" si="4">SUM(D35:D40)</f>
        <v>0</v>
      </c>
      <c r="E41" s="764">
        <f t="shared" ca="1" si="4"/>
        <v>48660.386166041179</v>
      </c>
      <c r="F41" s="764">
        <f t="shared" si="4"/>
        <v>2495.8118353443824</v>
      </c>
      <c r="G41" s="764">
        <f t="shared" ca="1" si="4"/>
        <v>31931.733005190355</v>
      </c>
      <c r="H41" s="764">
        <f t="shared" si="4"/>
        <v>0</v>
      </c>
      <c r="I41" s="764">
        <f t="shared" si="4"/>
        <v>0</v>
      </c>
      <c r="J41" s="764">
        <f t="shared" si="4"/>
        <v>0</v>
      </c>
      <c r="K41" s="764">
        <f t="shared" si="4"/>
        <v>827.79535432264925</v>
      </c>
      <c r="L41" s="764">
        <f t="shared" si="4"/>
        <v>0</v>
      </c>
      <c r="M41" s="764">
        <f t="shared" ca="1" si="4"/>
        <v>0</v>
      </c>
      <c r="N41" s="764">
        <f t="shared" si="4"/>
        <v>0</v>
      </c>
      <c r="O41" s="764">
        <f t="shared" ca="1" si="4"/>
        <v>0</v>
      </c>
      <c r="P41" s="764">
        <f t="shared" si="4"/>
        <v>0</v>
      </c>
      <c r="Q41" s="765">
        <f t="shared" si="4"/>
        <v>0</v>
      </c>
      <c r="R41" s="766">
        <f t="shared" ca="1" si="4"/>
        <v>131112.79853822125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902.61305236718181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902.61305236718181</v>
      </c>
    </row>
    <row r="45" spans="1:18" ht="15" thickBot="1">
      <c r="A45" s="889" t="s">
        <v>307</v>
      </c>
      <c r="B45" s="899"/>
      <c r="C45" s="728">
        <f ca="1">transport!B18</f>
        <v>6.6589932123616746</v>
      </c>
      <c r="D45" s="728">
        <f>transport!C18</f>
        <v>0</v>
      </c>
      <c r="E45" s="728">
        <f>transport!D18</f>
        <v>17.146610801016465</v>
      </c>
      <c r="F45" s="728">
        <f>transport!E18</f>
        <v>128.75511305513081</v>
      </c>
      <c r="G45" s="728">
        <f>transport!F18</f>
        <v>0</v>
      </c>
      <c r="H45" s="728">
        <f>transport!G18</f>
        <v>46378.438329226447</v>
      </c>
      <c r="I45" s="728">
        <f>transport!H18</f>
        <v>8051.3904778537772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54582.389524148733</v>
      </c>
    </row>
    <row r="46" spans="1:18" ht="15.75" thickBot="1">
      <c r="A46" s="887" t="s">
        <v>230</v>
      </c>
      <c r="B46" s="900"/>
      <c r="C46" s="764">
        <f t="shared" ref="C46:R46" ca="1" si="5">SUM(C43:C45)</f>
        <v>6.6589932123616746</v>
      </c>
      <c r="D46" s="764">
        <f t="shared" ca="1" si="5"/>
        <v>0</v>
      </c>
      <c r="E46" s="764">
        <f t="shared" si="5"/>
        <v>17.146610801016465</v>
      </c>
      <c r="F46" s="764">
        <f t="shared" si="5"/>
        <v>128.75511305513081</v>
      </c>
      <c r="G46" s="764">
        <f t="shared" si="5"/>
        <v>0</v>
      </c>
      <c r="H46" s="764">
        <f t="shared" si="5"/>
        <v>47281.051381593628</v>
      </c>
      <c r="I46" s="764">
        <f t="shared" si="5"/>
        <v>8051.3904778537772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55485.002576515915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427.17172773744812</v>
      </c>
      <c r="D48" s="719">
        <f ca="1">+landbouw!C12</f>
        <v>0</v>
      </c>
      <c r="E48" s="719">
        <f>+landbouw!D12</f>
        <v>1432.5312964199716</v>
      </c>
      <c r="F48" s="719">
        <f>+landbouw!E12</f>
        <v>4.250763018556758</v>
      </c>
      <c r="G48" s="719">
        <f>+landbouw!F12</f>
        <v>1369.5596704118807</v>
      </c>
      <c r="H48" s="719">
        <f>+landbouw!G12</f>
        <v>0</v>
      </c>
      <c r="I48" s="719">
        <f>+landbouw!H12</f>
        <v>0</v>
      </c>
      <c r="J48" s="719">
        <f>+landbouw!I12</f>
        <v>0</v>
      </c>
      <c r="K48" s="719">
        <f>+landbouw!J12</f>
        <v>109.72198417789565</v>
      </c>
      <c r="L48" s="719">
        <f>+landbouw!K12</f>
        <v>0</v>
      </c>
      <c r="M48" s="719">
        <f>+landbouw!L12</f>
        <v>0</v>
      </c>
      <c r="N48" s="719">
        <f>+landbouw!M12</f>
        <v>0</v>
      </c>
      <c r="O48" s="719">
        <f>+landbouw!N12</f>
        <v>0</v>
      </c>
      <c r="P48" s="719">
        <f>+landbouw!O12</f>
        <v>0</v>
      </c>
      <c r="Q48" s="720">
        <f>+landbouw!P12</f>
        <v>0</v>
      </c>
      <c r="R48" s="762">
        <f ca="1">SUM(C48:Q48)</f>
        <v>3343.235441765753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47630.902898272499</v>
      </c>
      <c r="D53" s="774">
        <f t="shared" ref="D53:Q53" ca="1" si="6">D41+D46+D48</f>
        <v>0</v>
      </c>
      <c r="E53" s="774">
        <f t="shared" ca="1" si="6"/>
        <v>50110.064073262161</v>
      </c>
      <c r="F53" s="774">
        <f t="shared" si="6"/>
        <v>2628.8177114180703</v>
      </c>
      <c r="G53" s="774">
        <f t="shared" ca="1" si="6"/>
        <v>33301.292675602235</v>
      </c>
      <c r="H53" s="774">
        <f t="shared" si="6"/>
        <v>47281.051381593628</v>
      </c>
      <c r="I53" s="774">
        <f t="shared" si="6"/>
        <v>8051.3904778537772</v>
      </c>
      <c r="J53" s="774">
        <f t="shared" si="6"/>
        <v>0</v>
      </c>
      <c r="K53" s="774">
        <f t="shared" si="6"/>
        <v>937.51733850054484</v>
      </c>
      <c r="L53" s="774">
        <f t="shared" si="6"/>
        <v>0</v>
      </c>
      <c r="M53" s="774">
        <f t="shared" ca="1" si="6"/>
        <v>0</v>
      </c>
      <c r="N53" s="774">
        <f t="shared" si="6"/>
        <v>0</v>
      </c>
      <c r="O53" s="774">
        <f t="shared" ca="1" si="6"/>
        <v>0</v>
      </c>
      <c r="P53" s="774">
        <f>P41+P46+P48</f>
        <v>0</v>
      </c>
      <c r="Q53" s="775">
        <f t="shared" si="6"/>
        <v>0</v>
      </c>
      <c r="R53" s="776">
        <f ca="1">R41+R46+R48</f>
        <v>189941.03655650292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0.21129337512027785</v>
      </c>
      <c r="D55" s="837">
        <f t="shared" ca="1" si="7"/>
        <v>0</v>
      </c>
      <c r="E55" s="837">
        <f t="shared" ca="1" si="7"/>
        <v>0.20200000000000001</v>
      </c>
      <c r="F55" s="837">
        <f t="shared" si="7"/>
        <v>0.22700000000000004</v>
      </c>
      <c r="G55" s="837">
        <f t="shared" ca="1" si="7"/>
        <v>0.26699999999999996</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9900.9964847924821</v>
      </c>
      <c r="C66" s="796">
        <f>'lokale energieproductie'!B6</f>
        <v>9900.9964847924821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9900.9964847924821</v>
      </c>
      <c r="C69" s="804">
        <f>SUM(C64:C68)</f>
        <v>9900.9964847924821</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54727.930587857139</v>
      </c>
      <c r="C4" s="479">
        <f>huishoudens!C8</f>
        <v>0</v>
      </c>
      <c r="D4" s="479">
        <f>huishoudens!D8</f>
        <v>145463.2040573135</v>
      </c>
      <c r="E4" s="479">
        <f>huishoudens!E8</f>
        <v>3344.9981891234243</v>
      </c>
      <c r="F4" s="479">
        <f>huishoudens!F8</f>
        <v>51155.519453118883</v>
      </c>
      <c r="G4" s="479">
        <f>huishoudens!G8</f>
        <v>0</v>
      </c>
      <c r="H4" s="479">
        <f>huishoudens!H8</f>
        <v>0</v>
      </c>
      <c r="I4" s="479">
        <f>huishoudens!I8</f>
        <v>0</v>
      </c>
      <c r="J4" s="479">
        <f>huishoudens!J8</f>
        <v>1579.3226464793454</v>
      </c>
      <c r="K4" s="479">
        <f>huishoudens!K8</f>
        <v>0</v>
      </c>
      <c r="L4" s="479">
        <f>huishoudens!L8</f>
        <v>0</v>
      </c>
      <c r="M4" s="479">
        <f>huishoudens!M8</f>
        <v>0</v>
      </c>
      <c r="N4" s="479">
        <f>huishoudens!N8</f>
        <v>7892.9543521637352</v>
      </c>
      <c r="O4" s="479">
        <f>huishoudens!O8</f>
        <v>228.2466666666667</v>
      </c>
      <c r="P4" s="480">
        <f>huishoudens!P8</f>
        <v>419.4666666666667</v>
      </c>
      <c r="Q4" s="481">
        <f>SUM(B4:P4)</f>
        <v>264811.64261938934</v>
      </c>
    </row>
    <row r="5" spans="1:17">
      <c r="A5" s="478" t="s">
        <v>156</v>
      </c>
      <c r="B5" s="479">
        <f ca="1">tertiair!B16</f>
        <v>58078.27659999999</v>
      </c>
      <c r="C5" s="479">
        <f ca="1">tertiair!C16</f>
        <v>0</v>
      </c>
      <c r="D5" s="479">
        <f ca="1">tertiair!D16</f>
        <v>75001.235482992299</v>
      </c>
      <c r="E5" s="479">
        <f>tertiair!E16</f>
        <v>479.01325748189504</v>
      </c>
      <c r="F5" s="479">
        <f ca="1">tertiair!F16</f>
        <v>7997.922039507499</v>
      </c>
      <c r="G5" s="479">
        <f>tertiair!G16</f>
        <v>0</v>
      </c>
      <c r="H5" s="479">
        <f>tertiair!H16</f>
        <v>0</v>
      </c>
      <c r="I5" s="479">
        <f>tertiair!I16</f>
        <v>0</v>
      </c>
      <c r="J5" s="479">
        <f>tertiair!J16</f>
        <v>0</v>
      </c>
      <c r="K5" s="479">
        <f>tertiair!K16</f>
        <v>0</v>
      </c>
      <c r="L5" s="479">
        <f ca="1">tertiair!L16</f>
        <v>0</v>
      </c>
      <c r="M5" s="479">
        <f>tertiair!M16</f>
        <v>0</v>
      </c>
      <c r="N5" s="479">
        <f ca="1">tertiair!N16</f>
        <v>3286.4807292872529</v>
      </c>
      <c r="O5" s="479">
        <f>tertiair!O16</f>
        <v>0</v>
      </c>
      <c r="P5" s="480">
        <f>tertiair!P16</f>
        <v>152.53333333333333</v>
      </c>
      <c r="Q5" s="478">
        <f t="shared" ref="Q5:Q13" ca="1" si="0">SUM(B5:P5)</f>
        <v>144995.46144260227</v>
      </c>
    </row>
    <row r="6" spans="1:17">
      <c r="A6" s="478" t="s">
        <v>194</v>
      </c>
      <c r="B6" s="479">
        <f>'openbare verlichting'!B8</f>
        <v>2391.6219999999998</v>
      </c>
      <c r="C6" s="479"/>
      <c r="D6" s="479"/>
      <c r="E6" s="479"/>
      <c r="F6" s="479"/>
      <c r="G6" s="479"/>
      <c r="H6" s="479"/>
      <c r="I6" s="479"/>
      <c r="J6" s="479"/>
      <c r="K6" s="479"/>
      <c r="L6" s="479"/>
      <c r="M6" s="479"/>
      <c r="N6" s="479"/>
      <c r="O6" s="479"/>
      <c r="P6" s="480"/>
      <c r="Q6" s="478">
        <f t="shared" si="0"/>
        <v>2391.6219999999998</v>
      </c>
    </row>
    <row r="7" spans="1:17">
      <c r="A7" s="478" t="s">
        <v>112</v>
      </c>
      <c r="B7" s="479">
        <f>landbouw!B8</f>
        <v>2021.69958</v>
      </c>
      <c r="C7" s="479">
        <f>landbouw!C8</f>
        <v>0</v>
      </c>
      <c r="D7" s="479">
        <f>landbouw!D8</f>
        <v>7091.7390911879775</v>
      </c>
      <c r="E7" s="479">
        <f>landbouw!E8</f>
        <v>18.72582827558043</v>
      </c>
      <c r="F7" s="479">
        <f>landbouw!F8</f>
        <v>5129.4369678347584</v>
      </c>
      <c r="G7" s="479">
        <f>landbouw!G8</f>
        <v>0</v>
      </c>
      <c r="H7" s="479">
        <f>landbouw!H8</f>
        <v>0</v>
      </c>
      <c r="I7" s="479">
        <f>landbouw!I8</f>
        <v>0</v>
      </c>
      <c r="J7" s="479">
        <f>landbouw!J8</f>
        <v>309.94910784716285</v>
      </c>
      <c r="K7" s="479">
        <f>landbouw!K8</f>
        <v>0</v>
      </c>
      <c r="L7" s="479">
        <f>landbouw!L8</f>
        <v>0</v>
      </c>
      <c r="M7" s="479">
        <f>landbouw!M8</f>
        <v>0</v>
      </c>
      <c r="N7" s="479">
        <f>landbouw!N8</f>
        <v>0</v>
      </c>
      <c r="O7" s="479">
        <f>landbouw!O8</f>
        <v>0</v>
      </c>
      <c r="P7" s="480">
        <f>landbouw!P8</f>
        <v>0</v>
      </c>
      <c r="Q7" s="478">
        <f t="shared" si="0"/>
        <v>14571.55057514548</v>
      </c>
    </row>
    <row r="8" spans="1:17">
      <c r="A8" s="478" t="s">
        <v>650</v>
      </c>
      <c r="B8" s="479">
        <f>industrie!B18</f>
        <v>108174.39982999999</v>
      </c>
      <c r="C8" s="479">
        <f>industrie!C18</f>
        <v>0</v>
      </c>
      <c r="D8" s="479">
        <f>industrie!D18</f>
        <v>20428.561281680202</v>
      </c>
      <c r="E8" s="479">
        <f>industrie!E18</f>
        <v>7170.7543478633252</v>
      </c>
      <c r="F8" s="479">
        <f>industrie!F18</f>
        <v>60441.064144790682</v>
      </c>
      <c r="G8" s="479">
        <f>industrie!G18</f>
        <v>0</v>
      </c>
      <c r="H8" s="479">
        <f>industrie!H18</f>
        <v>0</v>
      </c>
      <c r="I8" s="479">
        <f>industrie!I18</f>
        <v>0</v>
      </c>
      <c r="J8" s="479">
        <f>industrie!J18</f>
        <v>759.08230923435292</v>
      </c>
      <c r="K8" s="479">
        <f>industrie!K18</f>
        <v>0</v>
      </c>
      <c r="L8" s="479">
        <f>industrie!L18</f>
        <v>0</v>
      </c>
      <c r="M8" s="479">
        <f>industrie!M18</f>
        <v>0</v>
      </c>
      <c r="N8" s="479">
        <f>industrie!N18</f>
        <v>27755.724131983738</v>
      </c>
      <c r="O8" s="479">
        <f>industrie!O18</f>
        <v>0</v>
      </c>
      <c r="P8" s="480">
        <f>industrie!P18</f>
        <v>0</v>
      </c>
      <c r="Q8" s="478">
        <f t="shared" si="0"/>
        <v>224729.58604555231</v>
      </c>
    </row>
    <row r="9" spans="1:17" s="484" customFormat="1">
      <c r="A9" s="482" t="s">
        <v>571</v>
      </c>
      <c r="B9" s="483">
        <f>transport!B14</f>
        <v>31.515390430821942</v>
      </c>
      <c r="C9" s="483"/>
      <c r="D9" s="483">
        <f>transport!D14</f>
        <v>84.884211886220115</v>
      </c>
      <c r="E9" s="483">
        <f>transport!E14</f>
        <v>567.20314121203</v>
      </c>
      <c r="F9" s="483"/>
      <c r="G9" s="483">
        <f>transport!G14</f>
        <v>173702.01621433126</v>
      </c>
      <c r="H9" s="483">
        <f>transport!H14</f>
        <v>32334.90151748505</v>
      </c>
      <c r="I9" s="483"/>
      <c r="J9" s="483"/>
      <c r="K9" s="483"/>
      <c r="L9" s="483"/>
      <c r="M9" s="483">
        <f>transport!M14</f>
        <v>11043.258526580523</v>
      </c>
      <c r="N9" s="483"/>
      <c r="O9" s="483"/>
      <c r="P9" s="483"/>
      <c r="Q9" s="482">
        <f>SUM(B9:P9)</f>
        <v>217763.7790019259</v>
      </c>
    </row>
    <row r="10" spans="1:17">
      <c r="A10" s="478" t="s">
        <v>561</v>
      </c>
      <c r="B10" s="479">
        <f>transport!B54</f>
        <v>0</v>
      </c>
      <c r="C10" s="479"/>
      <c r="D10" s="479">
        <f>transport!D54</f>
        <v>0</v>
      </c>
      <c r="E10" s="479"/>
      <c r="F10" s="479"/>
      <c r="G10" s="479">
        <f>transport!G54</f>
        <v>3380.5732298396319</v>
      </c>
      <c r="H10" s="479"/>
      <c r="I10" s="479"/>
      <c r="J10" s="479"/>
      <c r="K10" s="479"/>
      <c r="L10" s="479"/>
      <c r="M10" s="479">
        <f>transport!M54</f>
        <v>192.78423639442983</v>
      </c>
      <c r="N10" s="479"/>
      <c r="O10" s="479"/>
      <c r="P10" s="480"/>
      <c r="Q10" s="478">
        <f t="shared" si="0"/>
        <v>3573.3574662340616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225425.44398828794</v>
      </c>
      <c r="C14" s="489">
        <f t="shared" ref="C14:Q14" ca="1" si="1">SUM(C4:C13)</f>
        <v>0</v>
      </c>
      <c r="D14" s="489">
        <f t="shared" ca="1" si="1"/>
        <v>248069.62412506022</v>
      </c>
      <c r="E14" s="489">
        <f t="shared" si="1"/>
        <v>11580.694763956255</v>
      </c>
      <c r="F14" s="489">
        <f t="shared" ca="1" si="1"/>
        <v>124723.94260525182</v>
      </c>
      <c r="G14" s="489">
        <f t="shared" si="1"/>
        <v>177082.58944417088</v>
      </c>
      <c r="H14" s="489">
        <f t="shared" si="1"/>
        <v>32334.90151748505</v>
      </c>
      <c r="I14" s="489">
        <f t="shared" si="1"/>
        <v>0</v>
      </c>
      <c r="J14" s="489">
        <f t="shared" si="1"/>
        <v>2648.3540635608611</v>
      </c>
      <c r="K14" s="489">
        <f t="shared" si="1"/>
        <v>0</v>
      </c>
      <c r="L14" s="489">
        <f t="shared" ca="1" si="1"/>
        <v>0</v>
      </c>
      <c r="M14" s="489">
        <f t="shared" si="1"/>
        <v>11236.042762974952</v>
      </c>
      <c r="N14" s="489">
        <f t="shared" ca="1" si="1"/>
        <v>38935.15921343473</v>
      </c>
      <c r="O14" s="489">
        <f t="shared" si="1"/>
        <v>228.2466666666667</v>
      </c>
      <c r="P14" s="490">
        <f t="shared" si="1"/>
        <v>572</v>
      </c>
      <c r="Q14" s="490">
        <f t="shared" ca="1" si="1"/>
        <v>872836.9991508493</v>
      </c>
    </row>
    <row r="16" spans="1:17">
      <c r="A16" s="492" t="s">
        <v>566</v>
      </c>
      <c r="B16" s="842">
        <f ca="1">huishoudens!B10</f>
        <v>0.21129337512027782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11563.649167256624</v>
      </c>
      <c r="C21" s="479">
        <f t="shared" ref="C21:C28" ca="1" si="3">C4*$C$16</f>
        <v>0</v>
      </c>
      <c r="D21" s="479">
        <f t="shared" ref="D21:D30" si="4">D4*$D$16</f>
        <v>29383.56721957733</v>
      </c>
      <c r="E21" s="479">
        <f t="shared" ref="E21:E30" si="5">E4*$E$16</f>
        <v>759.31458893101728</v>
      </c>
      <c r="F21" s="479">
        <f t="shared" ref="F21:F28" si="6">F4*$F$16</f>
        <v>13658.523693982743</v>
      </c>
      <c r="G21" s="479">
        <f t="shared" ref="G21:G30" si="7">G4*$G$16</f>
        <v>0</v>
      </c>
      <c r="H21" s="479">
        <f t="shared" ref="H21:H30" si="8">H4*$H$16</f>
        <v>0</v>
      </c>
      <c r="I21" s="479">
        <f t="shared" ref="I21:I28" si="9">I4*$I$16</f>
        <v>0</v>
      </c>
      <c r="J21" s="479">
        <f t="shared" ref="J21:J28" si="10">J4*$J$16</f>
        <v>559.08021685368828</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55924.134886601409</v>
      </c>
    </row>
    <row r="22" spans="1:17">
      <c r="A22" s="478" t="s">
        <v>156</v>
      </c>
      <c r="B22" s="479">
        <f t="shared" ca="1" si="2"/>
        <v>12271.555083983052</v>
      </c>
      <c r="C22" s="479">
        <f t="shared" ca="1" si="3"/>
        <v>0</v>
      </c>
      <c r="D22" s="479">
        <f t="shared" ca="1" si="4"/>
        <v>15150.249567564446</v>
      </c>
      <c r="E22" s="479">
        <f t="shared" si="5"/>
        <v>108.73600944839018</v>
      </c>
      <c r="F22" s="479">
        <f t="shared" ca="1" si="6"/>
        <v>2135.4451845485023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29665.98584554439</v>
      </c>
    </row>
    <row r="23" spans="1:17">
      <c r="A23" s="478" t="s">
        <v>194</v>
      </c>
      <c r="B23" s="479">
        <f t="shared" ca="1" si="2"/>
        <v>505.33388439190907</v>
      </c>
      <c r="C23" s="479"/>
      <c r="D23" s="479"/>
      <c r="E23" s="479"/>
      <c r="F23" s="479"/>
      <c r="G23" s="479"/>
      <c r="H23" s="479"/>
      <c r="I23" s="479"/>
      <c r="J23" s="479"/>
      <c r="K23" s="479"/>
      <c r="L23" s="479"/>
      <c r="M23" s="479"/>
      <c r="N23" s="479"/>
      <c r="O23" s="479"/>
      <c r="P23" s="480"/>
      <c r="Q23" s="478">
        <f t="shared" ca="1" si="17"/>
        <v>505.33388439190907</v>
      </c>
    </row>
    <row r="24" spans="1:17">
      <c r="A24" s="478" t="s">
        <v>112</v>
      </c>
      <c r="B24" s="479">
        <f t="shared" ca="1" si="2"/>
        <v>427.17172773744812</v>
      </c>
      <c r="C24" s="479">
        <f t="shared" ca="1" si="3"/>
        <v>0</v>
      </c>
      <c r="D24" s="479">
        <f t="shared" si="4"/>
        <v>1432.5312964199716</v>
      </c>
      <c r="E24" s="479">
        <f t="shared" si="5"/>
        <v>4.250763018556758</v>
      </c>
      <c r="F24" s="479">
        <f t="shared" si="6"/>
        <v>1369.5596704118807</v>
      </c>
      <c r="G24" s="479">
        <f t="shared" si="7"/>
        <v>0</v>
      </c>
      <c r="H24" s="479">
        <f t="shared" si="8"/>
        <v>0</v>
      </c>
      <c r="I24" s="479">
        <f t="shared" si="9"/>
        <v>0</v>
      </c>
      <c r="J24" s="479">
        <f t="shared" si="10"/>
        <v>109.72198417789565</v>
      </c>
      <c r="K24" s="479">
        <f t="shared" si="11"/>
        <v>0</v>
      </c>
      <c r="L24" s="479">
        <f t="shared" si="12"/>
        <v>0</v>
      </c>
      <c r="M24" s="479">
        <f t="shared" si="13"/>
        <v>0</v>
      </c>
      <c r="N24" s="479">
        <f t="shared" si="14"/>
        <v>0</v>
      </c>
      <c r="O24" s="479">
        <f t="shared" si="15"/>
        <v>0</v>
      </c>
      <c r="P24" s="480">
        <f t="shared" si="16"/>
        <v>0</v>
      </c>
      <c r="Q24" s="478">
        <f t="shared" ca="1" si="17"/>
        <v>3343.235441765753</v>
      </c>
    </row>
    <row r="25" spans="1:17">
      <c r="A25" s="478" t="s">
        <v>650</v>
      </c>
      <c r="B25" s="479">
        <f t="shared" ca="1" si="2"/>
        <v>22856.534041691106</v>
      </c>
      <c r="C25" s="479">
        <f t="shared" ca="1" si="3"/>
        <v>0</v>
      </c>
      <c r="D25" s="479">
        <f t="shared" si="4"/>
        <v>4126.5693788994013</v>
      </c>
      <c r="E25" s="479">
        <f t="shared" si="5"/>
        <v>1627.7612369649748</v>
      </c>
      <c r="F25" s="479">
        <f t="shared" si="6"/>
        <v>16137.764126659113</v>
      </c>
      <c r="G25" s="479">
        <f t="shared" si="7"/>
        <v>0</v>
      </c>
      <c r="H25" s="479">
        <f t="shared" si="8"/>
        <v>0</v>
      </c>
      <c r="I25" s="479">
        <f t="shared" si="9"/>
        <v>0</v>
      </c>
      <c r="J25" s="479">
        <f t="shared" si="10"/>
        <v>268.7151374689609</v>
      </c>
      <c r="K25" s="479">
        <f t="shared" si="11"/>
        <v>0</v>
      </c>
      <c r="L25" s="479">
        <f t="shared" si="12"/>
        <v>0</v>
      </c>
      <c r="M25" s="479">
        <f t="shared" si="13"/>
        <v>0</v>
      </c>
      <c r="N25" s="479">
        <f t="shared" si="14"/>
        <v>0</v>
      </c>
      <c r="O25" s="479">
        <f t="shared" si="15"/>
        <v>0</v>
      </c>
      <c r="P25" s="480">
        <f t="shared" si="16"/>
        <v>0</v>
      </c>
      <c r="Q25" s="478">
        <f t="shared" ca="1" si="17"/>
        <v>45017.343921683561</v>
      </c>
    </row>
    <row r="26" spans="1:17" s="484" customFormat="1">
      <c r="A26" s="482" t="s">
        <v>571</v>
      </c>
      <c r="B26" s="836">
        <f t="shared" ca="1" si="2"/>
        <v>6.6589932123616746</v>
      </c>
      <c r="C26" s="483"/>
      <c r="D26" s="483">
        <f t="shared" si="4"/>
        <v>17.146610801016465</v>
      </c>
      <c r="E26" s="483">
        <f t="shared" si="5"/>
        <v>128.75511305513081</v>
      </c>
      <c r="F26" s="483"/>
      <c r="G26" s="483">
        <f t="shared" si="7"/>
        <v>46378.438329226447</v>
      </c>
      <c r="H26" s="483">
        <f t="shared" si="8"/>
        <v>8051.3904778537772</v>
      </c>
      <c r="I26" s="483"/>
      <c r="J26" s="483"/>
      <c r="K26" s="483"/>
      <c r="L26" s="483"/>
      <c r="M26" s="483">
        <f t="shared" si="13"/>
        <v>0</v>
      </c>
      <c r="N26" s="483"/>
      <c r="O26" s="483"/>
      <c r="P26" s="494"/>
      <c r="Q26" s="482">
        <f t="shared" ca="1" si="17"/>
        <v>54582.389524148733</v>
      </c>
    </row>
    <row r="27" spans="1:17">
      <c r="A27" s="478" t="s">
        <v>561</v>
      </c>
      <c r="B27" s="479">
        <f t="shared" ca="1" si="2"/>
        <v>0</v>
      </c>
      <c r="C27" s="479"/>
      <c r="D27" s="483">
        <f t="shared" si="4"/>
        <v>0</v>
      </c>
      <c r="E27" s="479"/>
      <c r="F27" s="479"/>
      <c r="G27" s="479">
        <f t="shared" si="7"/>
        <v>902.61305236718181</v>
      </c>
      <c r="H27" s="479"/>
      <c r="I27" s="479"/>
      <c r="J27" s="479"/>
      <c r="K27" s="479"/>
      <c r="L27" s="479"/>
      <c r="M27" s="479">
        <f t="shared" si="13"/>
        <v>0</v>
      </c>
      <c r="N27" s="479"/>
      <c r="O27" s="479"/>
      <c r="P27" s="480"/>
      <c r="Q27" s="478">
        <f t="shared" ca="1" si="17"/>
        <v>902.61305236718181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47630.902898272499</v>
      </c>
      <c r="C31" s="489">
        <f t="shared" ca="1" si="18"/>
        <v>0</v>
      </c>
      <c r="D31" s="489">
        <f t="shared" ca="1" si="18"/>
        <v>50110.064073262161</v>
      </c>
      <c r="E31" s="489">
        <f t="shared" si="18"/>
        <v>2628.8177114180698</v>
      </c>
      <c r="F31" s="489">
        <f t="shared" ca="1" si="18"/>
        <v>33301.292675602235</v>
      </c>
      <c r="G31" s="489">
        <f t="shared" si="18"/>
        <v>47281.051381593628</v>
      </c>
      <c r="H31" s="489">
        <f t="shared" si="18"/>
        <v>8051.3904778537772</v>
      </c>
      <c r="I31" s="489">
        <f t="shared" si="18"/>
        <v>0</v>
      </c>
      <c r="J31" s="489">
        <f t="shared" si="18"/>
        <v>937.51733850054484</v>
      </c>
      <c r="K31" s="489">
        <f t="shared" si="18"/>
        <v>0</v>
      </c>
      <c r="L31" s="489">
        <f t="shared" ca="1" si="18"/>
        <v>0</v>
      </c>
      <c r="M31" s="489">
        <f t="shared" si="18"/>
        <v>0</v>
      </c>
      <c r="N31" s="489">
        <f t="shared" ca="1" si="18"/>
        <v>0</v>
      </c>
      <c r="O31" s="489">
        <f t="shared" si="18"/>
        <v>0</v>
      </c>
      <c r="P31" s="490">
        <f t="shared" si="18"/>
        <v>0</v>
      </c>
      <c r="Q31" s="490">
        <f t="shared" ca="1" si="18"/>
        <v>189941.03655650292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0.21129337512027782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0.21129337512027782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0.21129337512027782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24107</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14851</v>
      </c>
      <c r="C9" s="342">
        <v>15731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4651</v>
      </c>
    </row>
    <row r="15" spans="1:6">
      <c r="A15" s="348" t="s">
        <v>184</v>
      </c>
      <c r="B15" s="334">
        <v>21</v>
      </c>
    </row>
    <row r="16" spans="1:6">
      <c r="A16" s="348" t="s">
        <v>6</v>
      </c>
      <c r="B16" s="334">
        <v>832</v>
      </c>
    </row>
    <row r="17" spans="1:6">
      <c r="A17" s="348" t="s">
        <v>7</v>
      </c>
      <c r="B17" s="334">
        <v>800</v>
      </c>
    </row>
    <row r="18" spans="1:6">
      <c r="A18" s="348" t="s">
        <v>8</v>
      </c>
      <c r="B18" s="334">
        <v>1301</v>
      </c>
    </row>
    <row r="19" spans="1:6">
      <c r="A19" s="348" t="s">
        <v>9</v>
      </c>
      <c r="B19" s="334">
        <v>1052</v>
      </c>
    </row>
    <row r="20" spans="1:6">
      <c r="A20" s="348" t="s">
        <v>10</v>
      </c>
      <c r="B20" s="334">
        <v>672</v>
      </c>
    </row>
    <row r="21" spans="1:6">
      <c r="A21" s="348" t="s">
        <v>11</v>
      </c>
      <c r="B21" s="334">
        <v>854</v>
      </c>
    </row>
    <row r="22" spans="1:6">
      <c r="A22" s="348" t="s">
        <v>12</v>
      </c>
      <c r="B22" s="334">
        <v>8789</v>
      </c>
    </row>
    <row r="23" spans="1:6">
      <c r="A23" s="348" t="s">
        <v>13</v>
      </c>
      <c r="B23" s="334">
        <v>30</v>
      </c>
    </row>
    <row r="24" spans="1:6">
      <c r="A24" s="348" t="s">
        <v>14</v>
      </c>
      <c r="B24" s="334">
        <v>7</v>
      </c>
    </row>
    <row r="25" spans="1:6">
      <c r="A25" s="348" t="s">
        <v>15</v>
      </c>
      <c r="B25" s="334">
        <v>218</v>
      </c>
    </row>
    <row r="26" spans="1:6">
      <c r="A26" s="348" t="s">
        <v>16</v>
      </c>
      <c r="B26" s="334">
        <v>234</v>
      </c>
    </row>
    <row r="27" spans="1:6">
      <c r="A27" s="348" t="s">
        <v>17</v>
      </c>
      <c r="B27" s="334">
        <v>6</v>
      </c>
    </row>
    <row r="28" spans="1:6" s="356" customFormat="1">
      <c r="A28" s="355" t="s">
        <v>18</v>
      </c>
      <c r="B28" s="355">
        <v>23322</v>
      </c>
    </row>
    <row r="29" spans="1:6">
      <c r="A29" s="355" t="s">
        <v>865</v>
      </c>
      <c r="B29" s="355">
        <v>180</v>
      </c>
      <c r="C29" s="356"/>
      <c r="D29" s="356"/>
      <c r="E29" s="356"/>
      <c r="F29" s="356"/>
    </row>
    <row r="30" spans="1:6">
      <c r="A30" s="341" t="s">
        <v>866</v>
      </c>
      <c r="B30" s="341">
        <v>18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5532.3010000000004</v>
      </c>
    </row>
    <row r="36" spans="1:6">
      <c r="A36" s="348" t="s">
        <v>25</v>
      </c>
      <c r="B36" s="348" t="s">
        <v>27</v>
      </c>
      <c r="C36" s="334">
        <v>0</v>
      </c>
      <c r="D36" s="334">
        <v>0</v>
      </c>
      <c r="E36" s="334">
        <v>14</v>
      </c>
      <c r="F36" s="334">
        <v>90815.1</v>
      </c>
    </row>
    <row r="37" spans="1:6">
      <c r="A37" s="348" t="s">
        <v>25</v>
      </c>
      <c r="B37" s="348" t="s">
        <v>28</v>
      </c>
      <c r="C37" s="334">
        <v>0</v>
      </c>
      <c r="D37" s="334">
        <v>0</v>
      </c>
      <c r="E37" s="334">
        <v>0</v>
      </c>
      <c r="F37" s="334">
        <v>0</v>
      </c>
    </row>
    <row r="38" spans="1:6">
      <c r="A38" s="348" t="s">
        <v>25</v>
      </c>
      <c r="B38" s="348" t="s">
        <v>29</v>
      </c>
      <c r="C38" s="334">
        <v>1</v>
      </c>
      <c r="D38" s="334">
        <v>164042.66136584</v>
      </c>
      <c r="E38" s="334">
        <v>1</v>
      </c>
      <c r="F38" s="334">
        <v>10997</v>
      </c>
    </row>
    <row r="39" spans="1:6">
      <c r="A39" s="348" t="s">
        <v>30</v>
      </c>
      <c r="B39" s="348" t="s">
        <v>31</v>
      </c>
      <c r="C39" s="334">
        <v>10773</v>
      </c>
      <c r="D39" s="334">
        <v>161267410.26309699</v>
      </c>
      <c r="E39" s="334">
        <v>14988</v>
      </c>
      <c r="F39" s="334">
        <v>50334953</v>
      </c>
    </row>
    <row r="40" spans="1:6">
      <c r="A40" s="348" t="s">
        <v>30</v>
      </c>
      <c r="B40" s="348" t="s">
        <v>29</v>
      </c>
      <c r="C40" s="334">
        <v>0</v>
      </c>
      <c r="D40" s="334">
        <v>0</v>
      </c>
      <c r="E40" s="334">
        <v>0</v>
      </c>
      <c r="F40" s="334">
        <v>0</v>
      </c>
    </row>
    <row r="41" spans="1:6">
      <c r="A41" s="348" t="s">
        <v>32</v>
      </c>
      <c r="B41" s="348" t="s">
        <v>33</v>
      </c>
      <c r="C41" s="334">
        <v>82</v>
      </c>
      <c r="D41" s="334">
        <v>1832408.6034828101</v>
      </c>
      <c r="E41" s="334">
        <v>177</v>
      </c>
      <c r="F41" s="334">
        <v>10760222</v>
      </c>
    </row>
    <row r="42" spans="1:6">
      <c r="A42" s="348" t="s">
        <v>32</v>
      </c>
      <c r="B42" s="348" t="s">
        <v>34</v>
      </c>
      <c r="C42" s="334">
        <v>3</v>
      </c>
      <c r="D42" s="334">
        <v>116755.240593621</v>
      </c>
      <c r="E42" s="334">
        <v>0</v>
      </c>
      <c r="F42" s="334">
        <v>0</v>
      </c>
    </row>
    <row r="43" spans="1:6">
      <c r="A43" s="348" t="s">
        <v>32</v>
      </c>
      <c r="B43" s="348" t="s">
        <v>35</v>
      </c>
      <c r="C43" s="334">
        <v>0</v>
      </c>
      <c r="D43" s="334">
        <v>0</v>
      </c>
      <c r="E43" s="334">
        <v>0</v>
      </c>
      <c r="F43" s="334">
        <v>0</v>
      </c>
    </row>
    <row r="44" spans="1:6">
      <c r="A44" s="348" t="s">
        <v>32</v>
      </c>
      <c r="B44" s="348" t="s">
        <v>36</v>
      </c>
      <c r="C44" s="334">
        <v>15</v>
      </c>
      <c r="D44" s="334">
        <v>209960.75578567499</v>
      </c>
      <c r="E44" s="334">
        <v>32</v>
      </c>
      <c r="F44" s="334">
        <v>607965.4</v>
      </c>
    </row>
    <row r="45" spans="1:6">
      <c r="A45" s="348" t="s">
        <v>32</v>
      </c>
      <c r="B45" s="348" t="s">
        <v>37</v>
      </c>
      <c r="C45" s="334">
        <v>0</v>
      </c>
      <c r="D45" s="334">
        <v>0</v>
      </c>
      <c r="E45" s="334">
        <v>0</v>
      </c>
      <c r="F45" s="334">
        <v>0</v>
      </c>
    </row>
    <row r="46" spans="1:6">
      <c r="A46" s="348" t="s">
        <v>32</v>
      </c>
      <c r="B46" s="348" t="s">
        <v>38</v>
      </c>
      <c r="C46" s="334">
        <v>3</v>
      </c>
      <c r="D46" s="334">
        <v>2770131.6163887298</v>
      </c>
      <c r="E46" s="334">
        <v>0</v>
      </c>
      <c r="F46" s="334">
        <v>0</v>
      </c>
    </row>
    <row r="47" spans="1:6">
      <c r="A47" s="348" t="s">
        <v>32</v>
      </c>
      <c r="B47" s="348" t="s">
        <v>39</v>
      </c>
      <c r="C47" s="334">
        <v>0</v>
      </c>
      <c r="D47" s="334">
        <v>0</v>
      </c>
      <c r="E47" s="334">
        <v>3</v>
      </c>
      <c r="F47" s="334">
        <v>8868.43</v>
      </c>
    </row>
    <row r="48" spans="1:6">
      <c r="A48" s="348" t="s">
        <v>32</v>
      </c>
      <c r="B48" s="348" t="s">
        <v>29</v>
      </c>
      <c r="C48" s="334">
        <v>40</v>
      </c>
      <c r="D48" s="334">
        <v>19995841.044941999</v>
      </c>
      <c r="E48" s="334">
        <v>47</v>
      </c>
      <c r="F48" s="334">
        <v>78913743</v>
      </c>
    </row>
    <row r="49" spans="1:6">
      <c r="A49" s="348" t="s">
        <v>32</v>
      </c>
      <c r="B49" s="348" t="s">
        <v>40</v>
      </c>
      <c r="C49" s="334">
        <v>0</v>
      </c>
      <c r="D49" s="334">
        <v>0</v>
      </c>
      <c r="E49" s="334">
        <v>0</v>
      </c>
      <c r="F49" s="334">
        <v>0</v>
      </c>
    </row>
    <row r="50" spans="1:6">
      <c r="A50" s="348" t="s">
        <v>32</v>
      </c>
      <c r="B50" s="348" t="s">
        <v>41</v>
      </c>
      <c r="C50" s="334">
        <v>14</v>
      </c>
      <c r="D50" s="334">
        <v>493106.72956418898</v>
      </c>
      <c r="E50" s="334">
        <v>21</v>
      </c>
      <c r="F50" s="334">
        <v>17883601</v>
      </c>
    </row>
    <row r="51" spans="1:6">
      <c r="A51" s="348" t="s">
        <v>42</v>
      </c>
      <c r="B51" s="348" t="s">
        <v>43</v>
      </c>
      <c r="C51" s="334">
        <v>21</v>
      </c>
      <c r="D51" s="334">
        <v>442382.93937036901</v>
      </c>
      <c r="E51" s="334">
        <v>109</v>
      </c>
      <c r="F51" s="334">
        <v>1944899</v>
      </c>
    </row>
    <row r="52" spans="1:6">
      <c r="A52" s="348" t="s">
        <v>42</v>
      </c>
      <c r="B52" s="348" t="s">
        <v>29</v>
      </c>
      <c r="C52" s="334">
        <v>8</v>
      </c>
      <c r="D52" s="334">
        <v>177648.797844924</v>
      </c>
      <c r="E52" s="334">
        <v>6</v>
      </c>
      <c r="F52" s="334">
        <v>76800.58</v>
      </c>
    </row>
    <row r="53" spans="1:6">
      <c r="A53" s="348" t="s">
        <v>44</v>
      </c>
      <c r="B53" s="348" t="s">
        <v>45</v>
      </c>
      <c r="C53" s="334">
        <v>331</v>
      </c>
      <c r="D53" s="334">
        <v>7242206.7230818002</v>
      </c>
      <c r="E53" s="334">
        <v>576</v>
      </c>
      <c r="F53" s="334">
        <v>1849308</v>
      </c>
    </row>
    <row r="54" spans="1:6">
      <c r="A54" s="348" t="s">
        <v>46</v>
      </c>
      <c r="B54" s="348" t="s">
        <v>47</v>
      </c>
      <c r="C54" s="334">
        <v>0</v>
      </c>
      <c r="D54" s="334">
        <v>0</v>
      </c>
      <c r="E54" s="334">
        <v>1</v>
      </c>
      <c r="F54" s="334">
        <v>2391622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86</v>
      </c>
      <c r="D57" s="334">
        <v>3058418.5120330998</v>
      </c>
      <c r="E57" s="334">
        <v>133</v>
      </c>
      <c r="F57" s="334">
        <v>3555073</v>
      </c>
    </row>
    <row r="58" spans="1:6">
      <c r="A58" s="348" t="s">
        <v>49</v>
      </c>
      <c r="B58" s="348" t="s">
        <v>51</v>
      </c>
      <c r="C58" s="334">
        <v>115</v>
      </c>
      <c r="D58" s="334">
        <v>16075849.574755801</v>
      </c>
      <c r="E58" s="334">
        <v>122</v>
      </c>
      <c r="F58" s="334">
        <v>8227324</v>
      </c>
    </row>
    <row r="59" spans="1:6">
      <c r="A59" s="348" t="s">
        <v>49</v>
      </c>
      <c r="B59" s="348" t="s">
        <v>52</v>
      </c>
      <c r="C59" s="334">
        <v>304</v>
      </c>
      <c r="D59" s="334">
        <v>13842708.027578801</v>
      </c>
      <c r="E59" s="334">
        <v>477</v>
      </c>
      <c r="F59" s="334">
        <v>15826700</v>
      </c>
    </row>
    <row r="60" spans="1:6">
      <c r="A60" s="348" t="s">
        <v>49</v>
      </c>
      <c r="B60" s="348" t="s">
        <v>53</v>
      </c>
      <c r="C60" s="334">
        <v>127</v>
      </c>
      <c r="D60" s="334">
        <v>8577392.7829588093</v>
      </c>
      <c r="E60" s="334">
        <v>160</v>
      </c>
      <c r="F60" s="334">
        <v>4511892</v>
      </c>
    </row>
    <row r="61" spans="1:6">
      <c r="A61" s="348" t="s">
        <v>49</v>
      </c>
      <c r="B61" s="348" t="s">
        <v>54</v>
      </c>
      <c r="C61" s="334">
        <v>294</v>
      </c>
      <c r="D61" s="334">
        <v>31993587.607852399</v>
      </c>
      <c r="E61" s="334">
        <v>703</v>
      </c>
      <c r="F61" s="334">
        <v>20893903</v>
      </c>
    </row>
    <row r="62" spans="1:6">
      <c r="A62" s="348" t="s">
        <v>49</v>
      </c>
      <c r="B62" s="348" t="s">
        <v>55</v>
      </c>
      <c r="C62" s="334">
        <v>15</v>
      </c>
      <c r="D62" s="334">
        <v>2838803.4842139799</v>
      </c>
      <c r="E62" s="334">
        <v>21</v>
      </c>
      <c r="F62" s="334">
        <v>649077.6</v>
      </c>
    </row>
    <row r="63" spans="1:6">
      <c r="A63" s="348" t="s">
        <v>49</v>
      </c>
      <c r="B63" s="348" t="s">
        <v>29</v>
      </c>
      <c r="C63" s="334">
        <v>113</v>
      </c>
      <c r="D63" s="334">
        <v>6763168.4839910204</v>
      </c>
      <c r="E63" s="334">
        <v>102</v>
      </c>
      <c r="F63" s="334">
        <v>4414307</v>
      </c>
    </row>
    <row r="64" spans="1:6">
      <c r="A64" s="348" t="s">
        <v>56</v>
      </c>
      <c r="B64" s="348" t="s">
        <v>57</v>
      </c>
      <c r="C64" s="334">
        <v>0</v>
      </c>
      <c r="D64" s="334">
        <v>0</v>
      </c>
      <c r="E64" s="334">
        <v>0</v>
      </c>
      <c r="F64" s="334">
        <v>0</v>
      </c>
    </row>
    <row r="65" spans="1:6">
      <c r="A65" s="348" t="s">
        <v>56</v>
      </c>
      <c r="B65" s="348" t="s">
        <v>29</v>
      </c>
      <c r="C65" s="334">
        <v>3</v>
      </c>
      <c r="D65" s="334">
        <v>172653.56145513599</v>
      </c>
      <c r="E65" s="334">
        <v>1</v>
      </c>
      <c r="F65" s="334">
        <v>3732.797</v>
      </c>
    </row>
    <row r="66" spans="1:6">
      <c r="A66" s="348" t="s">
        <v>56</v>
      </c>
      <c r="B66" s="348" t="s">
        <v>58</v>
      </c>
      <c r="C66" s="334">
        <v>0</v>
      </c>
      <c r="D66" s="334">
        <v>0</v>
      </c>
      <c r="E66" s="334">
        <v>30</v>
      </c>
      <c r="F66" s="334">
        <v>1083221</v>
      </c>
    </row>
    <row r="67" spans="1:6">
      <c r="A67" s="355" t="s">
        <v>56</v>
      </c>
      <c r="B67" s="355" t="s">
        <v>59</v>
      </c>
      <c r="C67" s="334">
        <v>0</v>
      </c>
      <c r="D67" s="334">
        <v>0</v>
      </c>
      <c r="E67" s="334">
        <v>0</v>
      </c>
      <c r="F67" s="334">
        <v>0</v>
      </c>
    </row>
    <row r="68" spans="1:6">
      <c r="A68" s="341" t="s">
        <v>56</v>
      </c>
      <c r="B68" s="341" t="s">
        <v>60</v>
      </c>
      <c r="C68" s="334">
        <v>5</v>
      </c>
      <c r="D68" s="334">
        <v>1641440.3532664899</v>
      </c>
      <c r="E68" s="334">
        <v>15</v>
      </c>
      <c r="F68" s="334">
        <v>1097421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132659218</v>
      </c>
      <c r="E73" s="477">
        <v>136484118.7702561</v>
      </c>
    </row>
    <row r="74" spans="1:6">
      <c r="A74" s="348" t="s">
        <v>64</v>
      </c>
      <c r="B74" s="348" t="s">
        <v>714</v>
      </c>
      <c r="C74" s="1288" t="s">
        <v>716</v>
      </c>
      <c r="D74" s="477">
        <v>15397015.786364801</v>
      </c>
      <c r="E74" s="477">
        <v>15905482.628741018</v>
      </c>
    </row>
    <row r="75" spans="1:6">
      <c r="A75" s="348" t="s">
        <v>65</v>
      </c>
      <c r="B75" s="348" t="s">
        <v>713</v>
      </c>
      <c r="C75" s="1288" t="s">
        <v>717</v>
      </c>
      <c r="D75" s="477">
        <v>45942958</v>
      </c>
      <c r="E75" s="477">
        <v>47088696.46340178</v>
      </c>
    </row>
    <row r="76" spans="1:6">
      <c r="A76" s="348" t="s">
        <v>65</v>
      </c>
      <c r="B76" s="348" t="s">
        <v>714</v>
      </c>
      <c r="C76" s="1288" t="s">
        <v>718</v>
      </c>
      <c r="D76" s="477">
        <v>1618334.7863648022</v>
      </c>
      <c r="E76" s="477">
        <v>1642846.0513347099</v>
      </c>
    </row>
    <row r="77" spans="1:6">
      <c r="A77" s="348" t="s">
        <v>66</v>
      </c>
      <c r="B77" s="348" t="s">
        <v>713</v>
      </c>
      <c r="C77" s="1288" t="s">
        <v>719</v>
      </c>
      <c r="D77" s="477">
        <v>51347337</v>
      </c>
      <c r="E77" s="477">
        <v>54873613.229386866</v>
      </c>
    </row>
    <row r="78" spans="1:6">
      <c r="A78" s="341" t="s">
        <v>66</v>
      </c>
      <c r="B78" s="341" t="s">
        <v>714</v>
      </c>
      <c r="C78" s="341" t="s">
        <v>720</v>
      </c>
      <c r="D78" s="1284">
        <v>6298931</v>
      </c>
      <c r="E78" s="1284">
        <v>6577948.2967136288</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954886.42727039591</v>
      </c>
      <c r="C83" s="477">
        <v>949178.70070777857</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4392.97758785714</v>
      </c>
    </row>
    <row r="92" spans="1:6">
      <c r="A92" s="341" t="s">
        <v>69</v>
      </c>
      <c r="B92" s="342">
        <v>5508.0188969353421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7932</v>
      </c>
    </row>
    <row r="98" spans="1:6">
      <c r="A98" s="348" t="s">
        <v>72</v>
      </c>
      <c r="B98" s="334">
        <v>4</v>
      </c>
    </row>
    <row r="99" spans="1:6">
      <c r="A99" s="348" t="s">
        <v>73</v>
      </c>
      <c r="B99" s="334">
        <v>90</v>
      </c>
    </row>
    <row r="100" spans="1:6">
      <c r="A100" s="348" t="s">
        <v>74</v>
      </c>
      <c r="B100" s="334">
        <v>630</v>
      </c>
    </row>
    <row r="101" spans="1:6">
      <c r="A101" s="348" t="s">
        <v>75</v>
      </c>
      <c r="B101" s="334">
        <v>56</v>
      </c>
    </row>
    <row r="102" spans="1:6">
      <c r="A102" s="348" t="s">
        <v>76</v>
      </c>
      <c r="B102" s="334">
        <v>307</v>
      </c>
    </row>
    <row r="103" spans="1:6">
      <c r="A103" s="348" t="s">
        <v>77</v>
      </c>
      <c r="B103" s="334">
        <v>329</v>
      </c>
    </row>
    <row r="104" spans="1:6">
      <c r="A104" s="348" t="s">
        <v>78</v>
      </c>
      <c r="B104" s="334">
        <v>4635</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28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118</v>
      </c>
    </row>
    <row r="130" spans="1:6">
      <c r="A130" s="348" t="s">
        <v>295</v>
      </c>
      <c r="B130" s="334">
        <v>0</v>
      </c>
    </row>
    <row r="131" spans="1:6">
      <c r="A131" s="348" t="s">
        <v>296</v>
      </c>
      <c r="B131" s="334">
        <v>8</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225425.44398828791</v>
      </c>
      <c r="C3" s="43" t="s">
        <v>170</v>
      </c>
      <c r="D3" s="43"/>
      <c r="E3" s="154"/>
      <c r="F3" s="43"/>
      <c r="G3" s="43"/>
      <c r="H3" s="43"/>
      <c r="I3" s="43"/>
      <c r="J3" s="43"/>
      <c r="K3" s="96"/>
    </row>
    <row r="4" spans="1:11">
      <c r="A4" s="384" t="s">
        <v>171</v>
      </c>
      <c r="B4" s="49">
        <f>IF(ISERROR('SEAP template'!B69),0,'SEAP template'!B69)</f>
        <v>9900.9964847924821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0.21129337512027782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2391.6219999999998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2391.6219999999998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0.21129337512027782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505.33388439190907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50334.953000000001</v>
      </c>
      <c r="C5" s="17">
        <f>IF(ISERROR('Eigen informatie GS &amp; warmtenet'!B57),0,'Eigen informatie GS &amp; warmtenet'!B57)</f>
        <v>0</v>
      </c>
      <c r="D5" s="30">
        <f>(SUM(HH_hh_gas_kWh,HH_rest_gas_kWh)/1000)*0.902</f>
        <v>145463.2040573135</v>
      </c>
      <c r="E5" s="17">
        <f>B46*B57</f>
        <v>3344.9981891234243</v>
      </c>
      <c r="F5" s="17">
        <f>B51*B62</f>
        <v>51155.519453118883</v>
      </c>
      <c r="G5" s="18"/>
      <c r="H5" s="17"/>
      <c r="I5" s="17"/>
      <c r="J5" s="17">
        <f>B50*B61+C50*C61</f>
        <v>1579.3226464793454</v>
      </c>
      <c r="K5" s="17"/>
      <c r="L5" s="17"/>
      <c r="M5" s="17"/>
      <c r="N5" s="17">
        <f>B48*B59+C48*C59</f>
        <v>7892.9543521637352</v>
      </c>
      <c r="O5" s="17">
        <f>B69*B70*B71</f>
        <v>228.2466666666667</v>
      </c>
      <c r="P5" s="17">
        <f>B77*B78*B79/1000-B77*B78*B79/1000/B80</f>
        <v>419.4666666666667</v>
      </c>
    </row>
    <row r="6" spans="1:16">
      <c r="A6" s="16" t="s">
        <v>631</v>
      </c>
      <c r="B6" s="844">
        <f>kWh_PV_kleiner_dan_10kW</f>
        <v>4392.97758785714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54727.930587857139</v>
      </c>
      <c r="C8" s="21">
        <f>C5</f>
        <v>0</v>
      </c>
      <c r="D8" s="21">
        <f>D5</f>
        <v>145463.2040573135</v>
      </c>
      <c r="E8" s="21">
        <f>E5</f>
        <v>3344.9981891234243</v>
      </c>
      <c r="F8" s="21">
        <f>F5</f>
        <v>51155.519453118883</v>
      </c>
      <c r="G8" s="21"/>
      <c r="H8" s="21"/>
      <c r="I8" s="21"/>
      <c r="J8" s="21">
        <f>J5</f>
        <v>1579.3226464793454</v>
      </c>
      <c r="K8" s="21"/>
      <c r="L8" s="21">
        <f>L5</f>
        <v>0</v>
      </c>
      <c r="M8" s="21">
        <f>M5</f>
        <v>0</v>
      </c>
      <c r="N8" s="21">
        <f>N5</f>
        <v>7892.9543521637352</v>
      </c>
      <c r="O8" s="21">
        <f>O5</f>
        <v>228.2466666666667</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0.21129337512027782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11563.649167256624</v>
      </c>
      <c r="C12" s="23">
        <f ca="1">C10*C8</f>
        <v>0</v>
      </c>
      <c r="D12" s="23">
        <f>D8*D10</f>
        <v>29383.56721957733</v>
      </c>
      <c r="E12" s="23">
        <f>E10*E8</f>
        <v>759.31458893101728</v>
      </c>
      <c r="F12" s="23">
        <f>F10*F8</f>
        <v>13658.523693982743</v>
      </c>
      <c r="G12" s="23"/>
      <c r="H12" s="23"/>
      <c r="I12" s="23"/>
      <c r="J12" s="23">
        <f>J10*J8</f>
        <v>559.08021685368828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7932</v>
      </c>
      <c r="C18" s="166" t="s">
        <v>111</v>
      </c>
      <c r="D18" s="228"/>
      <c r="E18" s="15"/>
    </row>
    <row r="19" spans="1:7">
      <c r="A19" s="171" t="s">
        <v>72</v>
      </c>
      <c r="B19" s="37">
        <f>aantalw2001_ander</f>
        <v>4</v>
      </c>
      <c r="C19" s="166" t="s">
        <v>111</v>
      </c>
      <c r="D19" s="229"/>
      <c r="E19" s="15"/>
    </row>
    <row r="20" spans="1:7">
      <c r="A20" s="171" t="s">
        <v>73</v>
      </c>
      <c r="B20" s="37">
        <f>aantalw2001_propaan</f>
        <v>90</v>
      </c>
      <c r="C20" s="167">
        <f>IF(ISERROR(B20/SUM($B$20,$B$21,$B$22)*100),0,B20/SUM($B$20,$B$21,$B$22)*100)</f>
        <v>11.597938144329897</v>
      </c>
      <c r="D20" s="229"/>
      <c r="E20" s="15"/>
    </row>
    <row r="21" spans="1:7">
      <c r="A21" s="171" t="s">
        <v>74</v>
      </c>
      <c r="B21" s="37">
        <f>aantalw2001_elektriciteit</f>
        <v>630</v>
      </c>
      <c r="C21" s="167">
        <f>IF(ISERROR(B21/SUM($B$20,$B$21,$B$22)*100),0,B21/SUM($B$20,$B$21,$B$22)*100)</f>
        <v>81.185567010309285</v>
      </c>
      <c r="D21" s="229"/>
      <c r="E21" s="15"/>
    </row>
    <row r="22" spans="1:7">
      <c r="A22" s="171" t="s">
        <v>75</v>
      </c>
      <c r="B22" s="37">
        <f>aantalw2001_hout</f>
        <v>56</v>
      </c>
      <c r="C22" s="167">
        <f>IF(ISERROR(B22/SUM($B$20,$B$21,$B$22)*100),0,B22/SUM($B$20,$B$21,$B$22)*100)</f>
        <v>7.216494845360824</v>
      </c>
      <c r="D22" s="229"/>
      <c r="E22" s="15"/>
    </row>
    <row r="23" spans="1:7">
      <c r="A23" s="171" t="s">
        <v>76</v>
      </c>
      <c r="B23" s="37">
        <f>aantalw2001_niet_gespec</f>
        <v>307</v>
      </c>
      <c r="C23" s="166" t="s">
        <v>111</v>
      </c>
      <c r="D23" s="228"/>
      <c r="E23" s="15"/>
    </row>
    <row r="24" spans="1:7">
      <c r="A24" s="171" t="s">
        <v>77</v>
      </c>
      <c r="B24" s="37">
        <f>aantalw2001_steenkool</f>
        <v>329</v>
      </c>
      <c r="C24" s="166" t="s">
        <v>111</v>
      </c>
      <c r="D24" s="229"/>
      <c r="E24" s="15"/>
    </row>
    <row r="25" spans="1:7">
      <c r="A25" s="171" t="s">
        <v>78</v>
      </c>
      <c r="B25" s="37">
        <f>aantalw2001_stookolie</f>
        <v>4635</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14851</v>
      </c>
      <c r="C28" s="36"/>
      <c r="D28" s="228"/>
    </row>
    <row r="29" spans="1:7" s="15" customFormat="1">
      <c r="A29" s="230" t="s">
        <v>741</v>
      </c>
      <c r="B29" s="37">
        <f>SUM(HH_hh_gas_aantal,HH_rest_gas_aantal)</f>
        <v>10773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10773</v>
      </c>
      <c r="C32" s="167">
        <f>IF(ISERROR(B32/SUM($B$32,$B$34,$B$35,$B$36,$B$38,$B$39)*100),0,B32/SUM($B$32,$B$34,$B$35,$B$36,$B$38,$B$39)*100)</f>
        <v>72.648189358689052</v>
      </c>
      <c r="D32" s="233"/>
      <c r="G32" s="15"/>
    </row>
    <row r="33" spans="1:7">
      <c r="A33" s="171" t="s">
        <v>72</v>
      </c>
      <c r="B33" s="34" t="s">
        <v>111</v>
      </c>
      <c r="C33" s="167"/>
      <c r="D33" s="233"/>
      <c r="G33" s="15"/>
    </row>
    <row r="34" spans="1:7">
      <c r="A34" s="171" t="s">
        <v>73</v>
      </c>
      <c r="B34" s="33">
        <f>IF((($B$28-$B$32-$B$39-$B$77-$B$38)*C20/100)&lt;0,0,($B$28-$B$32-$B$39-$B$77-$B$38)*C20/100)</f>
        <v>224.18814432989689</v>
      </c>
      <c r="C34" s="167">
        <f>IF(ISERROR(B34/SUM($B$32,$B$34,$B$35,$B$36,$B$38,$B$39)*100),0,B34/SUM($B$32,$B$34,$B$35,$B$36,$B$38,$B$39)*100)</f>
        <v>1.5118224042747108</v>
      </c>
      <c r="D34" s="233"/>
      <c r="G34" s="15"/>
    </row>
    <row r="35" spans="1:7">
      <c r="A35" s="171" t="s">
        <v>74</v>
      </c>
      <c r="B35" s="33">
        <f>IF((($B$28-$B$32-$B$39-$B$77-$B$38)*C21/100)&lt;0,0,($B$28-$B$32-$B$39-$B$77-$B$38)*C21/100)</f>
        <v>1569.3170103092787</v>
      </c>
      <c r="C35" s="167">
        <f>IF(ISERROR(B35/SUM($B$32,$B$34,$B$35,$B$36,$B$38,$B$39)*100),0,B35/SUM($B$32,$B$34,$B$35,$B$36,$B$38,$B$39)*100)</f>
        <v>10.582756829922978</v>
      </c>
      <c r="D35" s="233"/>
      <c r="G35" s="15"/>
    </row>
    <row r="36" spans="1:7">
      <c r="A36" s="171" t="s">
        <v>75</v>
      </c>
      <c r="B36" s="33">
        <f>IF((($B$28-$B$32-$B$39-$B$77-$B$38)*C22/100)&lt;0,0,($B$28-$B$32-$B$39-$B$77-$B$38)*C22/100)</f>
        <v>139.49484536082474</v>
      </c>
      <c r="C36" s="167">
        <f>IF(ISERROR(B36/SUM($B$32,$B$34,$B$35,$B$36,$B$38,$B$39)*100),0,B36/SUM($B$32,$B$34,$B$35,$B$36,$B$38,$B$39)*100)</f>
        <v>0.94068949599315355</v>
      </c>
      <c r="D36" s="233"/>
      <c r="G36" s="15"/>
    </row>
    <row r="37" spans="1:7">
      <c r="A37" s="171" t="s">
        <v>76</v>
      </c>
      <c r="B37" s="34" t="s">
        <v>111</v>
      </c>
      <c r="C37" s="167"/>
      <c r="D37" s="173"/>
      <c r="G37" s="15"/>
    </row>
    <row r="38" spans="1:7">
      <c r="A38" s="171" t="s">
        <v>77</v>
      </c>
      <c r="B38" s="33">
        <f>IF((B24-(B29-B18)*0.1)&lt;0,0,B24-(B29-B18)*0.1)</f>
        <v>44.899999999999977</v>
      </c>
      <c r="C38" s="167">
        <f>IF(ISERROR(B38/SUM($B$32,$B$34,$B$35,$B$36,$B$38,$B$39)*100),0,B38/SUM($B$32,$B$34,$B$35,$B$36,$B$38,$B$39)*100)</f>
        <v>0.30278508328275661</v>
      </c>
      <c r="D38" s="234"/>
      <c r="G38" s="15"/>
    </row>
    <row r="39" spans="1:7">
      <c r="A39" s="171" t="s">
        <v>78</v>
      </c>
      <c r="B39" s="33">
        <f>IF((B25-(B29-B18))&lt;0,0,B25-(B29-B18)*0.9)</f>
        <v>2078.1</v>
      </c>
      <c r="C39" s="167">
        <f>IF(ISERROR(B39/SUM($B$32,$B$34,$B$35,$B$36,$B$38,$B$39)*100),0,B39/SUM($B$32,$B$34,$B$35,$B$36,$B$38,$B$39)*100)</f>
        <v>14.013756827837346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10773</v>
      </c>
      <c r="C44" s="34" t="s">
        <v>111</v>
      </c>
      <c r="D44" s="174"/>
    </row>
    <row r="45" spans="1:7">
      <c r="A45" s="171" t="s">
        <v>72</v>
      </c>
      <c r="B45" s="33" t="str">
        <f t="shared" si="0"/>
        <v>-</v>
      </c>
      <c r="C45" s="34" t="s">
        <v>111</v>
      </c>
      <c r="D45" s="174"/>
    </row>
    <row r="46" spans="1:7">
      <c r="A46" s="171" t="s">
        <v>73</v>
      </c>
      <c r="B46" s="33">
        <f t="shared" si="0"/>
        <v>224.18814432989689</v>
      </c>
      <c r="C46" s="34" t="s">
        <v>111</v>
      </c>
      <c r="D46" s="174"/>
    </row>
    <row r="47" spans="1:7">
      <c r="A47" s="171" t="s">
        <v>74</v>
      </c>
      <c r="B47" s="33">
        <f t="shared" si="0"/>
        <v>1569.3170103092787</v>
      </c>
      <c r="C47" s="34" t="s">
        <v>111</v>
      </c>
      <c r="D47" s="174"/>
    </row>
    <row r="48" spans="1:7">
      <c r="A48" s="171" t="s">
        <v>75</v>
      </c>
      <c r="B48" s="33">
        <f t="shared" si="0"/>
        <v>139.49484536082474</v>
      </c>
      <c r="C48" s="33">
        <f>B48*10</f>
        <v>1394.9484536082473</v>
      </c>
      <c r="D48" s="234"/>
    </row>
    <row r="49" spans="1:6">
      <c r="A49" s="171" t="s">
        <v>76</v>
      </c>
      <c r="B49" s="33" t="str">
        <f t="shared" si="0"/>
        <v>-</v>
      </c>
      <c r="C49" s="34" t="s">
        <v>111</v>
      </c>
      <c r="D49" s="234"/>
    </row>
    <row r="50" spans="1:6">
      <c r="A50" s="171" t="s">
        <v>77</v>
      </c>
      <c r="B50" s="33">
        <f t="shared" si="0"/>
        <v>44.899999999999977</v>
      </c>
      <c r="C50" s="33">
        <f>B50*2</f>
        <v>89.799999999999955</v>
      </c>
      <c r="D50" s="234"/>
    </row>
    <row r="51" spans="1:6">
      <c r="A51" s="171" t="s">
        <v>78</v>
      </c>
      <c r="B51" s="33">
        <f t="shared" si="0"/>
        <v>2078.1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58078.27659999999</v>
      </c>
      <c r="C5" s="17">
        <f>IF(ISERROR('Eigen informatie GS &amp; warmtenet'!B58),0,'Eigen informatie GS &amp; warmtenet'!B58)</f>
        <v>0</v>
      </c>
      <c r="D5" s="30">
        <f>SUM(D6:D12)</f>
        <v>75001.235482992299</v>
      </c>
      <c r="E5" s="17">
        <f>SUM(E6:E12)</f>
        <v>479.01325748189504</v>
      </c>
      <c r="F5" s="17">
        <f>SUM(F6:F12)</f>
        <v>7997.922039507499</v>
      </c>
      <c r="G5" s="18"/>
      <c r="H5" s="17"/>
      <c r="I5" s="17"/>
      <c r="J5" s="17">
        <f>SUM(J6:J12)</f>
        <v>0</v>
      </c>
      <c r="K5" s="17"/>
      <c r="L5" s="17"/>
      <c r="M5" s="17"/>
      <c r="N5" s="17">
        <f>SUM(N6:N12)</f>
        <v>3286.4807292872529</v>
      </c>
      <c r="O5" s="17">
        <f>B38*B39*B40</f>
        <v>0</v>
      </c>
      <c r="P5" s="17">
        <f>B46*B47*B48/1000-B46*B47*B48/1000/B49</f>
        <v>152.53333333333333</v>
      </c>
      <c r="R5" s="32"/>
    </row>
    <row r="6" spans="1:18">
      <c r="A6" s="32" t="s">
        <v>54</v>
      </c>
      <c r="B6" s="37">
        <f>B26</f>
        <v>20893.902999999998</v>
      </c>
      <c r="C6" s="33"/>
      <c r="D6" s="37">
        <f>IF(ISERROR(TER_kantoor_gas_kWh/1000),0,TER_kantoor_gas_kWh/1000)*0.902</f>
        <v>28858.216022282864</v>
      </c>
      <c r="E6" s="33">
        <f>$C$26*'E Balans VL '!I12/100/3.6*1000000</f>
        <v>60.532702561245252</v>
      </c>
      <c r="F6" s="33">
        <f>$C$26*('E Balans VL '!L12+'E Balans VL '!N12)/100/3.6*1000000</f>
        <v>2364.7294912265716</v>
      </c>
      <c r="G6" s="34"/>
      <c r="H6" s="33"/>
      <c r="I6" s="33"/>
      <c r="J6" s="33">
        <f>$C$26*('E Balans VL '!D12+'E Balans VL '!E12)/100/3.6*1000000</f>
        <v>0</v>
      </c>
      <c r="K6" s="33"/>
      <c r="L6" s="33"/>
      <c r="M6" s="33"/>
      <c r="N6" s="33">
        <f>$C$26*'E Balans VL '!Y12/100/3.6*1000000</f>
        <v>209.13257371488771</v>
      </c>
      <c r="O6" s="33"/>
      <c r="P6" s="33"/>
      <c r="R6" s="32"/>
    </row>
    <row r="7" spans="1:18">
      <c r="A7" s="32" t="s">
        <v>53</v>
      </c>
      <c r="B7" s="37">
        <f t="shared" ref="B7:B12" si="0">B27</f>
        <v>4511.8919999999998</v>
      </c>
      <c r="C7" s="33"/>
      <c r="D7" s="37">
        <f>IF(ISERROR(TER_horeca_gas_kWh/1000),0,TER_horeca_gas_kWh/1000)*0.902</f>
        <v>7736.808290228847</v>
      </c>
      <c r="E7" s="33">
        <f>$C$27*'E Balans VL '!I9/100/3.6*1000000</f>
        <v>189.39662018289442</v>
      </c>
      <c r="F7" s="33">
        <f>$C$27*('E Balans VL '!L9+'E Balans VL '!N9)/100/3.6*1000000</f>
        <v>969.47252125974285</v>
      </c>
      <c r="G7" s="34"/>
      <c r="H7" s="33"/>
      <c r="I7" s="33"/>
      <c r="J7" s="33">
        <f>$C$27*('E Balans VL '!D9+'E Balans VL '!E9)/100/3.6*1000000</f>
        <v>0</v>
      </c>
      <c r="K7" s="33"/>
      <c r="L7" s="33"/>
      <c r="M7" s="33"/>
      <c r="N7" s="33">
        <f>$C$27*'E Balans VL '!Y9/100/3.6*1000000</f>
        <v>1.1626751104730326</v>
      </c>
      <c r="O7" s="33"/>
      <c r="P7" s="33"/>
      <c r="R7" s="32"/>
    </row>
    <row r="8" spans="1:18">
      <c r="A8" s="6" t="s">
        <v>52</v>
      </c>
      <c r="B8" s="37">
        <f t="shared" si="0"/>
        <v>15826.7</v>
      </c>
      <c r="C8" s="33"/>
      <c r="D8" s="37">
        <f>IF(ISERROR(TER_handel_gas_kWh/1000),0,TER_handel_gas_kWh/1000)*0.902</f>
        <v>12486.122640876079</v>
      </c>
      <c r="E8" s="33">
        <f>$C$28*'E Balans VL '!I13/100/3.6*1000000</f>
        <v>169.99193018796959</v>
      </c>
      <c r="F8" s="33">
        <f>$C$28*('E Balans VL '!L13+'E Balans VL '!N13)/100/3.6*1000000</f>
        <v>2048.8970091943661</v>
      </c>
      <c r="G8" s="34"/>
      <c r="H8" s="33"/>
      <c r="I8" s="33"/>
      <c r="J8" s="33">
        <f>$C$28*('E Balans VL '!D13+'E Balans VL '!E13)/100/3.6*1000000</f>
        <v>0</v>
      </c>
      <c r="K8" s="33"/>
      <c r="L8" s="33"/>
      <c r="M8" s="33"/>
      <c r="N8" s="33">
        <f>$C$28*'E Balans VL '!Y13/100/3.6*1000000</f>
        <v>128.38705457539396</v>
      </c>
      <c r="O8" s="33"/>
      <c r="P8" s="33"/>
      <c r="R8" s="32"/>
    </row>
    <row r="9" spans="1:18">
      <c r="A9" s="32" t="s">
        <v>51</v>
      </c>
      <c r="B9" s="37">
        <f t="shared" si="0"/>
        <v>8227.3240000000005</v>
      </c>
      <c r="C9" s="33"/>
      <c r="D9" s="37">
        <f>IF(ISERROR(TER_gezond_gas_kWh/1000),0,TER_gezond_gas_kWh/1000)*0.902</f>
        <v>14500.416316429733</v>
      </c>
      <c r="E9" s="33">
        <f>$C$29*'E Balans VL '!I10/100/3.6*1000000</f>
        <v>6.5494820330601602</v>
      </c>
      <c r="F9" s="33">
        <f>$C$29*('E Balans VL '!L10+'E Balans VL '!N10)/100/3.6*1000000</f>
        <v>1000.1501277407696</v>
      </c>
      <c r="G9" s="34"/>
      <c r="H9" s="33"/>
      <c r="I9" s="33"/>
      <c r="J9" s="33">
        <f>$C$29*('E Balans VL '!D10+'E Balans VL '!E10)/100/3.6*1000000</f>
        <v>0</v>
      </c>
      <c r="K9" s="33"/>
      <c r="L9" s="33"/>
      <c r="M9" s="33"/>
      <c r="N9" s="33">
        <f>$C$29*'E Balans VL '!Y10/100/3.6*1000000</f>
        <v>66.458143585719654</v>
      </c>
      <c r="O9" s="33"/>
      <c r="P9" s="33"/>
      <c r="R9" s="32"/>
    </row>
    <row r="10" spans="1:18">
      <c r="A10" s="32" t="s">
        <v>50</v>
      </c>
      <c r="B10" s="37">
        <f t="shared" si="0"/>
        <v>3555.0729999999999</v>
      </c>
      <c r="C10" s="33"/>
      <c r="D10" s="37">
        <f>IF(ISERROR(TER_ander_gas_kWh/1000),0,TER_ander_gas_kWh/1000)*0.902</f>
        <v>2758.6934978538561</v>
      </c>
      <c r="E10" s="33">
        <f>$C$30*'E Balans VL '!I14/100/3.6*1000000</f>
        <v>12.183421930595465</v>
      </c>
      <c r="F10" s="33">
        <f>$C$30*('E Balans VL '!L14+'E Balans VL '!N14)/100/3.6*1000000</f>
        <v>794.05884705029825</v>
      </c>
      <c r="G10" s="34"/>
      <c r="H10" s="33"/>
      <c r="I10" s="33"/>
      <c r="J10" s="33">
        <f>$C$30*('E Balans VL '!D14+'E Balans VL '!E14)/100/3.6*1000000</f>
        <v>0</v>
      </c>
      <c r="K10" s="33"/>
      <c r="L10" s="33"/>
      <c r="M10" s="33"/>
      <c r="N10" s="33">
        <f>$C$30*'E Balans VL '!Y14/100/3.6*1000000</f>
        <v>2504.2128421841717</v>
      </c>
      <c r="O10" s="33"/>
      <c r="P10" s="33"/>
      <c r="R10" s="32"/>
    </row>
    <row r="11" spans="1:18">
      <c r="A11" s="32" t="s">
        <v>55</v>
      </c>
      <c r="B11" s="37">
        <f t="shared" si="0"/>
        <v>649.07759999999996</v>
      </c>
      <c r="C11" s="33"/>
      <c r="D11" s="37">
        <f>IF(ISERROR(TER_onderwijs_gas_kWh/1000),0,TER_onderwijs_gas_kWh/1000)*0.902</f>
        <v>2560.6007427610102</v>
      </c>
      <c r="E11" s="33">
        <f>$C$31*'E Balans VL '!I11/100/3.6*1000000</f>
        <v>0.44868735486315919</v>
      </c>
      <c r="F11" s="33">
        <f>$C$31*('E Balans VL '!L11+'E Balans VL '!N11)/100/3.6*1000000</f>
        <v>169.90966125502345</v>
      </c>
      <c r="G11" s="34"/>
      <c r="H11" s="33"/>
      <c r="I11" s="33"/>
      <c r="J11" s="33">
        <f>$C$31*('E Balans VL '!D11+'E Balans VL '!E11)/100/3.6*1000000</f>
        <v>0</v>
      </c>
      <c r="K11" s="33"/>
      <c r="L11" s="33"/>
      <c r="M11" s="33"/>
      <c r="N11" s="33">
        <f>$C$31*'E Balans VL '!Y11/100/3.6*1000000</f>
        <v>0.64610146668265001</v>
      </c>
      <c r="O11" s="33"/>
      <c r="P11" s="33"/>
      <c r="R11" s="32"/>
    </row>
    <row r="12" spans="1:18">
      <c r="A12" s="32" t="s">
        <v>260</v>
      </c>
      <c r="B12" s="37">
        <f t="shared" si="0"/>
        <v>4414.3069999999998</v>
      </c>
      <c r="C12" s="33"/>
      <c r="D12" s="37">
        <f>IF(ISERROR(TER_rest_gas_kWh/1000),0,TER_rest_gas_kWh/1000)*0.902</f>
        <v>6100.3779725599006</v>
      </c>
      <c r="E12" s="33">
        <f>$C$32*'E Balans VL '!I8/100/3.6*1000000</f>
        <v>39.910413231266993</v>
      </c>
      <c r="F12" s="33">
        <f>$C$32*('E Balans VL '!L8+'E Balans VL '!N8)/100/3.6*1000000</f>
        <v>650.70438178072664</v>
      </c>
      <c r="G12" s="34"/>
      <c r="H12" s="33"/>
      <c r="I12" s="33"/>
      <c r="J12" s="33">
        <f>$C$32*('E Balans VL '!D8+'E Balans VL '!E8)/100/3.6*1000000</f>
        <v>0</v>
      </c>
      <c r="K12" s="33"/>
      <c r="L12" s="33"/>
      <c r="M12" s="33"/>
      <c r="N12" s="33">
        <f>$C$32*'E Balans VL '!Y8/100/3.6*1000000</f>
        <v>376.4813386499244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58078.27659999999</v>
      </c>
      <c r="C16" s="21">
        <f t="shared" ca="1" si="1"/>
        <v>0</v>
      </c>
      <c r="D16" s="21">
        <f t="shared" ca="1" si="1"/>
        <v>75001.235482992299</v>
      </c>
      <c r="E16" s="21">
        <f t="shared" si="1"/>
        <v>479.01325748189504</v>
      </c>
      <c r="F16" s="21">
        <f t="shared" ca="1" si="1"/>
        <v>7997.922039507499</v>
      </c>
      <c r="G16" s="21">
        <f t="shared" si="1"/>
        <v>0</v>
      </c>
      <c r="H16" s="21">
        <f t="shared" si="1"/>
        <v>0</v>
      </c>
      <c r="I16" s="21">
        <f t="shared" si="1"/>
        <v>0</v>
      </c>
      <c r="J16" s="21">
        <f t="shared" si="1"/>
        <v>0</v>
      </c>
      <c r="K16" s="21">
        <f t="shared" si="1"/>
        <v>0</v>
      </c>
      <c r="L16" s="21">
        <f t="shared" ca="1" si="1"/>
        <v>0</v>
      </c>
      <c r="M16" s="21">
        <f t="shared" si="1"/>
        <v>0</v>
      </c>
      <c r="N16" s="21">
        <f t="shared" ca="1" si="1"/>
        <v>3286.4807292872529</v>
      </c>
      <c r="O16" s="21">
        <f>O5</f>
        <v>0</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0.21129337512027782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12271.555083983052</v>
      </c>
      <c r="C20" s="23">
        <f t="shared" ref="C20:P20" ca="1" si="2">C16*C18</f>
        <v>0</v>
      </c>
      <c r="D20" s="23">
        <f t="shared" ca="1" si="2"/>
        <v>15150.249567564446</v>
      </c>
      <c r="E20" s="23">
        <f t="shared" si="2"/>
        <v>108.73600944839018</v>
      </c>
      <c r="F20" s="23">
        <f t="shared" ca="1" si="2"/>
        <v>2135.4451845485023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20893.902999999998</v>
      </c>
      <c r="C26" s="39">
        <f>IF(ISERROR(B26*3.6/1000000/'E Balans VL '!Z12*100),0,B26*3.6/1000000/'E Balans VL '!Z12*100)</f>
        <v>0.45895873516576025</v>
      </c>
      <c r="D26" s="237" t="s">
        <v>692</v>
      </c>
      <c r="F26" s="6"/>
    </row>
    <row r="27" spans="1:18">
      <c r="A27" s="231" t="s">
        <v>53</v>
      </c>
      <c r="B27" s="33">
        <f>IF(ISERROR(TER_horeca_ele_kWh/1000),0,TER_horeca_ele_kWh/1000)</f>
        <v>4511.8919999999998</v>
      </c>
      <c r="C27" s="39">
        <f>IF(ISERROR(B27*3.6/1000000/'E Balans VL '!Z9*100),0,B27*3.6/1000000/'E Balans VL '!Z9*100)</f>
        <v>0.36257549727066013</v>
      </c>
      <c r="D27" s="237" t="s">
        <v>692</v>
      </c>
      <c r="F27" s="6"/>
    </row>
    <row r="28" spans="1:18">
      <c r="A28" s="171" t="s">
        <v>52</v>
      </c>
      <c r="B28" s="33">
        <f>IF(ISERROR(TER_handel_ele_kWh/1000),0,TER_handel_ele_kWh/1000)</f>
        <v>15826.7</v>
      </c>
      <c r="C28" s="39">
        <f>IF(ISERROR(B28*3.6/1000000/'E Balans VL '!Z13*100),0,B28*3.6/1000000/'E Balans VL '!Z13*100)</f>
        <v>0.46798446223522588</v>
      </c>
      <c r="D28" s="237" t="s">
        <v>692</v>
      </c>
      <c r="F28" s="6"/>
    </row>
    <row r="29" spans="1:18">
      <c r="A29" s="231" t="s">
        <v>51</v>
      </c>
      <c r="B29" s="33">
        <f>IF(ISERROR(TER_gezond_ele_kWh/1000),0,TER_gezond_ele_kWh/1000)</f>
        <v>8227.3240000000005</v>
      </c>
      <c r="C29" s="39">
        <f>IF(ISERROR(B29*3.6/1000000/'E Balans VL '!Z10*100),0,B29*3.6/1000000/'E Balans VL '!Z10*100)</f>
        <v>0.92700700401837777</v>
      </c>
      <c r="D29" s="237" t="s">
        <v>692</v>
      </c>
      <c r="F29" s="6"/>
    </row>
    <row r="30" spans="1:18">
      <c r="A30" s="231" t="s">
        <v>50</v>
      </c>
      <c r="B30" s="33">
        <f>IF(ISERROR(TER_ander_ele_kWh/1000),0,TER_ander_ele_kWh/1000)</f>
        <v>3555.0729999999999</v>
      </c>
      <c r="C30" s="39">
        <f>IF(ISERROR(B30*3.6/1000000/'E Balans VL '!Z14*100),0,B30*3.6/1000000/'E Balans VL '!Z14*100)</f>
        <v>0.26886409386721055</v>
      </c>
      <c r="D30" s="237" t="s">
        <v>692</v>
      </c>
      <c r="F30" s="6"/>
    </row>
    <row r="31" spans="1:18">
      <c r="A31" s="231" t="s">
        <v>55</v>
      </c>
      <c r="B31" s="33">
        <f>IF(ISERROR(TER_onderwijs_ele_kWh/1000),0,TER_onderwijs_ele_kWh/1000)</f>
        <v>649.07759999999996</v>
      </c>
      <c r="C31" s="39">
        <f>IF(ISERROR(B31*3.6/1000000/'E Balans VL '!Z11*100),0,B31*3.6/1000000/'E Balans VL '!Z11*100)</f>
        <v>0.13473344207037832</v>
      </c>
      <c r="D31" s="237" t="s">
        <v>692</v>
      </c>
    </row>
    <row r="32" spans="1:18">
      <c r="A32" s="231" t="s">
        <v>260</v>
      </c>
      <c r="B32" s="33">
        <f>IF(ISERROR(TER_rest_ele_kWh/1000),0,TER_rest_ele_kWh/1000)</f>
        <v>4414.3069999999998</v>
      </c>
      <c r="C32" s="39">
        <f>IF(ISERROR(B32*3.6/1000000/'E Balans VL '!Z8*100),0,B32*3.6/1000000/'E Balans VL '!Z8*100)</f>
        <v>3.718793962613326E-2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8</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108174.39982999999</v>
      </c>
      <c r="C5" s="17">
        <f>IF(ISERROR('Eigen informatie GS &amp; warmtenet'!B59),0,'Eigen informatie GS &amp; warmtenet'!B59)</f>
        <v>0</v>
      </c>
      <c r="D5" s="30">
        <f>SUM(D6:D15)</f>
        <v>20428.561281680202</v>
      </c>
      <c r="E5" s="17">
        <f>SUM(E6:E15)</f>
        <v>7170.7543478633252</v>
      </c>
      <c r="F5" s="17">
        <f>SUM(F6:F15)</f>
        <v>60441.064144790682</v>
      </c>
      <c r="G5" s="18"/>
      <c r="H5" s="17"/>
      <c r="I5" s="17"/>
      <c r="J5" s="17">
        <f>SUM(J6:J15)</f>
        <v>759.08230923435292</v>
      </c>
      <c r="K5" s="17"/>
      <c r="L5" s="17"/>
      <c r="M5" s="17"/>
      <c r="N5" s="17">
        <f>SUM(N6:N15)</f>
        <v>27755.724131983738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607.96540000000005</v>
      </c>
      <c r="C8" s="33"/>
      <c r="D8" s="37">
        <f>IF( ISERROR(IND_metaal_Gas_kWH/1000),0,IND_metaal_Gas_kWH/1000)*0.902</f>
        <v>189.38460171867885</v>
      </c>
      <c r="E8" s="33">
        <f>C30*'E Balans VL '!I18/100/3.6*1000000</f>
        <v>15.215246128685861</v>
      </c>
      <c r="F8" s="33">
        <f>C30*'E Balans VL '!L18/100/3.6*1000000+C30*'E Balans VL '!N18/100/3.6*1000000</f>
        <v>190.53938053542683</v>
      </c>
      <c r="G8" s="34"/>
      <c r="H8" s="33"/>
      <c r="I8" s="33"/>
      <c r="J8" s="40">
        <f>C30*'E Balans VL '!D18/100/3.6*1000000+C30*'E Balans VL '!E18/100/3.6*1000000</f>
        <v>0</v>
      </c>
      <c r="K8" s="33"/>
      <c r="L8" s="33"/>
      <c r="M8" s="33"/>
      <c r="N8" s="33">
        <f>C30*'E Balans VL '!Y18/100/3.6*1000000</f>
        <v>15.273668655798907</v>
      </c>
      <c r="O8" s="33"/>
      <c r="P8" s="33"/>
      <c r="R8" s="32"/>
    </row>
    <row r="9" spans="1:18">
      <c r="A9" s="6" t="s">
        <v>33</v>
      </c>
      <c r="B9" s="37">
        <f t="shared" si="0"/>
        <v>10760.222</v>
      </c>
      <c r="C9" s="33"/>
      <c r="D9" s="37">
        <f>IF( ISERROR(IND_andere_gas_kWh/1000),0,IND_andere_gas_kWh/1000)*0.902</f>
        <v>1652.8325603414949</v>
      </c>
      <c r="E9" s="33">
        <f>C31*'E Balans VL '!I19/100/3.6*1000000</f>
        <v>2958.6197188964638</v>
      </c>
      <c r="F9" s="33">
        <f>C31*'E Balans VL '!L19/100/3.6*1000000+C31*'E Balans VL '!N19/100/3.6*1000000</f>
        <v>8480.9273490634368</v>
      </c>
      <c r="G9" s="34"/>
      <c r="H9" s="33"/>
      <c r="I9" s="33"/>
      <c r="J9" s="40">
        <f>C31*'E Balans VL '!D19/100/3.6*1000000+C31*'E Balans VL '!E19/100/3.6*1000000</f>
        <v>0</v>
      </c>
      <c r="K9" s="33"/>
      <c r="L9" s="33"/>
      <c r="M9" s="33"/>
      <c r="N9" s="33">
        <f>C31*'E Balans VL '!Y19/100/3.6*1000000</f>
        <v>3483.3678837327452</v>
      </c>
      <c r="O9" s="33"/>
      <c r="P9" s="33"/>
      <c r="R9" s="32"/>
    </row>
    <row r="10" spans="1:18">
      <c r="A10" s="6" t="s">
        <v>41</v>
      </c>
      <c r="B10" s="37">
        <f t="shared" si="0"/>
        <v>17883.600999999999</v>
      </c>
      <c r="C10" s="33"/>
      <c r="D10" s="37">
        <f>IF( ISERROR(IND_voed_gas_kWh/1000),0,IND_voed_gas_kWh/1000)*0.902</f>
        <v>444.78227006689849</v>
      </c>
      <c r="E10" s="33">
        <f>C32*'E Balans VL '!I20/100/3.6*1000000</f>
        <v>182.31346006299259</v>
      </c>
      <c r="F10" s="33">
        <f>C32*'E Balans VL '!L20/100/3.6*1000000+C32*'E Balans VL '!N20/100/3.6*1000000</f>
        <v>33782.010437872843</v>
      </c>
      <c r="G10" s="34"/>
      <c r="H10" s="33"/>
      <c r="I10" s="33"/>
      <c r="J10" s="40">
        <f>C32*'E Balans VL '!D20/100/3.6*1000000+C32*'E Balans VL '!E20/100/3.6*1000000</f>
        <v>428.0130873373945</v>
      </c>
      <c r="K10" s="33"/>
      <c r="L10" s="33"/>
      <c r="M10" s="33"/>
      <c r="N10" s="33">
        <f>C32*'E Balans VL '!Y20/100/3.6*1000000</f>
        <v>9426.7176652382259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8.86843</v>
      </c>
      <c r="C13" s="33"/>
      <c r="D13" s="37">
        <f>IF( ISERROR(IND_papier_gas_kWh/1000),0,IND_papier_gas_kWh/1000)*0.902</f>
        <v>0</v>
      </c>
      <c r="E13" s="33">
        <f>C35*'E Balans VL '!I23/100/3.6*1000000</f>
        <v>1.8367117134610852E-2</v>
      </c>
      <c r="F13" s="33">
        <f>C35*'E Balans VL '!L23/100/3.6*1000000+C35*'E Balans VL '!N23/100/3.6*1000000</f>
        <v>0.17587997930279936</v>
      </c>
      <c r="G13" s="34"/>
      <c r="H13" s="33"/>
      <c r="I13" s="33"/>
      <c r="J13" s="40">
        <f>C35*'E Balans VL '!D23/100/3.6*1000000+C35*'E Balans VL '!E23/100/3.6*1000000</f>
        <v>0</v>
      </c>
      <c r="K13" s="33"/>
      <c r="L13" s="33"/>
      <c r="M13" s="33"/>
      <c r="N13" s="33">
        <f>C35*'E Balans VL '!Y23/100/3.6*1000000</f>
        <v>3.744675666926871</v>
      </c>
      <c r="O13" s="33"/>
      <c r="P13" s="33"/>
      <c r="R13" s="32"/>
    </row>
    <row r="14" spans="1:18">
      <c r="A14" s="6" t="s">
        <v>34</v>
      </c>
      <c r="B14" s="37">
        <f t="shared" si="0"/>
        <v>0</v>
      </c>
      <c r="C14" s="33"/>
      <c r="D14" s="37">
        <f>IF( ISERROR(IND_chemie_gas_kWh/1000),0,IND_chemie_gas_kWh/1000)*0.902</f>
        <v>105.31322701544615</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78913.743000000002</v>
      </c>
      <c r="C15" s="33"/>
      <c r="D15" s="37">
        <f>IF( ISERROR(IND_rest_gas_kWh/1000),0,IND_rest_gas_kWh/1000)*0.902</f>
        <v>18036.248622537685</v>
      </c>
      <c r="E15" s="33">
        <f>C37*'E Balans VL '!I15/100/3.6*1000000</f>
        <v>4014.587555658049</v>
      </c>
      <c r="F15" s="33">
        <f>C37*'E Balans VL '!L15/100/3.6*1000000+C37*'E Balans VL '!N15/100/3.6*1000000</f>
        <v>17987.411097339675</v>
      </c>
      <c r="G15" s="34"/>
      <c r="H15" s="33"/>
      <c r="I15" s="33"/>
      <c r="J15" s="40">
        <f>C37*'E Balans VL '!D15/100/3.6*1000000+C37*'E Balans VL '!E15/100/3.6*1000000</f>
        <v>331.06922189695842</v>
      </c>
      <c r="K15" s="33"/>
      <c r="L15" s="33"/>
      <c r="M15" s="33"/>
      <c r="N15" s="33">
        <f>C37*'E Balans VL '!Y15/100/3.6*1000000</f>
        <v>14826.62023869004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108174.39982999999</v>
      </c>
      <c r="C18" s="21">
        <f>C5+C16</f>
        <v>0</v>
      </c>
      <c r="D18" s="21">
        <f>MAX((D5+D16),0)</f>
        <v>20428.561281680202</v>
      </c>
      <c r="E18" s="21">
        <f>MAX((E5+E16),0)</f>
        <v>7170.7543478633252</v>
      </c>
      <c r="F18" s="21">
        <f>MAX((F5+F16),0)</f>
        <v>60441.064144790682</v>
      </c>
      <c r="G18" s="21"/>
      <c r="H18" s="21"/>
      <c r="I18" s="21"/>
      <c r="J18" s="21">
        <f>MAX((J5+J16),0)</f>
        <v>759.08230923435292</v>
      </c>
      <c r="K18" s="21"/>
      <c r="L18" s="21">
        <f>MAX((L5+L16),0)</f>
        <v>0</v>
      </c>
      <c r="M18" s="21"/>
      <c r="N18" s="21">
        <f>MAX((N5+N16),0)</f>
        <v>27755.724131983738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0.21129337512027782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22856.534041691106</v>
      </c>
      <c r="C22" s="23">
        <f ca="1">C18*C20</f>
        <v>0</v>
      </c>
      <c r="D22" s="23">
        <f>D18*D20</f>
        <v>4126.5693788994013</v>
      </c>
      <c r="E22" s="23">
        <f>E18*E20</f>
        <v>1627.7612369649748</v>
      </c>
      <c r="F22" s="23">
        <f>F18*F20</f>
        <v>16137.764126659113</v>
      </c>
      <c r="G22" s="23"/>
      <c r="H22" s="23"/>
      <c r="I22" s="23"/>
      <c r="J22" s="23">
        <f>J18*J20</f>
        <v>268.7151374689609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607.96540000000005</v>
      </c>
      <c r="C30" s="39">
        <f>IF(ISERROR(B30*3.6/1000000/'E Balans VL '!Z18*100),0,B30*3.6/1000000/'E Balans VL '!Z18*100)</f>
        <v>8.5094895329219211E-2</v>
      </c>
      <c r="D30" s="237" t="s">
        <v>692</v>
      </c>
    </row>
    <row r="31" spans="1:18">
      <c r="A31" s="6" t="s">
        <v>33</v>
      </c>
      <c r="B31" s="37">
        <f>IF( ISERROR(IND_ander_ele_kWh/1000),0,IND_ander_ele_kWh/1000)</f>
        <v>10760.222</v>
      </c>
      <c r="C31" s="39">
        <f>IF(ISERROR(B31*3.6/1000000/'E Balans VL '!Z19*100),0,B31*3.6/1000000/'E Balans VL '!Z19*100)</f>
        <v>0.47097317138399281</v>
      </c>
      <c r="D31" s="237" t="s">
        <v>692</v>
      </c>
    </row>
    <row r="32" spans="1:18">
      <c r="A32" s="171" t="s">
        <v>41</v>
      </c>
      <c r="B32" s="37">
        <f>IF( ISERROR(IND_voed_ele_kWh/1000),0,IND_voed_ele_kWh/1000)</f>
        <v>17883.600999999999</v>
      </c>
      <c r="C32" s="39">
        <f>IF(ISERROR(B32*3.6/1000000/'E Balans VL '!Z20*100),0,B32*3.6/1000000/'E Balans VL '!Z20*100)</f>
        <v>4.4273857225044573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8.86843</v>
      </c>
      <c r="C35" s="39">
        <f>IF(ISERROR(B35*3.6/1000000/'E Balans VL '!Z22*100),0,B35*3.6/1000000/'E Balans VL '!Z22*100)</f>
        <v>2.5164986215014154E-4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78913.743000000002</v>
      </c>
      <c r="C37" s="39">
        <f>IF(ISERROR(B37*3.6/1000000/'E Balans VL '!Z15*100),0,B37*3.6/1000000/'E Balans VL '!Z15*100)</f>
        <v>0.58513189374047769</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2021.69958</v>
      </c>
      <c r="C5" s="17">
        <f>'Eigen informatie GS &amp; warmtenet'!B60</f>
        <v>0</v>
      </c>
      <c r="D5" s="30">
        <f>IF(ISERROR(SUM(LB_lb_gas_kWh,LB_rest_gas_kWh,onbekend_gas_kWh)/1000),0,SUM(LB_lb_gas_kWh,LB_rest_gas_kWh,onbekend_gas_kWh)/1000)*0.902</f>
        <v>7091.7390911879775</v>
      </c>
      <c r="E5" s="17">
        <f>B17*'E Balans VL '!I25/3.6*1000000/100</f>
        <v>18.72582827558043</v>
      </c>
      <c r="F5" s="17">
        <f>B17*('E Balans VL '!L25/3.6*1000000+'E Balans VL '!N25/3.6*1000000)/100</f>
        <v>5129.4369678347584</v>
      </c>
      <c r="G5" s="18"/>
      <c r="H5" s="17"/>
      <c r="I5" s="17"/>
      <c r="J5" s="17">
        <f>('E Balans VL '!D25+'E Balans VL '!E25)/3.6*1000000*landbouw!B17/100</f>
        <v>309.94910784716285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2021.69958</v>
      </c>
      <c r="C8" s="21">
        <f>C5+C6</f>
        <v>0</v>
      </c>
      <c r="D8" s="21">
        <f>MAX((D5+D6),0)</f>
        <v>7091.7390911879775</v>
      </c>
      <c r="E8" s="21">
        <f>MAX((E5+E6),0)</f>
        <v>18.72582827558043</v>
      </c>
      <c r="F8" s="21">
        <f>MAX((F5+F6),0)</f>
        <v>5129.4369678347584</v>
      </c>
      <c r="G8" s="21"/>
      <c r="H8" s="21"/>
      <c r="I8" s="21"/>
      <c r="J8" s="21">
        <f>MAX((J5+J6),0)</f>
        <v>309.94910784716285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0.21129337512027782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427.17172773744812</v>
      </c>
      <c r="C12" s="23">
        <f ca="1">C8*C10</f>
        <v>0</v>
      </c>
      <c r="D12" s="23">
        <f>D8*D10</f>
        <v>1432.5312964199716</v>
      </c>
      <c r="E12" s="23">
        <f>E8*E10</f>
        <v>4.250763018556758</v>
      </c>
      <c r="F12" s="23">
        <f>F8*F10</f>
        <v>1369.5596704118807</v>
      </c>
      <c r="G12" s="23"/>
      <c r="H12" s="23"/>
      <c r="I12" s="23"/>
      <c r="J12" s="23">
        <f>J8*J10</f>
        <v>109.72198417789565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0.28744281283530676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336.88847886580533</v>
      </c>
      <c r="C26" s="247">
        <f>B26*'GWP N2O_CH4'!B5</f>
        <v>7074.6580561819119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94.451101128754644</v>
      </c>
      <c r="C27" s="247">
        <f>B27*'GWP N2O_CH4'!B5</f>
        <v>1983.4731237038475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4.5971760037576042</v>
      </c>
      <c r="C28" s="247">
        <f>B28*'GWP N2O_CH4'!B4</f>
        <v>1425.1245611648574</v>
      </c>
      <c r="D28" s="50"/>
    </row>
    <row r="29" spans="1:4">
      <c r="A29" s="41" t="s">
        <v>277</v>
      </c>
      <c r="B29" s="247">
        <f>B34*'ha_N2O bodem landbouw'!B4</f>
        <v>30.788630023438198</v>
      </c>
      <c r="C29" s="247">
        <f>B29*'GWP N2O_CH4'!B4</f>
        <v>9544.4753072658423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6.9053473014063097E-3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1.1345540555095899E-4</v>
      </c>
      <c r="C5" s="464" t="s">
        <v>211</v>
      </c>
      <c r="D5" s="449">
        <f>SUM(D6:D11)</f>
        <v>3.0558316279039239E-4</v>
      </c>
      <c r="E5" s="449">
        <f>SUM(E6:E11)</f>
        <v>2.0419313083633083E-3</v>
      </c>
      <c r="F5" s="462" t="s">
        <v>211</v>
      </c>
      <c r="G5" s="449">
        <f>SUM(G6:G11)</f>
        <v>0.62532725837159253</v>
      </c>
      <c r="H5" s="449">
        <f>SUM(H6:H11)</f>
        <v>0.11640564546294617</v>
      </c>
      <c r="I5" s="464" t="s">
        <v>211</v>
      </c>
      <c r="J5" s="464" t="s">
        <v>211</v>
      </c>
      <c r="K5" s="464" t="s">
        <v>211</v>
      </c>
      <c r="L5" s="464" t="s">
        <v>211</v>
      </c>
      <c r="M5" s="449">
        <f>SUM(M6:M11)</f>
        <v>3.9755730695689877E-2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6.5453086557583094E-5</v>
      </c>
      <c r="C6" s="450"/>
      <c r="D6" s="963">
        <f>vkm_2011_GW_PW*SUMIFS(TableVerdeelsleutelVkm[CNG],TableVerdeelsleutelVkm[Voertuigtype],"Lichte voertuigen")*SUMIFS(TableECFTransport[EnergieConsumptieFactor (PJ per km)],TableECFTransport[Index],CONCATENATE($A6,"_CNG_CNG"))</f>
        <v>1.514001952940098E-4</v>
      </c>
      <c r="E6" s="963">
        <f>vkm_2011_GW_PW*SUMIFS(TableVerdeelsleutelVkm[LPG],TableVerdeelsleutelVkm[Voertuigtype],"Lichte voertuigen")*SUMIFS(TableECFTransport[EnergieConsumptieFactor (PJ per km)],TableECFTransport[Index],CONCATENATE($A6,"_LPG_LPG"))</f>
        <v>9.8582664373761549E-4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0.20479819182489312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5.7728377994354145E-2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1.3623768053784416E-2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0.14363636556975012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4.9121028466943205E-5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8.3101779160781215E-3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2.2667918988376708E-5</v>
      </c>
      <c r="C8" s="450"/>
      <c r="D8" s="452">
        <f>vkm_2011_NGW_PW*SUMIFS(TableVerdeelsleutelVkm[CNG],TableVerdeelsleutelVkm[Voertuigtype],"Lichte voertuigen")*SUMIFS(TableECFTransport[EnergieConsumptieFactor (PJ per km)],TableECFTransport[Index],CONCATENATE($A8,"_CNG_CNG"))</f>
        <v>9.2739347556991387E-5</v>
      </c>
      <c r="E8" s="452">
        <f>vkm_2011_NGW_PW*SUMIFS(TableVerdeelsleutelVkm[LPG],TableVerdeelsleutelVkm[Voertuigtype],"Lichte voertuigen")*SUMIFS(TableECFTransport[EnergieConsumptieFactor (PJ per km)],TableECFTransport[Index],CONCATENATE($A8,"_LPG_LPG"))</f>
        <v>5.5730238062275984E-4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0.10822730360378342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3.4191781772532855E-2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7.3130292901097196E-3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1.9260050063030346E-2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6.2323278461456558E-6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1.1142921610641998E-3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2.5334400004999194E-5</v>
      </c>
      <c r="C10" s="450"/>
      <c r="D10" s="452">
        <f>vkm_2011_SW_PW*SUMIFS(TableVerdeelsleutelVkm[CNG],TableVerdeelsleutelVkm[Voertuigtype],"Lichte voertuigen")*SUMIFS(TableECFTransport[EnergieConsumptieFactor (PJ per km)],TableECFTransport[Index],CONCATENATE($A10,"_CNG_CNG"))</f>
        <v>6.1443619939391232E-5</v>
      </c>
      <c r="E10" s="452">
        <f>vkm_2011_SW_PW*SUMIFS(TableVerdeelsleutelVkm[LPG],TableVerdeelsleutelVkm[Voertuigtype],"Lichte voertuigen")*SUMIFS(TableECFTransport[EnergieConsumptieFactor (PJ per km)],TableECFTransport[Index],CONCATENATE($A10,"_LPG_LPG"))</f>
        <v>4.9880228400293316E-4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9.329034896160017E-2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2.4409450468984947E-2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6.1478466277458798E-3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5.6114998348535436E-2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2.0681870761135452E-5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3.24661664690754E-3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31.515390430821942</v>
      </c>
      <c r="C14" s="21"/>
      <c r="D14" s="21">
        <f t="shared" ref="D14:M14" si="0">((D5)*10^9/3600)+D12</f>
        <v>84.884211886220115</v>
      </c>
      <c r="E14" s="21">
        <f t="shared" si="0"/>
        <v>567.20314121203</v>
      </c>
      <c r="F14" s="21"/>
      <c r="G14" s="21">
        <f t="shared" si="0"/>
        <v>173702.01621433126</v>
      </c>
      <c r="H14" s="21">
        <f t="shared" si="0"/>
        <v>32334.90151748505</v>
      </c>
      <c r="I14" s="21"/>
      <c r="J14" s="21"/>
      <c r="K14" s="21"/>
      <c r="L14" s="21"/>
      <c r="M14" s="21">
        <f t="shared" si="0"/>
        <v>11043.258526580523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0.21129337512027782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6.6589932123616746</v>
      </c>
      <c r="C18" s="23"/>
      <c r="D18" s="23">
        <f t="shared" ref="D18:M18" si="1">D14*D16</f>
        <v>17.146610801016465</v>
      </c>
      <c r="E18" s="23">
        <f t="shared" si="1"/>
        <v>128.75511305513081</v>
      </c>
      <c r="F18" s="23"/>
      <c r="G18" s="23">
        <f t="shared" si="1"/>
        <v>46378.438329226447</v>
      </c>
      <c r="H18" s="23">
        <f t="shared" si="1"/>
        <v>8051.3904778537772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1.2170063627422675E-2</v>
      </c>
      <c r="H50" s="321">
        <f t="shared" si="2"/>
        <v>0</v>
      </c>
      <c r="I50" s="321">
        <f t="shared" si="2"/>
        <v>0</v>
      </c>
      <c r="J50" s="321">
        <f t="shared" si="2"/>
        <v>0</v>
      </c>
      <c r="K50" s="321">
        <f t="shared" si="2"/>
        <v>0</v>
      </c>
      <c r="L50" s="321">
        <f t="shared" si="2"/>
        <v>0</v>
      </c>
      <c r="M50" s="321">
        <f t="shared" si="2"/>
        <v>6.9402325101994733E-4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1.2170063627422675E-2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6.9402325101994733E-4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3380.5732298396319</v>
      </c>
      <c r="H54" s="21">
        <f t="shared" si="3"/>
        <v>0</v>
      </c>
      <c r="I54" s="21">
        <f t="shared" si="3"/>
        <v>0</v>
      </c>
      <c r="J54" s="21">
        <f t="shared" si="3"/>
        <v>0</v>
      </c>
      <c r="K54" s="21">
        <f t="shared" si="3"/>
        <v>0</v>
      </c>
      <c r="L54" s="21">
        <f t="shared" si="3"/>
        <v>0</v>
      </c>
      <c r="M54" s="21">
        <f t="shared" si="3"/>
        <v>192.78423639442983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0.21129337512027782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902.61305236718181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9900.9964847924821</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9900.9964847924821</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2019-01-01T21:31:53Z</dcterms:modified>
</cp:coreProperties>
</file>