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M13" i="14" l="1"/>
  <c r="J12" i="17"/>
  <c r="K48" i="14" s="1"/>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I7" i="18" l="1"/>
  <c r="I9"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N20" s="1"/>
  <c r="N23" s="1"/>
  <c r="E5" i="48"/>
  <c r="E22" s="1"/>
  <c r="P14"/>
  <c r="B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N12" i="13"/>
  <c r="O37" i="14" s="1"/>
  <c r="O11"/>
  <c r="C38" i="13"/>
  <c r="C39"/>
  <c r="C32"/>
  <c r="C34"/>
  <c r="E4" i="48"/>
  <c r="E21" s="1"/>
  <c r="F11" i="14"/>
  <c r="J4" i="48"/>
  <c r="J12" i="13"/>
  <c r="K37" i="14" s="1"/>
  <c r="K11"/>
  <c r="N5" i="48"/>
  <c r="L20" i="15"/>
  <c r="J67" i="14" l="1"/>
  <c r="C67" s="1"/>
  <c r="C69" s="1"/>
  <c r="R22"/>
  <c r="O14" i="48"/>
  <c r="E20" i="15"/>
  <c r="F36" i="14" s="1"/>
  <c r="O31" i="48"/>
  <c r="F18" i="16"/>
  <c r="G13" i="14" s="1"/>
  <c r="G15" s="1"/>
  <c r="G23" s="1"/>
  <c r="M16" i="18"/>
  <c r="M19" s="1"/>
  <c r="K10" i="14"/>
  <c r="R10" s="1"/>
  <c r="J18" i="16"/>
  <c r="J22" s="1"/>
  <c r="K39" i="14" s="1"/>
  <c r="Q7" i="48"/>
  <c r="E8"/>
  <c r="E25" s="1"/>
  <c r="E31"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B14"/>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K13" i="14" l="1"/>
  <c r="R13" s="1"/>
  <c r="R15" s="1"/>
  <c r="J69"/>
  <c r="J8" i="48"/>
  <c r="J25" s="1"/>
  <c r="J31" s="1"/>
  <c r="N25"/>
  <c r="N31" s="1"/>
  <c r="N14"/>
  <c r="K41" i="14"/>
  <c r="K53" s="1"/>
  <c r="E14" i="48"/>
  <c r="K15" i="14"/>
  <c r="K23" s="1"/>
  <c r="H55"/>
  <c r="E55"/>
  <c r="C78"/>
  <c r="C81" s="1"/>
  <c r="R19"/>
  <c r="R20" s="1"/>
  <c r="H14" i="48"/>
  <c r="G31"/>
  <c r="H26"/>
  <c r="H31" s="1"/>
  <c r="F55" i="14"/>
  <c r="O53"/>
  <c r="G53"/>
  <c r="G55" s="1"/>
  <c r="O69" s="1"/>
  <c r="B9" i="6" s="1"/>
  <c r="B12" s="1"/>
  <c r="M53" i="14"/>
  <c r="M55" s="1"/>
  <c r="C12" i="13"/>
  <c r="D37" i="14" s="1"/>
  <c r="D41" s="1"/>
  <c r="C24" i="48"/>
  <c r="C28"/>
  <c r="C22"/>
  <c r="C25"/>
  <c r="C21"/>
  <c r="F25"/>
  <c r="F31" s="1"/>
  <c r="F14"/>
  <c r="J14" l="1"/>
  <c r="Q8"/>
  <c r="Q14" s="1"/>
  <c r="K55" i="14"/>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<sst xmlns="http://schemas.openxmlformats.org/spreadsheetml/2006/main" count="2137" uniqueCount="871">
  <si>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</si>
  <si>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</si>
  <si>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</si>
  <si>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</si>
  <si>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</si>
  <si>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</si>
  <si>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</si>
  <si>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</si>
  <si>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</si>
  <si>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</si>
  <si>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</si>
  <si>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</si>
  <si>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</si>
  <si>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</si>
  <si>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</si>
  <si>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</si>
  <si>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</si>
  <si>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</si>
  <si>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</si>
  <si>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</si>
  <si>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</si>
  <si>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</si>
  <si>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</si>
  <si>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</si>
  <si>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</si>
  <si>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</si>
  <si>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</si>
  <si>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</si>
  <si>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</si>
  <si>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</si>
  <si>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</si>
  <si>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</si>
  <si>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</si>
  <si>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</si>
  <si>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</si>
  <si>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</si>
  <si>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</si>
  <si>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</si>
  <si>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</si>
  <si>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</si>
  <si>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</si>
  <si>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</si>
  <si>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</si>
  <si>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</si>
  <si>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</si>
  <si>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</si>
  <si>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</si>
  <si>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</si>
  <si>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</si>
  <si>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</si>
  <si>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</si>
  <si>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</si>
  <si>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</si>
  <si>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</si>
  <si>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</si>
  <si>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</si>
  <si>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</si>
  <si>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</si>
  <si>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</si>
  <si>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</si>
  <si>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</si>
  <si>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</si>
  <si>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</si>
  <si>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</si>
  <si>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</si>
  <si>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</si>
  <si>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</si>
  <si>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</si>
  <si>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</si>
  <si>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</si>
  <si>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</si>
  <si>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</si>
  <si>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</si>
  <si>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</si>
  <si>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</si>
  <si>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</si>
  <si>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</si>
  <si>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</si>
  <si>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</si>
  <si>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</si>
  <si>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</si>
  <si>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</si>
  <si>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</si>
  <si>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</si>
  <si>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</si>
  <si>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</si>
  <si>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</si>
  <si>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</si>
  <si>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</si>
  <si>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</si>
  <si>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</si>
  <si>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</si>
  <si>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</si>
  <si>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</si>
  <si>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</si>
  <si>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</si>
  <si>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</si>
  <si>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</si>
  <si>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</si>
  <si>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</si>
  <si>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</si>
  <si>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</si>
  <si>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</si>
  <si>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</si>
  <si>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</si>
  <si>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</si>
  <si>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</si>
  <si>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</si>
  <si>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</si>
  <si>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</si>
  <si>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</si>
  <si>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</si>
  <si>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</si>
  <si>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</si>
  <si>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</si>
  <si>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</si>
  <si>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</si>
  <si>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</si>
  <si>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</si>
  <si>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</si>
  <si>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</si>
  <si>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</si>
  <si>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</si>
  <si>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</si>
  <si>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</si>
  <si>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</si>
  <si>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</si>
  <si>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</si>
  <si>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</si>
  <si>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</si>
  <si>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</si>
  <si>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</si>
  <si>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</si>
  <si>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</si>
  <si>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</si>
  <si>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</si>
  <si>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</si>
  <si>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</si>
  <si>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</si>
  <si>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</si>
  <si>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</si>
  <si>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</si>
  <si>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</si>
  <si>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</si>
  <si>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</si>
  <si>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</si>
  <si>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</si>
  <si>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</si>
  <si>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</si>
  <si>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</si>
  <si>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</si>
  <si>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</si>
  <si>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</si>
  <si>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</si>
  <si>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</si>
  <si>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</si>
  <si>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</si>
  <si>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</si>
  <si>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</si>
  <si>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</si>
  <si>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</si>
  <si>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</si>
  <si>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</si>
  <si>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</si>
  <si>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</si>
  <si>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</si>
  <si>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</si>
  <si>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</si>
  <si>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</si>
  <si>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</si>
  <si>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</si>
  <si>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</si>
  <si>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</si>
  <si>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</si>
  <si>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</si>
  <si>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</si>
  <si>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</si>
  <si>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</si>
  <si>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</si>
  <si>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</si>
  <si>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</si>
  <si>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</si>
  <si>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</si>
  <si>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</si>
  <si>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</si>
  <si>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</si>
  <si>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</si>
  <si>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</si>
  <si>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</si>
  <si>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</si>
  <si>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</si>
  <si>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</si>
  <si>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</si>
  <si>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</si>
  <si>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</si>
  <si>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</si>
  <si>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</si>
  <si>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</si>
  <si>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</si>
  <si>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</si>
  <si>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</si>
  <si>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</si>
  <si>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</si>
  <si>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</si>
  <si>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</si>
  <si>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</si>
  <si>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</si>
  <si>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</si>
  <si>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</si>
  <si>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</si>
  <si>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</si>
  <si>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</si>
  <si>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</si>
  <si>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</si>
  <si>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</si>
  <si>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</si>
  <si>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</si>
  <si>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</si>
  <si>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</si>
  <si>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</si>
  <si>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</si>
  <si>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</si>
  <si>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</si>
  <si>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</si>
  <si>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</si>
  <si>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</si>
  <si>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</si>
  <si>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</si>
  <si>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</si>
  <si>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</si>
  <si>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</si>
  <si>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</si>
  <si>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</si>
  <si>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</si>
  <si>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</si>
  <si>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</si>
  <si>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</si>
  <si>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</si>
  <si>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</si>
  <si>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</si>
  <si>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</si>
  <si>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</si>
  <si>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</si>
  <si>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</si>
  <si>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</si>
  <si>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</si>
  <si>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</si>
  <si>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</si>
  <si>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</si>
  <si>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</si>
  <si>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</si>
  <si>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</si>
  <si>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</si>
  <si>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</si>
  <si>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</si>
  <si>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</si>
  <si>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</si>
  <si>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</si>
  <si>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</si>
  <si>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</si>
  <si>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</si>
  <si>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</si>
  <si>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</si>
  <si>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</si>
  <si>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</si>
  <si>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</si>
  <si>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</si>
  <si>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</si>
  <si>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</si>
  <si>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</si>
  <si>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</si>
  <si>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</si>
  <si>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</si>
  <si>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</si>
  <si>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</si>
  <si>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</si>
  <si>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</si>
  <si>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</si>
  <si>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</si>
  <si>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</si>
  <si>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</si>
  <si>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</si>
  <si>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</si>
  <si>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</si>
  <si>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</si>
  <si>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</si>
  <si>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</si>
  <si>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</si>
  <si>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</si>
  <si>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</si>
  <si>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</si>
  <si>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</si>
  <si>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</si>
  <si>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</si>
  <si>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</si>
  <si>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</si>
  <si>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</si>
  <si>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</si>
  <si>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</si>
  <si>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</si>
  <si>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</si>
  <si>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</si>
  <si>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</si>
  <si>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</si>
  <si>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</si>
  <si>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</si>
  <si>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</si>
  <si>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</si>
  <si>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</si>
  <si>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</si>
  <si>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</si>
  <si>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</si>
  <si>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</si>
  <si>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</si>
  <si>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</si>
  <si>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</si>
  <si>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</si>
  <si>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</si>
  <si>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</si>
  <si>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</si>
  <si>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</si>
  <si>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</si>
  <si>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</si>
  <si>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</si>
  <si>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</si>
  <si>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</si>
  <si>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</si>
  <si>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</si>
  <si>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</si>
  <si>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</si>
  <si>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</si>
  <si>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</si>
  <si>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</si>
  <si>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</si>
  <si>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</si>
  <si>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</si>
  <si>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</si>
  <si>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</si>
  <si>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</si>
  <si>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</si>
  <si>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</si>
  <si>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</si>
  <si>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</si>
  <si>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</si>
  <si>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</si>
  <si>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</si>
  <si>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</si>
  <si>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</si>
  <si>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</si>
  <si>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</si>
  <si>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</si>
  <si>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</si>
  <si>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</si>
  <si>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</si>
  <si>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</si>
  <si>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</si>
  <si>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</si>
  <si>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</si>
  <si>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</si>
  <si>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</si>
  <si>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</si>
  <si>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</si>
  <si>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</si>
  <si>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</si>
  <si>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</si>
  <si>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</si>
  <si>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</si>
  <si>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</si>
  <si>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</si>
  <si>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</si>
  <si>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</si>
  <si>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</si>
  <si>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</si>
  <si>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</si>
  <si>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</si>
  <si>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</si>
  <si>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</si>
  <si>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</si>
  <si>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</si>
  <si>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</si>
  <si>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</si>
  <si>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</si>
  <si>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</si>
  <si>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</si>
  <si>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</si>
  <si>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</si>
  <si>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</si>
  <si>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</si>
  <si>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</si>
  <si>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</si>
  <si>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</si>
  <si>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</si>
  <si>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</si>
  <si>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</si>
  <si>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</si>
  <si>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</si>
  <si>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</si>
  <si>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</si>
  <si>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</si>
  <si>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</si>
  <si>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</si>
  <si>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</si>
  <si>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</si>
  <si>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</si>
  <si>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</si>
  <si>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</si>
  <si>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</si>
  <si>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</si>
  <si>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</si>
  <si>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</si>
  <si>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</si>
  <si>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</si>
  <si>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</si>
  <si>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</si>
  <si>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</si>
  <si>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</si>
  <si>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</si>
  <si>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</si>
  <si>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</si>
  <si>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</si>
  <si>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</si>
  <si>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</si>
  <si>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</si>
  <si>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</si>
  <si>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</si>
  <si>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</si>
  <si>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</si>
  <si>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</si>
  <si>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</si>
  <si>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</si>
  <si>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</si>
  <si>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</si>
  <si>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</si>
  <si>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</si>
  <si>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</si>
  <si>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</si>
  <si>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</si>
  <si>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</si>
  <si>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</si>
  <si>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</si>
  <si>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</si>
  <si>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</si>
  <si>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</si>
  <si>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</si>
  <si>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</si>
  <si>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</si>
  <si>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</si>
  <si>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</si>
  <si>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</si>
  <si>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</si>
  <si>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</si>
  <si>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</si>
  <si>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</si>
  <si>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</si>
  <si>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</si>
  <si>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</si>
  <si>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</si>
  <si>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</si>
  <si>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</si>
  <si>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</si>
  <si>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</si>
  <si>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</si>
  <si>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</si>
  <si>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</si>
  <si>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</si>
  <si>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</si>
  <si>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</si>
  <si>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</si>
  <si>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</si>
  <si>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</si>
  <si>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</si>
  <si>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</si>
  <si>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</si>
  <si>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</si>
  <si>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</si>
  <si>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</si>
  <si>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</si>
  <si>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</si>
  <si>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</si>
  <si>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</si>
  <si>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</si>
  <si>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</si>
  <si>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</si>
  <si>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</si>
  <si>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</si>
  <si>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</si>
  <si>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</si>
  <si>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</si>
  <si>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</si>
  <si>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</si>
  <si>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</si>
  <si>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</si>
  <si>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</si>
  <si>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</si>
  <si>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</si>
  <si>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</si>
  <si>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</si>
  <si>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</si>
  <si>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</si>
  <si>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</si>
  <si>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</si>
  <si>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</si>
  <si>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</si>
  <si>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</si>
  <si>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</si>
  <si>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</si>
  <si>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</si>
  <si>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</si>
  <si>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</si>
  <si>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</si>
  <si>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</si>
  <si>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</si>
  <si>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</si>
  <si>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</si>
  <si>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</si>
  <si>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</si>
  <si>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</si>
  <si>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</si>
  <si>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</si>
  <si>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</si>
  <si>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</si>
  <si>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</si>
  <si>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</si>
  <si>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</si>
  <si>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</si>
  <si>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</si>
  <si>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</si>
  <si>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</si>
  <si>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</si>
  <si>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</si>
  <si>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</si>
  <si>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</si>
  <si>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</si>
  <si>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</si>
  <si>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</si>
  <si>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</si>
  <si>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</si>
  <si>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</si>
  <si>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</si>
  <si>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</si>
  <si>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</si>
  <si>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</si>
  <si>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</si>
  <si>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</si>
  <si>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</si>
  <si>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</si>
  <si>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</si>
  <si>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</si>
  <si>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</si>
  <si>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</si>
  <si>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</si>
  <si>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</si>
  <si>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</si>
  <si>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</si>
  <si>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</si>
  <si>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</si>
  <si>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</si>
  <si>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</si>
  <si>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</si>
  <si>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</si>
  <si>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</si>
  <si>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</si>
  <si>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</si>
  <si>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</si>
  <si>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</si>
  <si>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</si>
  <si>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</si>
  <si>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</si>
  <si>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</si>
  <si>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</si>
  <si>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</si>
  <si>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</si>
  <si>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</si>
  <si>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</si>
  <si>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</si>
  <si>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</si>
  <si>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</si>
  <si>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</si>
  <si>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</si>
  <si>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</si>
  <si>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</si>
  <si>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</si>
  <si>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</si>
  <si>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</si>
  <si>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</si>
  <si>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</si>
  <si>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</si>
  <si>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</si>
  <si>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</si>
  <si>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</si>
  <si>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</si>
  <si>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</si>
  <si>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</si>
  <si>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</si>
  <si>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</si>
  <si>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</si>
  <si>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</si>
  <si>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</si>
  <si>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</si>
  <si>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</si>
  <si>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</si>
  <si>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</si>
  <si>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</si>
  <si>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</si>
  <si>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</si>
  <si>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</si>
  <si>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</si>
  <si>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</si>
  <si>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</si>
  <si>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</si>
  <si>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</si>
  <si>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</si>
  <si>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</si>
  <si>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</si>
  <si>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</si>
  <si>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</si>
  <si>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</si>
  <si>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</si>
  <si>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</si>
  <si>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</si>
  <si>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</si>
  <si>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</si>
  <si>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</si>
  <si>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</si>
  <si>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</si>
  <si>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</si>
  <si>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</si>
  <si>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</si>
  <si>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</si>
  <si>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</si>
  <si>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</si>
  <si>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</si>
  <si>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</si>
  <si>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</si>
  <si>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</si>
  <si>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</si>
  <si>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</si>
  <si>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</si>
  <si>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</si>
  <si>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</si>
  <si>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</si>
  <si>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</si>
  <si>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</si>
  <si>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</si>
  <si>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</si>
  <si>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</si>
  <si>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</si>
  <si>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</si>
  <si>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</si>
  <si>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</si>
  <si>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</si>
  <si>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</si>
  <si>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</si>
  <si>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</si>
  <si>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</si>
  <si>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</si>
  <si>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</si>
  <si>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</si>
  <si>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</si>
  <si>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</si>
  <si>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</si>
  <si>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</si>
  <si>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</si>
  <si>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</si>
  <si>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</si>
  <si>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</si>
  <si>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</si>
  <si>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</si>
  <si>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</si>
  <si>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</si>
  <si>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</si>
  <si>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</si>
  <si>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</si>
  <si>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</si>
  <si>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</si>
  <si>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</si>
  <si>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</si>
  <si>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</si>
  <si>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</si>
  <si>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</si>
  <si>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</si>
  <si>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</si>
  <si>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</si>
  <si>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</si>
  <si>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</si>
  <si>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</si>
  <si>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</si>
  <si>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</si>
  <si>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</si>
  <si>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</si>
  <si>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</si>
  <si>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</si>
  <si>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</si>
  <si>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</si>
  <si>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</si>
  <si>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</si>
  <si>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</si>
  <si>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</si>
  <si>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</si>
  <si>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</si>
  <si>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</si>
  <si>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</si>
  <si>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</si>
  <si>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</si>
  <si>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</si>
  <si>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</si>
  <si>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</si>
  <si>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</si>
  <si>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</si>
  <si>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</si>
  <si>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</si>
  <si>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</si>
  <si>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</si>
  <si>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</si>
  <si>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</si>
  <si>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</si>
  <si>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</si>
  <si>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</si>
  <si>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</si>
  <si>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</si>
  <si>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</si>
  <si>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</si>
  <si>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</si>
  <si>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</si>
  <si>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</si>
  <si>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</si>
  <si>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</si>
  <si>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</si>
  <si>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</si>
  <si>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</si>
  <si>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</si>
  <si>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</si>
  <si>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</si>
  <si>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</si>
  <si>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</si>
  <si>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</si>
  <si>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</si>
  <si>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</si>
  <si>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</si>
  <si>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</si>
  <si>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</si>
  <si>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</si>
  <si>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</si>
  <si>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</si>
  <si>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</si>
  <si>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</si>
  <si>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</si>
  <si>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</si>
  <si>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</si>
  <si>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</si>
  <si>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</si>
  <si>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</si>
  <si>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</si>
  <si>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</si>
  <si>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</si>
  <si>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</si>
  <si>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</si>
  <si>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</si>
  <si>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</si>
  <si>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</si>
  <si>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</si>
  <si>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</si>
  <si>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</si>
  <si>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</si>
  <si>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</si>
  <si>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</si>
  <si>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</si>
  <si>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</si>
  <si>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</si>
  <si>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</si>
  <si>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</si>
  <si>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</si>
  <si>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</si>
  <si>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</si>
  <si>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</si>
  <si>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</si>
  <si>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</si>
  <si>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</si>
  <si>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</si>
  <si>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</si>
  <si>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</si>
  <si>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</si>
  <si>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</si>
  <si>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</si>
  <si>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</si>
  <si>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</si>
  <si>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</si>
  <si>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</si>
  <si>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</si>
  <si>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</si>
  <si>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</si>
  <si>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</si>
  <si>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</si>
  <si>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</si>
  <si>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</si>
  <si>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</si>
  <si>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</si>
  <si>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</si>
  <si>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</si>
  <si>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</si>
  <si>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</si>
  <si>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</si>
  <si>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</si>
  <si>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</si>
  <si>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</si>
  <si>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</si>
  <si>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</si>
  <si>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</si>
  <si>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</si>
  <si>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</si>
  <si>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</si>
  <si>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</si>
  <si>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</si>
  <si>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</si>
  <si>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</si>
  <si>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</si>
  <si>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</si>
  <si>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</si>
  <si>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</si>
  <si>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</si>
  <si>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</si>
  <si>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</si>
  <si>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</si>
  <si>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</si>
  <si>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</si>
  <si>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</si>
  <si>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</si>
  <si>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</si>
  <si>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</si>
  <si>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</si>
  <si>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</si>
  <si>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</si>
  <si>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</si>
  <si>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</si>
  <si>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</si>
  <si>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</si>
  <si>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</si>
  <si>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</si>
  <si>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</si>
  <si>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</si>
  <si>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</si>
  <si>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</si>
  <si>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</si>
  <si>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</si>
  <si>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</si>
  <si>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</si>
  <si>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</si>
  <si>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</si>
  <si>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</si>
  <si>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</si>
  <si>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</si>
  <si>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</si>
  <si>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</si>
  <si>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</si>
  <si>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</si>
  <si>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</si>
  <si>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</si>
  <si>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</si>
  <si>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</si>
  <si>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</si>
  <si>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</si>
  <si>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</si>
  <si>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</si>
  <si>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24104</t>
  </si>
  <si>
    <t>TERVUREN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</si>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</sst>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181490.67255787697</c:v>
                </c:pt>
                <c:pt idx="1">
                  <c:v>49264.844720117835</c:v>
                </c:pt>
                <c:pt idx="2">
                  <c:v>1327.9169999999999</c:v>
                </c:pt>
                <c:pt idx="3">
                  <c:v>6239.8716904752537</c:v>
                </c:pt>
                <c:pt idx="4">
                  <c:v>6439.8263422980208</c:v>
                </c:pt>
                <c:pt idx="5">
                  <c:v>211286.71342943775</c:v>
                </c:pt>
                <c:pt idx="6">
                  <c:v>4732.7204174754206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61312"/>
        <c:axId val="184083584"/>
      </c:barChart>
      <c:catAx>
        <c:axId val="184061312"/>
        <c:scaling>
          <c:orientation val="minMax"/>
        </c:scaling>
        <c:axPos val="b"/>
        <c:numFmt formatCode="General" sourceLinked="0"/>
        <c:tickLblPos val="nextTo"/>
        <c:crossAx val="184083584"/>
        <c:crosses val="autoZero"/>
        <c:auto val="1"/>
        <c:lblAlgn val="ctr"/>
        <c:lblOffset val="100"/>
      </c:catAx>
      <c:valAx>
        <c:axId val="184083584"/>
        <c:scaling>
          <c:orientation val="minMax"/>
        </c:scaling>
        <c:axPos val="l"/>
        <c:majorGridlines/>
        <c:numFmt formatCode="#,##0" sourceLinked="1"/>
        <c:tickLblPos val="nextTo"/>
        <c:crossAx val="1840613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181490.67255787697</c:v>
                </c:pt>
                <c:pt idx="1">
                  <c:v>49264.844720117835</c:v>
                </c:pt>
                <c:pt idx="2">
                  <c:v>1327.9169999999999</c:v>
                </c:pt>
                <c:pt idx="3">
                  <c:v>6239.8716904752537</c:v>
                </c:pt>
                <c:pt idx="4">
                  <c:v>6439.8263422980208</c:v>
                </c:pt>
                <c:pt idx="5">
                  <c:v>211286.71342943775</c:v>
                </c:pt>
                <c:pt idx="6">
                  <c:v>4732.7204174754206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36484.539640579154</c:v>
                </c:pt>
                <c:pt idx="1">
                  <c:v>9640.9029389336483</c:v>
                </c:pt>
                <c:pt idx="2">
                  <c:v>283.76701956632445</c:v>
                </c:pt>
                <c:pt idx="3">
                  <c:v>1302.2417325263091</c:v>
                </c:pt>
                <c:pt idx="4">
                  <c:v>1323.4093901031029</c:v>
                </c:pt>
                <c:pt idx="5">
                  <c:v>52896.421008678546</c:v>
                </c:pt>
                <c:pt idx="6">
                  <c:v>1195.4626041150063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86144"/>
        <c:axId val="184537088"/>
      </c:barChart>
      <c:catAx>
        <c:axId val="184486144"/>
        <c:scaling>
          <c:orientation val="minMax"/>
        </c:scaling>
        <c:axPos val="b"/>
        <c:numFmt formatCode="General" sourceLinked="0"/>
        <c:tickLblPos val="nextTo"/>
        <c:crossAx val="184537088"/>
        <c:crosses val="autoZero"/>
        <c:auto val="1"/>
        <c:lblAlgn val="ctr"/>
        <c:lblOffset val="100"/>
      </c:catAx>
      <c:valAx>
        <c:axId val="184537088"/>
        <c:scaling>
          <c:orientation val="minMax"/>
        </c:scaling>
        <c:axPos val="l"/>
        <c:majorGridlines/>
        <c:numFmt formatCode="#,##0" sourceLinked="1"/>
        <c:tickLblPos val="nextTo"/>
        <c:crossAx val="1844861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36484.539640579154</c:v>
                </c:pt>
                <c:pt idx="1">
                  <c:v>9640.9029389336483</c:v>
                </c:pt>
                <c:pt idx="2">
                  <c:v>283.76701956632445</c:v>
                </c:pt>
                <c:pt idx="3">
                  <c:v>1302.2417325263091</c:v>
                </c:pt>
                <c:pt idx="4">
                  <c:v>1323.4093901031029</c:v>
                </c:pt>
                <c:pt idx="5">
                  <c:v>52896.421008678546</c:v>
                </c:pt>
                <c:pt idx="6">
                  <c:v>1195.4626041150063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24104</v>
      </c>
      <c r="B6" s="416"/>
      <c r="C6" s="417"/>
    </row>
    <row r="7" spans="1:7" s="414" customFormat="1" ht="15.75" customHeight="1">
      <c r="A7" s="418" t="str">
        <f>txtMunicipality</f>
        <v>TERVUREN</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24104</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8418</v>
      </c>
      <c r="C9" s="342">
        <v>8822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752</v>
      </c>
    </row>
    <row r="15" spans="1:6">
      <c r="A15" s="348" t="s">
        <v>184</v>
      </c>
      <c r="B15" s="334">
        <v>0</v>
      </c>
    </row>
    <row r="16" spans="1:6">
      <c r="A16" s="348" t="s">
        <v>6</v>
      </c>
      <c r="B16" s="334">
        <v>34</v>
      </c>
    </row>
    <row r="17" spans="1:6">
      <c r="A17" s="348" t="s">
        <v>7</v>
      </c>
      <c r="B17" s="334">
        <v>68</v>
      </c>
    </row>
    <row r="18" spans="1:6">
      <c r="A18" s="348" t="s">
        <v>8</v>
      </c>
      <c r="B18" s="334">
        <v>175</v>
      </c>
    </row>
    <row r="19" spans="1:6">
      <c r="A19" s="348" t="s">
        <v>9</v>
      </c>
      <c r="B19" s="334">
        <v>269</v>
      </c>
    </row>
    <row r="20" spans="1:6">
      <c r="A20" s="348" t="s">
        <v>10</v>
      </c>
      <c r="B20" s="334">
        <v>105</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865</v>
      </c>
      <c r="B29" s="355">
        <v>152</v>
      </c>
      <c r="C29" s="356"/>
      <c r="D29" s="356"/>
      <c r="E29" s="356"/>
      <c r="F29" s="356"/>
    </row>
    <row r="30" spans="1:6">
      <c r="A30" s="341" t="s">
        <v>866</v>
      </c>
      <c r="B30" s="341">
        <v>16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5336.3689999999997</v>
      </c>
    </row>
    <row r="37" spans="1:6">
      <c r="A37" s="348" t="s">
        <v>25</v>
      </c>
      <c r="B37" s="348" t="s">
        <v>28</v>
      </c>
      <c r="C37" s="334">
        <v>0</v>
      </c>
      <c r="D37" s="334">
        <v>0</v>
      </c>
      <c r="E37" s="334">
        <v>0</v>
      </c>
      <c r="F37" s="334">
        <v>0</v>
      </c>
    </row>
    <row r="38" spans="1:6">
      <c r="A38" s="348" t="s">
        <v>25</v>
      </c>
      <c r="B38" s="348" t="s">
        <v>29</v>
      </c>
      <c r="C38" s="334">
        <v>2</v>
      </c>
      <c r="D38" s="334">
        <v>358779.89786122303</v>
      </c>
      <c r="E38" s="334">
        <v>1</v>
      </c>
      <c r="F38" s="334">
        <v>91360</v>
      </c>
    </row>
    <row r="39" spans="1:6">
      <c r="A39" s="348" t="s">
        <v>30</v>
      </c>
      <c r="B39" s="348" t="s">
        <v>31</v>
      </c>
      <c r="C39" s="334">
        <v>6415</v>
      </c>
      <c r="D39" s="334">
        <v>134340339.331117</v>
      </c>
      <c r="E39" s="334">
        <v>8465</v>
      </c>
      <c r="F39" s="334">
        <v>35674316</v>
      </c>
    </row>
    <row r="40" spans="1:6">
      <c r="A40" s="348" t="s">
        <v>30</v>
      </c>
      <c r="B40" s="348" t="s">
        <v>29</v>
      </c>
      <c r="C40" s="334">
        <v>0</v>
      </c>
      <c r="D40" s="334">
        <v>0</v>
      </c>
      <c r="E40" s="334">
        <v>0</v>
      </c>
      <c r="F40" s="334">
        <v>0</v>
      </c>
    </row>
    <row r="41" spans="1:6">
      <c r="A41" s="348" t="s">
        <v>32</v>
      </c>
      <c r="B41" s="348" t="s">
        <v>33</v>
      </c>
      <c r="C41" s="334">
        <v>40</v>
      </c>
      <c r="D41" s="334">
        <v>1152133.27971779</v>
      </c>
      <c r="E41" s="334">
        <v>81</v>
      </c>
      <c r="F41" s="334">
        <v>513745.3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5</v>
      </c>
      <c r="F44" s="334">
        <v>72566.899999999994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63846.085375210299</v>
      </c>
      <c r="E47" s="334">
        <v>3</v>
      </c>
      <c r="F47" s="334">
        <v>10350.1</v>
      </c>
    </row>
    <row r="48" spans="1:6">
      <c r="A48" s="348" t="s">
        <v>32</v>
      </c>
      <c r="B48" s="348" t="s">
        <v>29</v>
      </c>
      <c r="C48" s="334">
        <v>16</v>
      </c>
      <c r="D48" s="334">
        <v>323999.32166116597</v>
      </c>
      <c r="E48" s="334">
        <v>19</v>
      </c>
      <c r="F48" s="334">
        <v>290822.5</v>
      </c>
    </row>
    <row r="49" spans="1:6">
      <c r="A49" s="348" t="s">
        <v>32</v>
      </c>
      <c r="B49" s="348" t="s">
        <v>40</v>
      </c>
      <c r="C49" s="334">
        <v>0</v>
      </c>
      <c r="D49" s="334">
        <v>0</v>
      </c>
      <c r="E49" s="334">
        <v>0</v>
      </c>
      <c r="F49" s="334">
        <v>0</v>
      </c>
    </row>
    <row r="50" spans="1:6">
      <c r="A50" s="348" t="s">
        <v>32</v>
      </c>
      <c r="B50" s="348" t="s">
        <v>41</v>
      </c>
      <c r="C50" s="334">
        <v>7</v>
      </c>
      <c r="D50" s="334">
        <v>1022881.1058881</v>
      </c>
      <c r="E50" s="334">
        <v>12</v>
      </c>
      <c r="F50" s="334">
        <v>684076.3</v>
      </c>
    </row>
    <row r="51" spans="1:6">
      <c r="A51" s="348" t="s">
        <v>42</v>
      </c>
      <c r="B51" s="348" t="s">
        <v>43</v>
      </c>
      <c r="C51" s="334">
        <v>6</v>
      </c>
      <c r="D51" s="334">
        <v>108551.73835101401</v>
      </c>
      <c r="E51" s="334">
        <v>42</v>
      </c>
      <c r="F51" s="334">
        <v>196188.7</v>
      </c>
    </row>
    <row r="52" spans="1:6">
      <c r="A52" s="348" t="s">
        <v>42</v>
      </c>
      <c r="B52" s="348" t="s">
        <v>29</v>
      </c>
      <c r="C52" s="334">
        <v>2</v>
      </c>
      <c r="D52" s="334">
        <v>46123.999040497503</v>
      </c>
      <c r="E52" s="334">
        <v>4</v>
      </c>
      <c r="F52" s="334">
        <v>12597.58</v>
      </c>
    </row>
    <row r="53" spans="1:6">
      <c r="A53" s="348" t="s">
        <v>44</v>
      </c>
      <c r="B53" s="348" t="s">
        <v>45</v>
      </c>
      <c r="C53" s="334">
        <v>223</v>
      </c>
      <c r="D53" s="334">
        <v>5906756.3153922502</v>
      </c>
      <c r="E53" s="334">
        <v>345</v>
      </c>
      <c r="F53" s="334">
        <v>1614759</v>
      </c>
    </row>
    <row r="54" spans="1:6">
      <c r="A54" s="348" t="s">
        <v>46</v>
      </c>
      <c r="B54" s="348" t="s">
        <v>47</v>
      </c>
      <c r="C54" s="334">
        <v>0</v>
      </c>
      <c r="D54" s="334">
        <v>0</v>
      </c>
      <c r="E54" s="334">
        <v>1</v>
      </c>
      <c r="F54" s="334">
        <v>1327917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36</v>
      </c>
      <c r="D57" s="334">
        <v>2651880.7565641999</v>
      </c>
      <c r="E57" s="334">
        <v>78</v>
      </c>
      <c r="F57" s="334">
        <v>4557199</v>
      </c>
    </row>
    <row r="58" spans="1:6">
      <c r="A58" s="348" t="s">
        <v>49</v>
      </c>
      <c r="B58" s="348" t="s">
        <v>51</v>
      </c>
      <c r="C58" s="334">
        <v>39</v>
      </c>
      <c r="D58" s="334">
        <v>1045412.716534</v>
      </c>
      <c r="E58" s="334">
        <v>47</v>
      </c>
      <c r="F58" s="334">
        <v>359974.8</v>
      </c>
    </row>
    <row r="59" spans="1:6">
      <c r="A59" s="348" t="s">
        <v>49</v>
      </c>
      <c r="B59" s="348" t="s">
        <v>52</v>
      </c>
      <c r="C59" s="334">
        <v>51</v>
      </c>
      <c r="D59" s="334">
        <v>2167598.13639803</v>
      </c>
      <c r="E59" s="334">
        <v>122</v>
      </c>
      <c r="F59" s="334">
        <v>3928121</v>
      </c>
    </row>
    <row r="60" spans="1:6">
      <c r="A60" s="348" t="s">
        <v>49</v>
      </c>
      <c r="B60" s="348" t="s">
        <v>53</v>
      </c>
      <c r="C60" s="334">
        <v>36</v>
      </c>
      <c r="D60" s="334">
        <v>1262830.8475581701</v>
      </c>
      <c r="E60" s="334">
        <v>48</v>
      </c>
      <c r="F60" s="334">
        <v>754607.3</v>
      </c>
    </row>
    <row r="61" spans="1:6">
      <c r="A61" s="348" t="s">
        <v>49</v>
      </c>
      <c r="B61" s="348" t="s">
        <v>54</v>
      </c>
      <c r="C61" s="334">
        <v>264</v>
      </c>
      <c r="D61" s="334">
        <v>15968250.1668979</v>
      </c>
      <c r="E61" s="334">
        <v>467</v>
      </c>
      <c r="F61" s="334">
        <v>6258292</v>
      </c>
    </row>
    <row r="62" spans="1:6">
      <c r="A62" s="348" t="s">
        <v>49</v>
      </c>
      <c r="B62" s="348" t="s">
        <v>55</v>
      </c>
      <c r="C62" s="334">
        <v>8</v>
      </c>
      <c r="D62" s="334">
        <v>545275.874944143</v>
      </c>
      <c r="E62" s="334">
        <v>14</v>
      </c>
      <c r="F62" s="334">
        <v>323195.09999999998</v>
      </c>
    </row>
    <row r="63" spans="1:6">
      <c r="A63" s="348" t="s">
        <v>49</v>
      </c>
      <c r="B63" s="348" t="s">
        <v>29</v>
      </c>
      <c r="C63" s="334">
        <v>86</v>
      </c>
      <c r="D63" s="334">
        <v>3212320.4377354402</v>
      </c>
      <c r="E63" s="334">
        <v>85</v>
      </c>
      <c r="F63" s="334">
        <v>2318429</v>
      </c>
    </row>
    <row r="64" spans="1:6">
      <c r="A64" s="348" t="s">
        <v>56</v>
      </c>
      <c r="B64" s="348" t="s">
        <v>57</v>
      </c>
      <c r="C64" s="334">
        <v>0</v>
      </c>
      <c r="D64" s="334">
        <v>0</v>
      </c>
      <c r="E64" s="334">
        <v>0</v>
      </c>
      <c r="F64" s="334">
        <v>0</v>
      </c>
    </row>
    <row r="65" spans="1:6">
      <c r="A65" s="348" t="s">
        <v>56</v>
      </c>
      <c r="B65" s="348" t="s">
        <v>29</v>
      </c>
      <c r="C65" s="334">
        <v>4</v>
      </c>
      <c r="D65" s="334">
        <v>102633.84076916501</v>
      </c>
      <c r="E65" s="334">
        <v>3</v>
      </c>
      <c r="F65" s="334">
        <v>16715.05</v>
      </c>
    </row>
    <row r="66" spans="1:6">
      <c r="A66" s="348" t="s">
        <v>56</v>
      </c>
      <c r="B66" s="348" t="s">
        <v>58</v>
      </c>
      <c r="C66" s="334">
        <v>0</v>
      </c>
      <c r="D66" s="334">
        <v>0</v>
      </c>
      <c r="E66" s="334">
        <v>11</v>
      </c>
      <c r="F66" s="334">
        <v>104015.3</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57796931</v>
      </c>
      <c r="E73" s="477">
        <v>59240431.933905996</v>
      </c>
    </row>
    <row r="74" spans="1:6">
      <c r="A74" s="348" t="s">
        <v>64</v>
      </c>
      <c r="B74" s="348" t="s">
        <v>714</v>
      </c>
      <c r="C74" s="1288" t="s">
        <v>716</v>
      </c>
      <c r="D74" s="477">
        <v>787120.05644601677</v>
      </c>
      <c r="E74" s="477">
        <v>784873.73221503571</v>
      </c>
    </row>
    <row r="75" spans="1:6">
      <c r="A75" s="348" t="s">
        <v>65</v>
      </c>
      <c r="B75" s="348" t="s">
        <v>713</v>
      </c>
      <c r="C75" s="1288" t="s">
        <v>717</v>
      </c>
      <c r="D75" s="477">
        <v>54442877</v>
      </c>
      <c r="E75" s="477">
        <v>55857780.414064012</v>
      </c>
    </row>
    <row r="76" spans="1:6">
      <c r="A76" s="348" t="s">
        <v>65</v>
      </c>
      <c r="B76" s="348" t="s">
        <v>714</v>
      </c>
      <c r="C76" s="1288" t="s">
        <v>718</v>
      </c>
      <c r="D76" s="477">
        <v>144840.05644601677</v>
      </c>
      <c r="E76" s="477">
        <v>170205.9923094007</v>
      </c>
    </row>
    <row r="77" spans="1:6">
      <c r="A77" s="348" t="s">
        <v>66</v>
      </c>
      <c r="B77" s="348" t="s">
        <v>713</v>
      </c>
      <c r="C77" s="1288" t="s">
        <v>719</v>
      </c>
      <c r="D77" s="477">
        <v>139041428</v>
      </c>
      <c r="E77" s="477">
        <v>144489834.35569435</v>
      </c>
    </row>
    <row r="78" spans="1:6">
      <c r="A78" s="341" t="s">
        <v>66</v>
      </c>
      <c r="B78" s="341" t="s">
        <v>714</v>
      </c>
      <c r="C78" s="341" t="s">
        <v>720</v>
      </c>
      <c r="D78" s="1284">
        <v>12200836</v>
      </c>
      <c r="E78" s="1284">
        <v>12677874.305459997</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1264695.8871079665</v>
      </c>
      <c r="C83" s="477">
        <v>1257136.3092332305</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1918.6881596046815</v>
      </c>
    </row>
    <row r="92" spans="1:6">
      <c r="A92" s="341" t="s">
        <v>69</v>
      </c>
      <c r="B92" s="342">
        <v>39.745414442193947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4567</v>
      </c>
    </row>
    <row r="98" spans="1:6">
      <c r="A98" s="348" t="s">
        <v>72</v>
      </c>
      <c r="B98" s="334">
        <v>3</v>
      </c>
    </row>
    <row r="99" spans="1:6">
      <c r="A99" s="348" t="s">
        <v>73</v>
      </c>
      <c r="B99" s="334">
        <v>27</v>
      </c>
    </row>
    <row r="100" spans="1:6">
      <c r="A100" s="348" t="s">
        <v>74</v>
      </c>
      <c r="B100" s="334">
        <v>358</v>
      </c>
    </row>
    <row r="101" spans="1:6">
      <c r="A101" s="348" t="s">
        <v>75</v>
      </c>
      <c r="B101" s="334">
        <v>36</v>
      </c>
    </row>
    <row r="102" spans="1:6">
      <c r="A102" s="348" t="s">
        <v>76</v>
      </c>
      <c r="B102" s="334">
        <v>91</v>
      </c>
    </row>
    <row r="103" spans="1:6">
      <c r="A103" s="348" t="s">
        <v>77</v>
      </c>
      <c r="B103" s="334">
        <v>63</v>
      </c>
    </row>
    <row r="104" spans="1:6">
      <c r="A104" s="348" t="s">
        <v>78</v>
      </c>
      <c r="B104" s="334">
        <v>2221</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19</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127</v>
      </c>
    </row>
    <row r="130" spans="1:6">
      <c r="A130" s="348" t="s">
        <v>295</v>
      </c>
      <c r="B130" s="334">
        <v>2</v>
      </c>
    </row>
    <row r="131" spans="1:6">
      <c r="A131" s="348" t="s">
        <v>296</v>
      </c>
      <c r="B131" s="334">
        <v>2</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59235.525717783683</v>
      </c>
      <c r="C3" s="43" t="s">
        <v>170</v>
      </c>
      <c r="D3" s="43"/>
      <c r="E3" s="154"/>
      <c r="F3" s="43"/>
      <c r="G3" s="43"/>
      <c r="H3" s="43"/>
      <c r="I3" s="43"/>
      <c r="J3" s="43"/>
      <c r="K3" s="96"/>
    </row>
    <row r="4" spans="1:11">
      <c r="A4" s="384" t="s">
        <v>171</v>
      </c>
      <c r="B4" s="49">
        <f>IF(ISERROR('SEAP template'!B69),0,'SEAP template'!B69)</f>
        <v>1958.4335740468755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0.21369334044697405</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1327.9169999999999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1327.9169999999999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0.21369334044697405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283.76701956632445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35674.315999999999</v>
      </c>
      <c r="C5" s="17">
        <f>IF(ISERROR('Eigen informatie GS &amp; warmtenet'!B57),0,'Eigen informatie GS &amp; warmtenet'!B57)</f>
        <v>0</v>
      </c>
      <c r="D5" s="30">
        <f>(SUM(HH_hh_gas_kWh,HH_rest_gas_kWh)/1000)*0.902</f>
        <v>121174.98607666753</v>
      </c>
      <c r="E5" s="17">
        <f>B46*B57</f>
        <v>1355.1566579826065</v>
      </c>
      <c r="F5" s="17">
        <f>B51*B62</f>
        <v>13731.075863023778</v>
      </c>
      <c r="G5" s="18"/>
      <c r="H5" s="17"/>
      <c r="I5" s="17"/>
      <c r="J5" s="17">
        <f>B50*B61+C50*C61</f>
        <v>0</v>
      </c>
      <c r="K5" s="17"/>
      <c r="L5" s="17"/>
      <c r="M5" s="17"/>
      <c r="N5" s="17">
        <f>B48*B59+C48*C59</f>
        <v>6852.1431339316941</v>
      </c>
      <c r="O5" s="17">
        <f>B69*B70*B71</f>
        <v>231.37333333333333</v>
      </c>
      <c r="P5" s="17">
        <f>B77*B78*B79/1000-B77*B78*B79/1000/B80</f>
        <v>552.93333333333339</v>
      </c>
    </row>
    <row r="6" spans="1:16">
      <c r="A6" s="16" t="s">
        <v>631</v>
      </c>
      <c r="B6" s="844">
        <f>kWh_PV_kleiner_dan_10kW</f>
        <v>1918.6881596046815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37593.004159604679</v>
      </c>
      <c r="C8" s="21">
        <f>C5</f>
        <v>0</v>
      </c>
      <c r="D8" s="21">
        <f>D5</f>
        <v>121174.98607666753</v>
      </c>
      <c r="E8" s="21">
        <f>E5</f>
        <v>1355.1566579826065</v>
      </c>
      <c r="F8" s="21">
        <f>F5</f>
        <v>13731.075863023778</v>
      </c>
      <c r="G8" s="21"/>
      <c r="H8" s="21"/>
      <c r="I8" s="21"/>
      <c r="J8" s="21">
        <f>J5</f>
        <v>0</v>
      </c>
      <c r="K8" s="21"/>
      <c r="L8" s="21">
        <f>L5</f>
        <v>0</v>
      </c>
      <c r="M8" s="21">
        <f>M5</f>
        <v>0</v>
      </c>
      <c r="N8" s="21">
        <f>N5</f>
        <v>6852.1431339316941</v>
      </c>
      <c r="O8" s="21">
        <f>O5</f>
        <v>231.37333333333333</v>
      </c>
      <c r="P8" s="21">
        <f>P5</f>
        <v>552.93333333333339</v>
      </c>
    </row>
    <row r="9" spans="1:16">
      <c r="B9" s="19"/>
      <c r="C9" s="19"/>
      <c r="D9" s="258"/>
      <c r="E9" s="19"/>
      <c r="F9" s="19"/>
      <c r="G9" s="19"/>
      <c r="H9" s="19"/>
      <c r="I9" s="19"/>
      <c r="J9" s="19"/>
      <c r="K9" s="19"/>
      <c r="L9" s="19"/>
      <c r="M9" s="19"/>
      <c r="N9" s="19"/>
      <c r="O9" s="19"/>
      <c r="P9" s="19"/>
    </row>
    <row r="10" spans="1:16">
      <c r="A10" s="24" t="s">
        <v>214</v>
      </c>
      <c r="B10" s="25">
        <f ca="1">'EF ele_warmte'!B12</f>
        <v>0.21369334044697405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8033.374636302914</v>
      </c>
      <c r="C12" s="23">
        <f ca="1">C10*C8</f>
        <v>0</v>
      </c>
      <c r="D12" s="23">
        <f>D8*D10</f>
        <v>24477.347187486841</v>
      </c>
      <c r="E12" s="23">
        <f>E10*E8</f>
        <v>307.62056136205166</v>
      </c>
      <c r="F12" s="23">
        <f>F10*F8</f>
        <v>3666.1972554273489</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4567</v>
      </c>
      <c r="C18" s="166" t="s">
        <v>111</v>
      </c>
      <c r="D18" s="228"/>
      <c r="E18" s="15"/>
    </row>
    <row r="19" spans="1:7">
      <c r="A19" s="171" t="s">
        <v>72</v>
      </c>
      <c r="B19" s="37">
        <f>aantalw2001_ander</f>
        <v>3</v>
      </c>
      <c r="C19" s="166" t="s">
        <v>111</v>
      </c>
      <c r="D19" s="229"/>
      <c r="E19" s="15"/>
    </row>
    <row r="20" spans="1:7">
      <c r="A20" s="171" t="s">
        <v>73</v>
      </c>
      <c r="B20" s="37">
        <f>aantalw2001_propaan</f>
        <v>27</v>
      </c>
      <c r="C20" s="167">
        <f>IF(ISERROR(B20/SUM($B$20,$B$21,$B$22)*100),0,B20/SUM($B$20,$B$21,$B$22)*100)</f>
        <v>6.4133016627078394</v>
      </c>
      <c r="D20" s="229"/>
      <c r="E20" s="15"/>
    </row>
    <row r="21" spans="1:7">
      <c r="A21" s="171" t="s">
        <v>74</v>
      </c>
      <c r="B21" s="37">
        <f>aantalw2001_elektriciteit</f>
        <v>358</v>
      </c>
      <c r="C21" s="167">
        <f>IF(ISERROR(B21/SUM($B$20,$B$21,$B$22)*100),0,B21/SUM($B$20,$B$21,$B$22)*100)</f>
        <v>85.035629453681707</v>
      </c>
      <c r="D21" s="229"/>
      <c r="E21" s="15"/>
    </row>
    <row r="22" spans="1:7">
      <c r="A22" s="171" t="s">
        <v>75</v>
      </c>
      <c r="B22" s="37">
        <f>aantalw2001_hout</f>
        <v>36</v>
      </c>
      <c r="C22" s="167">
        <f>IF(ISERROR(B22/SUM($B$20,$B$21,$B$22)*100),0,B22/SUM($B$20,$B$21,$B$22)*100)</f>
        <v>8.5510688836104514</v>
      </c>
      <c r="D22" s="229"/>
      <c r="E22" s="15"/>
    </row>
    <row r="23" spans="1:7">
      <c r="A23" s="171" t="s">
        <v>76</v>
      </c>
      <c r="B23" s="37">
        <f>aantalw2001_niet_gespec</f>
        <v>91</v>
      </c>
      <c r="C23" s="166" t="s">
        <v>111</v>
      </c>
      <c r="D23" s="228"/>
      <c r="E23" s="15"/>
    </row>
    <row r="24" spans="1:7">
      <c r="A24" s="171" t="s">
        <v>77</v>
      </c>
      <c r="B24" s="37">
        <f>aantalw2001_steenkool</f>
        <v>63</v>
      </c>
      <c r="C24" s="166" t="s">
        <v>111</v>
      </c>
      <c r="D24" s="229"/>
      <c r="E24" s="15"/>
    </row>
    <row r="25" spans="1:7">
      <c r="A25" s="171" t="s">
        <v>78</v>
      </c>
      <c r="B25" s="37">
        <f>aantalw2001_stookolie</f>
        <v>2221</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8418</v>
      </c>
      <c r="C28" s="36"/>
      <c r="D28" s="228"/>
    </row>
    <row r="29" spans="1:7" s="15" customFormat="1">
      <c r="A29" s="230" t="s">
        <v>741</v>
      </c>
      <c r="B29" s="37">
        <f>SUM(HH_hh_gas_aantal,HH_rest_gas_aantal)</f>
        <v>6415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6415</v>
      </c>
      <c r="C32" s="167">
        <f>IF(ISERROR(B32/SUM($B$32,$B$34,$B$35,$B$36,$B$38,$B$39)*100),0,B32/SUM($B$32,$B$34,$B$35,$B$36,$B$38,$B$39)*100)</f>
        <v>76.469185838598165</v>
      </c>
      <c r="D32" s="233"/>
      <c r="G32" s="15"/>
    </row>
    <row r="33" spans="1:7">
      <c r="A33" s="171" t="s">
        <v>72</v>
      </c>
      <c r="B33" s="34" t="s">
        <v>111</v>
      </c>
      <c r="C33" s="167"/>
      <c r="D33" s="233"/>
      <c r="G33" s="15"/>
    </row>
    <row r="34" spans="1:7">
      <c r="A34" s="171" t="s">
        <v>73</v>
      </c>
      <c r="B34" s="33">
        <f>IF((($B$28-$B$32-$B$39-$B$77-$B$38)*C20/100)&lt;0,0,($B$28-$B$32-$B$39-$B$77-$B$38)*C20/100)</f>
        <v>90.825178147268417</v>
      </c>
      <c r="C34" s="167">
        <f>IF(ISERROR(B34/SUM($B$32,$B$34,$B$35,$B$36,$B$38,$B$39)*100),0,B34/SUM($B$32,$B$34,$B$35,$B$36,$B$38,$B$39)*100)</f>
        <v>1.0826699028164073</v>
      </c>
      <c r="D34" s="233"/>
      <c r="G34" s="15"/>
    </row>
    <row r="35" spans="1:7">
      <c r="A35" s="171" t="s">
        <v>74</v>
      </c>
      <c r="B35" s="33">
        <f>IF((($B$28-$B$32-$B$39-$B$77-$B$38)*C21/100)&lt;0,0,($B$28-$B$32-$B$39-$B$77-$B$38)*C21/100)</f>
        <v>1204.2745843230402</v>
      </c>
      <c r="C35" s="167">
        <f>IF(ISERROR(B35/SUM($B$32,$B$34,$B$35,$B$36,$B$38,$B$39)*100),0,B35/SUM($B$32,$B$34,$B$35,$B$36,$B$38,$B$39)*100)</f>
        <v>14.355400933639769</v>
      </c>
      <c r="D35" s="233"/>
      <c r="G35" s="15"/>
    </row>
    <row r="36" spans="1:7">
      <c r="A36" s="171" t="s">
        <v>75</v>
      </c>
      <c r="B36" s="33">
        <f>IF((($B$28-$B$32-$B$39-$B$77-$B$38)*C22/100)&lt;0,0,($B$28-$B$32-$B$39-$B$77-$B$38)*C22/100)</f>
        <v>121.10023752969123</v>
      </c>
      <c r="C36" s="167">
        <f>IF(ISERROR(B36/SUM($B$32,$B$34,$B$35,$B$36,$B$38,$B$39)*100),0,B36/SUM($B$32,$B$34,$B$35,$B$36,$B$38,$B$39)*100)</f>
        <v>1.4435598704218766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557.79999999999995</v>
      </c>
      <c r="C39" s="167">
        <f>IF(ISERROR(B39/SUM($B$32,$B$34,$B$35,$B$36,$B$38,$B$39)*100),0,B39/SUM($B$32,$B$34,$B$35,$B$36,$B$38,$B$39)*100)</f>
        <v>6.6491834545237811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6415</v>
      </c>
      <c r="C44" s="34" t="s">
        <v>111</v>
      </c>
      <c r="D44" s="174"/>
    </row>
    <row r="45" spans="1:7">
      <c r="A45" s="171" t="s">
        <v>72</v>
      </c>
      <c r="B45" s="33" t="str">
        <f t="shared" si="0"/>
        <v>-</v>
      </c>
      <c r="C45" s="34" t="s">
        <v>111</v>
      </c>
      <c r="D45" s="174"/>
    </row>
    <row r="46" spans="1:7">
      <c r="A46" s="171" t="s">
        <v>73</v>
      </c>
      <c r="B46" s="33">
        <f t="shared" si="0"/>
        <v>90.825178147268417</v>
      </c>
      <c r="C46" s="34" t="s">
        <v>111</v>
      </c>
      <c r="D46" s="174"/>
    </row>
    <row r="47" spans="1:7">
      <c r="A47" s="171" t="s">
        <v>74</v>
      </c>
      <c r="B47" s="33">
        <f t="shared" si="0"/>
        <v>1204.2745843230402</v>
      </c>
      <c r="C47" s="34" t="s">
        <v>111</v>
      </c>
      <c r="D47" s="174"/>
    </row>
    <row r="48" spans="1:7">
      <c r="A48" s="171" t="s">
        <v>75</v>
      </c>
      <c r="B48" s="33">
        <f t="shared" si="0"/>
        <v>121.10023752969123</v>
      </c>
      <c r="C48" s="33">
        <f>B48*10</f>
        <v>1211.0023752969123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557.79999999999995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18499.818200000002</v>
      </c>
      <c r="C5" s="17">
        <f>IF(ISERROR('Eigen informatie GS &amp; warmtenet'!B58),0,'Eigen informatie GS &amp; warmtenet'!B58)</f>
        <v>0</v>
      </c>
      <c r="D5" s="30">
        <f>SUM(D6:D12)</f>
        <v>24221.919180841956</v>
      </c>
      <c r="E5" s="17">
        <f>SUM(E6:E12)</f>
        <v>129.08778865080285</v>
      </c>
      <c r="F5" s="17">
        <f>SUM(F6:F12)</f>
        <v>2866.9827249442492</v>
      </c>
      <c r="G5" s="18"/>
      <c r="H5" s="17"/>
      <c r="I5" s="17"/>
      <c r="J5" s="17">
        <f>SUM(J6:J12)</f>
        <v>0</v>
      </c>
      <c r="K5" s="17"/>
      <c r="L5" s="17"/>
      <c r="M5" s="17"/>
      <c r="N5" s="17">
        <f>SUM(N6:N12)</f>
        <v>3505.7768256808313</v>
      </c>
      <c r="O5" s="17">
        <f>B38*B39*B40</f>
        <v>3.1266666666666669</v>
      </c>
      <c r="P5" s="17">
        <f>B46*B47*B48/1000-B46*B47*B48/1000/B49</f>
        <v>38.133333333333333</v>
      </c>
      <c r="R5" s="32"/>
    </row>
    <row r="6" spans="1:18">
      <c r="A6" s="32" t="s">
        <v>54</v>
      </c>
      <c r="B6" s="37">
        <f>B26</f>
        <v>6258.2920000000004</v>
      </c>
      <c r="C6" s="33"/>
      <c r="D6" s="37">
        <f>IF(ISERROR(TER_kantoor_gas_kWh/1000),0,TER_kantoor_gas_kWh/1000)*0.902</f>
        <v>14403.361650541907</v>
      </c>
      <c r="E6" s="33">
        <f>$C$26*'E Balans VL '!I12/100/3.6*1000000</f>
        <v>18.131190145633429</v>
      </c>
      <c r="F6" s="33">
        <f>$C$26*('E Balans VL '!L12+'E Balans VL '!N12)/100/3.6*1000000</f>
        <v>708.30077353701324</v>
      </c>
      <c r="G6" s="34"/>
      <c r="H6" s="33"/>
      <c r="I6" s="33"/>
      <c r="J6" s="33">
        <f>$C$26*('E Balans VL '!D12+'E Balans VL '!E12)/100/3.6*1000000</f>
        <v>0</v>
      </c>
      <c r="K6" s="33"/>
      <c r="L6" s="33"/>
      <c r="M6" s="33"/>
      <c r="N6" s="33">
        <f>$C$26*'E Balans VL '!Y12/100/3.6*1000000</f>
        <v>62.64089160456485</v>
      </c>
      <c r="O6" s="33"/>
      <c r="P6" s="33"/>
      <c r="R6" s="32"/>
    </row>
    <row r="7" spans="1:18">
      <c r="A7" s="32" t="s">
        <v>53</v>
      </c>
      <c r="B7" s="37">
        <f t="shared" ref="B7:B12" si="0">B27</f>
        <v>754.60730000000001</v>
      </c>
      <c r="C7" s="33"/>
      <c r="D7" s="37">
        <f>IF(ISERROR(TER_horeca_gas_kWh/1000),0,TER_horeca_gas_kWh/1000)*0.902</f>
        <v>1139.0734244974694</v>
      </c>
      <c r="E7" s="33">
        <f>$C$27*'E Balans VL '!I9/100/3.6*1000000</f>
        <v>31.6763061228725</v>
      </c>
      <c r="F7" s="33">
        <f>$C$27*('E Balans VL '!L9+'E Balans VL '!N9)/100/3.6*1000000</f>
        <v>162.14285308513749</v>
      </c>
      <c r="G7" s="34"/>
      <c r="H7" s="33"/>
      <c r="I7" s="33"/>
      <c r="J7" s="33">
        <f>$C$27*('E Balans VL '!D9+'E Balans VL '!E9)/100/3.6*1000000</f>
        <v>0</v>
      </c>
      <c r="K7" s="33"/>
      <c r="L7" s="33"/>
      <c r="M7" s="33"/>
      <c r="N7" s="33">
        <f>$C$27*'E Balans VL '!Y9/100/3.6*1000000</f>
        <v>0.19445570192975736</v>
      </c>
      <c r="O7" s="33"/>
      <c r="P7" s="33"/>
      <c r="R7" s="32"/>
    </row>
    <row r="8" spans="1:18">
      <c r="A8" s="6" t="s">
        <v>52</v>
      </c>
      <c r="B8" s="37">
        <f t="shared" si="0"/>
        <v>3928.1210000000001</v>
      </c>
      <c r="C8" s="33"/>
      <c r="D8" s="37">
        <f>IF(ISERROR(TER_handel_gas_kWh/1000),0,TER_handel_gas_kWh/1000)*0.902</f>
        <v>1955.173519031023</v>
      </c>
      <c r="E8" s="33">
        <f>$C$28*'E Balans VL '!I13/100/3.6*1000000</f>
        <v>42.191288822173753</v>
      </c>
      <c r="F8" s="33">
        <f>$C$28*('E Balans VL '!L13+'E Balans VL '!N13)/100/3.6*1000000</f>
        <v>508.52770120452038</v>
      </c>
      <c r="G8" s="34"/>
      <c r="H8" s="33"/>
      <c r="I8" s="33"/>
      <c r="J8" s="33">
        <f>$C$28*('E Balans VL '!D13+'E Balans VL '!E13)/100/3.6*1000000</f>
        <v>0</v>
      </c>
      <c r="K8" s="33"/>
      <c r="L8" s="33"/>
      <c r="M8" s="33"/>
      <c r="N8" s="33">
        <f>$C$28*'E Balans VL '!Y13/100/3.6*1000000</f>
        <v>31.865132036732291</v>
      </c>
      <c r="O8" s="33"/>
      <c r="P8" s="33"/>
      <c r="R8" s="32"/>
    </row>
    <row r="9" spans="1:18">
      <c r="A9" s="32" t="s">
        <v>51</v>
      </c>
      <c r="B9" s="37">
        <f t="shared" si="0"/>
        <v>359.97480000000002</v>
      </c>
      <c r="C9" s="33"/>
      <c r="D9" s="37">
        <f>IF(ISERROR(TER_gezond_gas_kWh/1000),0,TER_gezond_gas_kWh/1000)*0.902</f>
        <v>942.96227031366811</v>
      </c>
      <c r="E9" s="33">
        <f>$C$29*'E Balans VL '!I10/100/3.6*1000000</f>
        <v>0.28656322334630613</v>
      </c>
      <c r="F9" s="33">
        <f>$C$29*('E Balans VL '!L10+'E Balans VL '!N10)/100/3.6*1000000</f>
        <v>43.760139044415652</v>
      </c>
      <c r="G9" s="34"/>
      <c r="H9" s="33"/>
      <c r="I9" s="33"/>
      <c r="J9" s="33">
        <f>$C$29*('E Balans VL '!D10+'E Balans VL '!E10)/100/3.6*1000000</f>
        <v>0</v>
      </c>
      <c r="K9" s="33"/>
      <c r="L9" s="33"/>
      <c r="M9" s="33"/>
      <c r="N9" s="33">
        <f>$C$29*'E Balans VL '!Y10/100/3.6*1000000</f>
        <v>2.9077810653428404</v>
      </c>
      <c r="O9" s="33"/>
      <c r="P9" s="33"/>
      <c r="R9" s="32"/>
    </row>
    <row r="10" spans="1:18">
      <c r="A10" s="32" t="s">
        <v>50</v>
      </c>
      <c r="B10" s="37">
        <f t="shared" si="0"/>
        <v>4557.1989999999996</v>
      </c>
      <c r="C10" s="33"/>
      <c r="D10" s="37">
        <f>IF(ISERROR(TER_ander_gas_kWh/1000),0,TER_ander_gas_kWh/1000)*0.902</f>
        <v>2391.9964424209084</v>
      </c>
      <c r="E10" s="33">
        <f>$C$30*'E Balans VL '!I14/100/3.6*1000000</f>
        <v>15.617760377547157</v>
      </c>
      <c r="F10" s="33">
        <f>$C$30*('E Balans VL '!L14+'E Balans VL '!N14)/100/3.6*1000000</f>
        <v>1017.8930738465205</v>
      </c>
      <c r="G10" s="34"/>
      <c r="H10" s="33"/>
      <c r="I10" s="33"/>
      <c r="J10" s="33">
        <f>$C$30*('E Balans VL '!D14+'E Balans VL '!E14)/100/3.6*1000000</f>
        <v>0</v>
      </c>
      <c r="K10" s="33"/>
      <c r="L10" s="33"/>
      <c r="M10" s="33"/>
      <c r="N10" s="33">
        <f>$C$30*'E Balans VL '!Y14/100/3.6*1000000</f>
        <v>3210.115871091497</v>
      </c>
      <c r="O10" s="33"/>
      <c r="P10" s="33"/>
      <c r="R10" s="32"/>
    </row>
    <row r="11" spans="1:18">
      <c r="A11" s="32" t="s">
        <v>55</v>
      </c>
      <c r="B11" s="37">
        <f t="shared" si="0"/>
        <v>323.19509999999997</v>
      </c>
      <c r="C11" s="33"/>
      <c r="D11" s="37">
        <f>IF(ISERROR(TER_onderwijs_gas_kWh/1000),0,TER_onderwijs_gas_kWh/1000)*0.902</f>
        <v>491.83883919961698</v>
      </c>
      <c r="E11" s="33">
        <f>$C$31*'E Balans VL '!I11/100/3.6*1000000</f>
        <v>0.22341481900428267</v>
      </c>
      <c r="F11" s="33">
        <f>$C$31*('E Balans VL '!L11+'E Balans VL '!N11)/100/3.6*1000000</f>
        <v>84.60308899934833</v>
      </c>
      <c r="G11" s="34"/>
      <c r="H11" s="33"/>
      <c r="I11" s="33"/>
      <c r="J11" s="33">
        <f>$C$31*('E Balans VL '!D11+'E Balans VL '!E11)/100/3.6*1000000</f>
        <v>0</v>
      </c>
      <c r="K11" s="33"/>
      <c r="L11" s="33"/>
      <c r="M11" s="33"/>
      <c r="N11" s="33">
        <f>$C$31*'E Balans VL '!Y11/100/3.6*1000000</f>
        <v>0.32171319443876301</v>
      </c>
      <c r="O11" s="33"/>
      <c r="P11" s="33"/>
      <c r="R11" s="32"/>
    </row>
    <row r="12" spans="1:18">
      <c r="A12" s="32" t="s">
        <v>260</v>
      </c>
      <c r="B12" s="37">
        <f t="shared" si="0"/>
        <v>2318.4290000000001</v>
      </c>
      <c r="C12" s="33"/>
      <c r="D12" s="37">
        <f>IF(ISERROR(TER_rest_gas_kWh/1000),0,TER_rest_gas_kWh/1000)*0.902</f>
        <v>2897.5130348373668</v>
      </c>
      <c r="E12" s="33">
        <f>$C$32*'E Balans VL '!I8/100/3.6*1000000</f>
        <v>20.961265140225429</v>
      </c>
      <c r="F12" s="33">
        <f>$C$32*('E Balans VL '!L8+'E Balans VL '!N8)/100/3.6*1000000</f>
        <v>341.75509522729351</v>
      </c>
      <c r="G12" s="34"/>
      <c r="H12" s="33"/>
      <c r="I12" s="33"/>
      <c r="J12" s="33">
        <f>$C$32*('E Balans VL '!D8+'E Balans VL '!E8)/100/3.6*1000000</f>
        <v>0</v>
      </c>
      <c r="K12" s="33"/>
      <c r="L12" s="33"/>
      <c r="M12" s="33"/>
      <c r="N12" s="33">
        <f>$C$32*'E Balans VL '!Y8/100/3.6*1000000</f>
        <v>197.73098098632599</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18499.818200000002</v>
      </c>
      <c r="C16" s="21">
        <f t="shared" ca="1" si="1"/>
        <v>0</v>
      </c>
      <c r="D16" s="21">
        <f t="shared" ca="1" si="1"/>
        <v>24221.919180841956</v>
      </c>
      <c r="E16" s="21">
        <f t="shared" si="1"/>
        <v>129.08778865080285</v>
      </c>
      <c r="F16" s="21">
        <f t="shared" ca="1" si="1"/>
        <v>2866.9827249442492</v>
      </c>
      <c r="G16" s="21">
        <f t="shared" si="1"/>
        <v>0</v>
      </c>
      <c r="H16" s="21">
        <f t="shared" si="1"/>
        <v>0</v>
      </c>
      <c r="I16" s="21">
        <f t="shared" si="1"/>
        <v>0</v>
      </c>
      <c r="J16" s="21">
        <f t="shared" si="1"/>
        <v>0</v>
      </c>
      <c r="K16" s="21">
        <f t="shared" si="1"/>
        <v>0</v>
      </c>
      <c r="L16" s="21">
        <f t="shared" ca="1" si="1"/>
        <v>0</v>
      </c>
      <c r="M16" s="21">
        <f t="shared" si="1"/>
        <v>0</v>
      </c>
      <c r="N16" s="21">
        <f t="shared" ca="1" si="1"/>
        <v>3505.7768256808313</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0.21369334044697405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3953.2879488197268</v>
      </c>
      <c r="C20" s="23">
        <f t="shared" ref="C20:P20" ca="1" si="2">C16*C18</f>
        <v>0</v>
      </c>
      <c r="D20" s="23">
        <f t="shared" ca="1" si="2"/>
        <v>4892.8276745300755</v>
      </c>
      <c r="E20" s="23">
        <f t="shared" si="2"/>
        <v>29.302928023732246</v>
      </c>
      <c r="F20" s="23">
        <f t="shared" ca="1" si="2"/>
        <v>765.48438756011456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6258.2920000000004</v>
      </c>
      <c r="C26" s="39">
        <f>IF(ISERROR(B26*3.6/1000000/'E Balans VL '!Z12*100),0,B26*3.6/1000000/'E Balans VL '!Z12*100)</f>
        <v>0.13747061909007599</v>
      </c>
      <c r="D26" s="237" t="s">
        <v>692</v>
      </c>
      <c r="F26" s="6"/>
    </row>
    <row r="27" spans="1:18">
      <c r="A27" s="231" t="s">
        <v>53</v>
      </c>
      <c r="B27" s="33">
        <f>IF(ISERROR(TER_horeca_ele_kWh/1000),0,TER_horeca_ele_kWh/1000)</f>
        <v>754.60730000000001</v>
      </c>
      <c r="C27" s="39">
        <f>IF(ISERROR(B27*3.6/1000000/'E Balans VL '!Z9*100),0,B27*3.6/1000000/'E Balans VL '!Z9*100)</f>
        <v>6.0640218569409508E-2</v>
      </c>
      <c r="D27" s="237" t="s">
        <v>692</v>
      </c>
      <c r="F27" s="6"/>
    </row>
    <row r="28" spans="1:18">
      <c r="A28" s="171" t="s">
        <v>52</v>
      </c>
      <c r="B28" s="33">
        <f>IF(ISERROR(TER_handel_ele_kWh/1000),0,TER_handel_ele_kWh/1000)</f>
        <v>3928.1210000000001</v>
      </c>
      <c r="C28" s="39">
        <f>IF(ISERROR(B28*3.6/1000000/'E Balans VL '!Z13*100),0,B28*3.6/1000000/'E Balans VL '!Z13*100)</f>
        <v>0.1161517937270497</v>
      </c>
      <c r="D28" s="237" t="s">
        <v>692</v>
      </c>
      <c r="F28" s="6"/>
    </row>
    <row r="29" spans="1:18">
      <c r="A29" s="231" t="s">
        <v>51</v>
      </c>
      <c r="B29" s="33">
        <f>IF(ISERROR(TER_gezond_ele_kWh/1000),0,TER_gezond_ele_kWh/1000)</f>
        <v>359.97480000000002</v>
      </c>
      <c r="C29" s="39">
        <f>IF(ISERROR(B29*3.6/1000000/'E Balans VL '!Z10*100),0,B29*3.6/1000000/'E Balans VL '!Z10*100)</f>
        <v>4.0559866229908377E-2</v>
      </c>
      <c r="D29" s="237" t="s">
        <v>692</v>
      </c>
      <c r="F29" s="6"/>
    </row>
    <row r="30" spans="1:18">
      <c r="A30" s="231" t="s">
        <v>50</v>
      </c>
      <c r="B30" s="33">
        <f>IF(ISERROR(TER_ander_ele_kWh/1000),0,TER_ander_ele_kWh/1000)</f>
        <v>4557.1989999999996</v>
      </c>
      <c r="C30" s="39">
        <f>IF(ISERROR(B30*3.6/1000000/'E Balans VL '!Z14*100),0,B30*3.6/1000000/'E Balans VL '!Z14*100)</f>
        <v>0.34465317019019237</v>
      </c>
      <c r="D30" s="237" t="s">
        <v>692</v>
      </c>
      <c r="F30" s="6"/>
    </row>
    <row r="31" spans="1:18">
      <c r="A31" s="231" t="s">
        <v>55</v>
      </c>
      <c r="B31" s="33">
        <f>IF(ISERROR(TER_onderwijs_ele_kWh/1000),0,TER_onderwijs_ele_kWh/1000)</f>
        <v>323.19509999999997</v>
      </c>
      <c r="C31" s="39">
        <f>IF(ISERROR(B31*3.6/1000000/'E Balans VL '!Z11*100),0,B31*3.6/1000000/'E Balans VL '!Z11*100)</f>
        <v>6.7087800107845527E-2</v>
      </c>
      <c r="D31" s="237" t="s">
        <v>692</v>
      </c>
    </row>
    <row r="32" spans="1:18">
      <c r="A32" s="231" t="s">
        <v>260</v>
      </c>
      <c r="B32" s="33">
        <f>IF(ISERROR(TER_rest_ele_kWh/1000),0,TER_rest_ele_kWh/1000)</f>
        <v>2318.4290000000001</v>
      </c>
      <c r="C32" s="39">
        <f>IF(ISERROR(B32*3.6/1000000/'E Balans VL '!Z8*100),0,B32*3.6/1000000/'E Balans VL '!Z8*100)</f>
        <v>1.95314004394068E-2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1571.5611000000001</v>
      </c>
      <c r="C5" s="17">
        <f>IF(ISERROR('Eigen informatie GS &amp; warmtenet'!B59),0,'Eigen informatie GS &amp; warmtenet'!B59)</f>
        <v>0</v>
      </c>
      <c r="D5" s="30">
        <f>SUM(D6:D15)</f>
        <v>2311.6995329633246</v>
      </c>
      <c r="E5" s="17">
        <f>SUM(E6:E15)</f>
        <v>164.86524364502958</v>
      </c>
      <c r="F5" s="17">
        <f>SUM(F6:F15)</f>
        <v>1786.3740285330173</v>
      </c>
      <c r="G5" s="18"/>
      <c r="H5" s="17"/>
      <c r="I5" s="17"/>
      <c r="J5" s="17">
        <f>SUM(J6:J15)</f>
        <v>17.592280630658347</v>
      </c>
      <c r="K5" s="17"/>
      <c r="L5" s="17"/>
      <c r="M5" s="17"/>
      <c r="N5" s="17">
        <f>SUM(N6:N15)</f>
        <v>587.73415652599101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72.56689999999999</v>
      </c>
      <c r="C8" s="33"/>
      <c r="D8" s="37">
        <f>IF( ISERROR(IND_metaal_Gas_kWH/1000),0,IND_metaal_Gas_kWH/1000)*0.902</f>
        <v>0</v>
      </c>
      <c r="E8" s="33">
        <f>C30*'E Balans VL '!I18/100/3.6*1000000</f>
        <v>1.8160955282911388</v>
      </c>
      <c r="F8" s="33">
        <f>C30*'E Balans VL '!L18/100/3.6*1000000+C30*'E Balans VL '!N18/100/3.6*1000000</f>
        <v>22.742827426324364</v>
      </c>
      <c r="G8" s="34"/>
      <c r="H8" s="33"/>
      <c r="I8" s="33"/>
      <c r="J8" s="40">
        <f>C30*'E Balans VL '!D18/100/3.6*1000000+C30*'E Balans VL '!E18/100/3.6*1000000</f>
        <v>0</v>
      </c>
      <c r="K8" s="33"/>
      <c r="L8" s="33"/>
      <c r="M8" s="33"/>
      <c r="N8" s="33">
        <f>C30*'E Balans VL '!Y18/100/3.6*1000000</f>
        <v>1.823068855527787</v>
      </c>
      <c r="O8" s="33"/>
      <c r="P8" s="33"/>
      <c r="R8" s="32"/>
    </row>
    <row r="9" spans="1:18">
      <c r="A9" s="6" t="s">
        <v>33</v>
      </c>
      <c r="B9" s="37">
        <f t="shared" si="0"/>
        <v>513.74530000000004</v>
      </c>
      <c r="C9" s="33"/>
      <c r="D9" s="37">
        <f>IF( ISERROR(IND_andere_gas_kWh/1000),0,IND_andere_gas_kWh/1000)*0.902</f>
        <v>1039.2242183054466</v>
      </c>
      <c r="E9" s="33">
        <f>C31*'E Balans VL '!I19/100/3.6*1000000</f>
        <v>141.25888620795928</v>
      </c>
      <c r="F9" s="33">
        <f>C31*'E Balans VL '!L19/100/3.6*1000000+C31*'E Balans VL '!N19/100/3.6*1000000</f>
        <v>404.92069450080135</v>
      </c>
      <c r="G9" s="34"/>
      <c r="H9" s="33"/>
      <c r="I9" s="33"/>
      <c r="J9" s="40">
        <f>C31*'E Balans VL '!D19/100/3.6*1000000+C31*'E Balans VL '!E19/100/3.6*1000000</f>
        <v>0</v>
      </c>
      <c r="K9" s="33"/>
      <c r="L9" s="33"/>
      <c r="M9" s="33"/>
      <c r="N9" s="33">
        <f>C31*'E Balans VL '!Y19/100/3.6*1000000</f>
        <v>166.31291421669968</v>
      </c>
      <c r="O9" s="33"/>
      <c r="P9" s="33"/>
      <c r="R9" s="32"/>
    </row>
    <row r="10" spans="1:18">
      <c r="A10" s="6" t="s">
        <v>41</v>
      </c>
      <c r="B10" s="37">
        <f t="shared" si="0"/>
        <v>684.07630000000006</v>
      </c>
      <c r="C10" s="33"/>
      <c r="D10" s="37">
        <f>IF( ISERROR(IND_voed_gas_kWh/1000),0,IND_voed_gas_kWh/1000)*0.902</f>
        <v>922.63875751106627</v>
      </c>
      <c r="E10" s="33">
        <f>C32*'E Balans VL '!I20/100/3.6*1000000</f>
        <v>6.9737810187159583</v>
      </c>
      <c r="F10" s="33">
        <f>C32*'E Balans VL '!L20/100/3.6*1000000+C32*'E Balans VL '!N20/100/3.6*1000000</f>
        <v>1292.2158522157497</v>
      </c>
      <c r="G10" s="34"/>
      <c r="H10" s="33"/>
      <c r="I10" s="33"/>
      <c r="J10" s="40">
        <f>C32*'E Balans VL '!D20/100/3.6*1000000+C32*'E Balans VL '!E20/100/3.6*1000000</f>
        <v>16.372184166787306</v>
      </c>
      <c r="K10" s="33"/>
      <c r="L10" s="33"/>
      <c r="M10" s="33"/>
      <c r="N10" s="33">
        <f>C32*'E Balans VL '!Y20/100/3.6*1000000</f>
        <v>360.58700602752236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10.350100000000001</v>
      </c>
      <c r="C13" s="33"/>
      <c r="D13" s="37">
        <f>IF( ISERROR(IND_papier_gas_kWh/1000),0,IND_papier_gas_kWh/1000)*0.902</f>
        <v>57.58916900843969</v>
      </c>
      <c r="E13" s="33">
        <f>C35*'E Balans VL '!I23/100/3.6*1000000</f>
        <v>2.1435755714927649E-2</v>
      </c>
      <c r="F13" s="33">
        <f>C35*'E Balans VL '!L23/100/3.6*1000000+C35*'E Balans VL '!N23/100/3.6*1000000</f>
        <v>0.20526467185081285</v>
      </c>
      <c r="G13" s="34"/>
      <c r="H13" s="33"/>
      <c r="I13" s="33"/>
      <c r="J13" s="40">
        <f>C35*'E Balans VL '!D23/100/3.6*1000000+C35*'E Balans VL '!E23/100/3.6*1000000</f>
        <v>0</v>
      </c>
      <c r="K13" s="33"/>
      <c r="L13" s="33"/>
      <c r="M13" s="33"/>
      <c r="N13" s="33">
        <f>C35*'E Balans VL '!Y23/100/3.6*1000000</f>
        <v>4.3703076666625114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290.82249999999999</v>
      </c>
      <c r="C15" s="33"/>
      <c r="D15" s="37">
        <f>IF( ISERROR(IND_rest_gas_kWh/1000),0,IND_rest_gas_kWh/1000)*0.902</f>
        <v>292.24738813837172</v>
      </c>
      <c r="E15" s="33">
        <f>C37*'E Balans VL '!I15/100/3.6*1000000</f>
        <v>14.79504513434831</v>
      </c>
      <c r="F15" s="33">
        <f>C37*'E Balans VL '!L15/100/3.6*1000000+C37*'E Balans VL '!N15/100/3.6*1000000</f>
        <v>66.289389718291119</v>
      </c>
      <c r="G15" s="34"/>
      <c r="H15" s="33"/>
      <c r="I15" s="33"/>
      <c r="J15" s="40">
        <f>C37*'E Balans VL '!D15/100/3.6*1000000+C37*'E Balans VL '!E15/100/3.6*1000000</f>
        <v>1.2200964638710425</v>
      </c>
      <c r="K15" s="33"/>
      <c r="L15" s="33"/>
      <c r="M15" s="33"/>
      <c r="N15" s="33">
        <f>C37*'E Balans VL '!Y15/100/3.6*1000000</f>
        <v>54.640859759578696</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1571.5611000000001</v>
      </c>
      <c r="C18" s="21">
        <f>C5+C16</f>
        <v>0</v>
      </c>
      <c r="D18" s="21">
        <f>MAX((D5+D16),0)</f>
        <v>2311.6995329633246</v>
      </c>
      <c r="E18" s="21">
        <f>MAX((E5+E16),0)</f>
        <v>164.86524364502958</v>
      </c>
      <c r="F18" s="21">
        <f>MAX((F5+F16),0)</f>
        <v>1786.3740285330173</v>
      </c>
      <c r="G18" s="21"/>
      <c r="H18" s="21"/>
      <c r="I18" s="21"/>
      <c r="J18" s="21">
        <f>MAX((J5+J16),0)</f>
        <v>17.592280630658347</v>
      </c>
      <c r="K18" s="21"/>
      <c r="L18" s="21">
        <f>MAX((L5+L16),0)</f>
        <v>0</v>
      </c>
      <c r="M18" s="21"/>
      <c r="N18" s="21">
        <f>MAX((N5+N16),0)</f>
        <v>587.73415652599101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0.21369334044697405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335.83214117552103</v>
      </c>
      <c r="C22" s="23">
        <f ca="1">C18*C20</f>
        <v>0</v>
      </c>
      <c r="D22" s="23">
        <f>D18*D20</f>
        <v>466.96330565859159</v>
      </c>
      <c r="E22" s="23">
        <f>E18*E20</f>
        <v>37.424410307421716</v>
      </c>
      <c r="F22" s="23">
        <f>F18*F20</f>
        <v>476.96186561831564</v>
      </c>
      <c r="G22" s="23"/>
      <c r="H22" s="23"/>
      <c r="I22" s="23"/>
      <c r="J22" s="23">
        <f>J18*J20</f>
        <v>6.2276673432530547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72.56689999999999</v>
      </c>
      <c r="C30" s="39">
        <f>IF(ISERROR(B30*3.6/1000000/'E Balans VL '!Z18*100),0,B30*3.6/1000000/'E Balans VL '!Z18*100)</f>
        <v>1.0156947681341595E-2</v>
      </c>
      <c r="D30" s="237" t="s">
        <v>692</v>
      </c>
    </row>
    <row r="31" spans="1:18">
      <c r="A31" s="6" t="s">
        <v>33</v>
      </c>
      <c r="B31" s="37">
        <f>IF( ISERROR(IND_ander_ele_kWh/1000),0,IND_ander_ele_kWh/1000)</f>
        <v>513.74530000000004</v>
      </c>
      <c r="C31" s="39">
        <f>IF(ISERROR(B31*3.6/1000000/'E Balans VL '!Z19*100),0,B31*3.6/1000000/'E Balans VL '!Z19*100)</f>
        <v>2.248654843967168E-2</v>
      </c>
      <c r="D31" s="237" t="s">
        <v>692</v>
      </c>
    </row>
    <row r="32" spans="1:18">
      <c r="A32" s="171" t="s">
        <v>41</v>
      </c>
      <c r="B32" s="37">
        <f>IF( ISERROR(IND_voed_ele_kWh/1000),0,IND_voed_ele_kWh/1000)</f>
        <v>684.07630000000006</v>
      </c>
      <c r="C32" s="39">
        <f>IF(ISERROR(B32*3.6/1000000/'E Balans VL '!Z20*100),0,B32*3.6/1000000/'E Balans VL '!Z20*100)</f>
        <v>0.16935457482660657</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10.350100000000001</v>
      </c>
      <c r="C35" s="39">
        <f>IF(ISERROR(B35*3.6/1000000/'E Balans VL '!Z22*100),0,B35*3.6/1000000/'E Balans VL '!Z22*100)</f>
        <v>2.9369361186142083E-4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290.82249999999999</v>
      </c>
      <c r="C37" s="39">
        <f>IF(ISERROR(B37*3.6/1000000/'E Balans VL '!Z15*100),0,B37*3.6/1000000/'E Balans VL '!Z15*100)</f>
        <v>2.1563990465810257E-3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208.78628</v>
      </c>
      <c r="C5" s="17">
        <f>'Eigen informatie GS &amp; warmtenet'!B60</f>
        <v>0</v>
      </c>
      <c r="D5" s="30">
        <f>IF(ISERROR(SUM(LB_lb_gas_kWh,LB_rest_gas_kWh,onbekend_gas_kWh)/1000),0,SUM(LB_lb_gas_kWh,LB_rest_gas_kWh,onbekend_gas_kWh)/1000)*0.902</f>
        <v>5467.4117116109528</v>
      </c>
      <c r="E5" s="17">
        <f>B17*'E Balans VL '!I25/3.6*1000000/100</f>
        <v>1.9338659730924277</v>
      </c>
      <c r="F5" s="17">
        <f>B17*('E Balans VL '!L25/3.6*1000000+'E Balans VL '!N25/3.6*1000000)/100</f>
        <v>529.73056610552339</v>
      </c>
      <c r="G5" s="18"/>
      <c r="H5" s="17"/>
      <c r="I5" s="17"/>
      <c r="J5" s="17">
        <f>('E Balans VL '!D25+'E Balans VL '!E25)/3.6*1000000*landbouw!B17/100</f>
        <v>32.009266785685305</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208.78628</v>
      </c>
      <c r="C8" s="21">
        <f>C5+C6</f>
        <v>0</v>
      </c>
      <c r="D8" s="21">
        <f>MAX((D5+D6),0)</f>
        <v>5467.4117116109528</v>
      </c>
      <c r="E8" s="21">
        <f>MAX((E5+E6),0)</f>
        <v>1.9338659730924277</v>
      </c>
      <c r="F8" s="21">
        <f>MAX((F5+F6),0)</f>
        <v>529.73056610552339</v>
      </c>
      <c r="G8" s="21"/>
      <c r="H8" s="21"/>
      <c r="I8" s="21"/>
      <c r="J8" s="21">
        <f>MAX((J5+J6),0)</f>
        <v>32.009266785685305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0.21369334044697405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44.616237612697248</v>
      </c>
      <c r="C12" s="23">
        <f ca="1">C8*C10</f>
        <v>0</v>
      </c>
      <c r="D12" s="23">
        <f>D8*D10</f>
        <v>1104.4171657454126</v>
      </c>
      <c r="E12" s="23">
        <f>E8*E10</f>
        <v>0.43898757589198112</v>
      </c>
      <c r="F12" s="23">
        <f>F8*F10</f>
        <v>141.43806115017475</v>
      </c>
      <c r="G12" s="23"/>
      <c r="H12" s="23"/>
      <c r="I12" s="23"/>
      <c r="J12" s="23">
        <f>J8*J10</f>
        <v>11.331280442132597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2.9684981981655232E-2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37.292850154467331</v>
      </c>
      <c r="C26" s="247">
        <f>B26*'GWP N2O_CH4'!B5</f>
        <v>783.14985324381394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4.8390395043722387</v>
      </c>
      <c r="C27" s="247">
        <f>B27*'GWP N2O_CH4'!B5</f>
        <v>101.61982959181701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0.6053957101123586</v>
      </c>
      <c r="C28" s="247">
        <f>B28*'GWP N2O_CH4'!B4</f>
        <v>187.67267013483118</v>
      </c>
      <c r="D28" s="50"/>
    </row>
    <row r="29" spans="1:4">
      <c r="A29" s="41" t="s">
        <v>277</v>
      </c>
      <c r="B29" s="247">
        <f>B34*'ha_N2O bodem landbouw'!B4</f>
        <v>4.9780799349872131</v>
      </c>
      <c r="C29" s="247">
        <f>B29*'GWP N2O_CH4'!B4</f>
        <v>1543.204779846036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1.1164956290383886E-3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1.2398032144441307E-4</v>
      </c>
      <c r="C5" s="464" t="s">
        <v>211</v>
      </c>
      <c r="D5" s="449">
        <f>SUM(D6:D11)</f>
        <v>3.4223982813706428E-4</v>
      </c>
      <c r="E5" s="449">
        <f>SUM(E6:E11)</f>
        <v>2.4406007452742748E-3</v>
      </c>
      <c r="F5" s="462" t="s">
        <v>211</v>
      </c>
      <c r="G5" s="449">
        <f>SUM(G6:G11)</f>
        <v>0.58785385393585521</v>
      </c>
      <c r="H5" s="449">
        <f>SUM(H6:H11)</f>
        <v>0.13180921303963597</v>
      </c>
      <c r="I5" s="464" t="s">
        <v>211</v>
      </c>
      <c r="J5" s="464" t="s">
        <v>211</v>
      </c>
      <c r="K5" s="464" t="s">
        <v>211</v>
      </c>
      <c r="L5" s="464" t="s">
        <v>211</v>
      </c>
      <c r="M5" s="449">
        <f>SUM(M6:M11)</f>
        <v>3.8062280475629005E-2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2.85165824474079E-5</v>
      </c>
      <c r="C6" s="450"/>
      <c r="D6" s="963">
        <f>vkm_2011_GW_PW*SUMIFS(TableVerdeelsleutelVkm[CNG],TableVerdeelsleutelVkm[Voertuigtype],"Lichte voertuigen")*SUMIFS(TableECFTransport[EnergieConsumptieFactor (PJ per km)],TableECFTransport[Index],CONCATENATE($A6,"_CNG_CNG"))</f>
        <v>6.5961994746527216E-5</v>
      </c>
      <c r="E6" s="963">
        <f>vkm_2011_GW_PW*SUMIFS(TableVerdeelsleutelVkm[LPG],TableVerdeelsleutelVkm[Voertuigtype],"Lichte voertuigen")*SUMIFS(TableECFTransport[EnergieConsumptieFactor (PJ per km)],TableECFTransport[Index],CONCATENATE($A6,"_LPG_LPG"))</f>
        <v>4.2950467645651693E-4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8.9226418942316629E-2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2.5151083580800277E-2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5.9355994557768474E-3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7.3429205856296274E-3</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2.5111454866355797E-6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4.2482957744139548E-4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2.6861716769089126E-5</v>
      </c>
      <c r="C8" s="450"/>
      <c r="D8" s="452">
        <f>vkm_2011_NGW_PW*SUMIFS(TableVerdeelsleutelVkm[CNG],TableVerdeelsleutelVkm[Voertuigtype],"Lichte voertuigen")*SUMIFS(TableECFTransport[EnergieConsumptieFactor (PJ per km)],TableECFTransport[Index],CONCATENATE($A8,"_CNG_CNG"))</f>
        <v>1.0989707915858471E-4</v>
      </c>
      <c r="E8" s="452">
        <f>vkm_2011_NGW_PW*SUMIFS(TableVerdeelsleutelVkm[LPG],TableVerdeelsleutelVkm[Voertuigtype],"Lichte voertuigen")*SUMIFS(TableECFTransport[EnergieConsumptieFactor (PJ per km)],TableECFTransport[Index],CONCATENATE($A8,"_LPG_LPG"))</f>
        <v>6.6040904375491217E-4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0.12825046611370644</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4.0517612502287033E-2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8.6660148033751057E-3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1.7237636870851957E-3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5.5778984956103884E-7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9.9728523952961277E-5</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6.8602022227916032E-5</v>
      </c>
      <c r="C10" s="450"/>
      <c r="D10" s="452">
        <f>vkm_2011_SW_PW*SUMIFS(TableVerdeelsleutelVkm[CNG],TableVerdeelsleutelVkm[Voertuigtype],"Lichte voertuigen")*SUMIFS(TableECFTransport[EnergieConsumptieFactor (PJ per km)],TableECFTransport[Index],CONCATENATE($A10,"_CNG_CNG"))</f>
        <v>1.6638075423195233E-4</v>
      </c>
      <c r="E10" s="452">
        <f>vkm_2011_SW_PW*SUMIFS(TableVerdeelsleutelVkm[LPG],TableVerdeelsleutelVkm[Voertuigtype],"Lichte voertuigen")*SUMIFS(TableECFTransport[EnergieConsumptieFactor (PJ per km)],TableECFTransport[Index],CONCATENATE($A10,"_LPG_LPG"))</f>
        <v>1.3506870250628456E-3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0.25261725526757511</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6.6097387872382479E-2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1.6647511325597497E-2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0.10869302933954215</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4.0060148829985411E-5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6.2885967894851999E-3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34.438978179003634</v>
      </c>
      <c r="C14" s="21"/>
      <c r="D14" s="21">
        <f t="shared" ref="D14:M14" si="0">((D5)*10^9/3600)+D12</f>
        <v>95.066618926962306</v>
      </c>
      <c r="E14" s="21">
        <f t="shared" si="0"/>
        <v>677.94465146507628</v>
      </c>
      <c r="F14" s="21"/>
      <c r="G14" s="21">
        <f t="shared" si="0"/>
        <v>163292.7372044042</v>
      </c>
      <c r="H14" s="21">
        <f t="shared" si="0"/>
        <v>36613.670288787769</v>
      </c>
      <c r="I14" s="21"/>
      <c r="J14" s="21"/>
      <c r="K14" s="21"/>
      <c r="L14" s="21"/>
      <c r="M14" s="21">
        <f t="shared" si="0"/>
        <v>10572.855687674723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0.21369334044697405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7.3593802886517343</v>
      </c>
      <c r="C18" s="23"/>
      <c r="D18" s="23">
        <f t="shared" ref="D18:M18" si="1">D14*D16</f>
        <v>19.203457023246386</v>
      </c>
      <c r="E18" s="23">
        <f t="shared" si="1"/>
        <v>153.89343588257233</v>
      </c>
      <c r="F18" s="23"/>
      <c r="G18" s="23">
        <f t="shared" si="1"/>
        <v>43599.160833575923</v>
      </c>
      <c r="H18" s="23">
        <f t="shared" si="1"/>
        <v>9116.8039019081552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1.6118596909415816E-2</v>
      </c>
      <c r="H50" s="321">
        <f t="shared" si="2"/>
        <v>0</v>
      </c>
      <c r="I50" s="321">
        <f t="shared" si="2"/>
        <v>0</v>
      </c>
      <c r="J50" s="321">
        <f t="shared" si="2"/>
        <v>0</v>
      </c>
      <c r="K50" s="321">
        <f t="shared" si="2"/>
        <v>0</v>
      </c>
      <c r="L50" s="321">
        <f t="shared" si="2"/>
        <v>0</v>
      </c>
      <c r="M50" s="321">
        <f t="shared" si="2"/>
        <v>9.191965934956998E-4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1.6118596909415816E-2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9.191965934956998E-4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4477.388030393282</v>
      </c>
      <c r="H54" s="21">
        <f t="shared" si="3"/>
        <v>0</v>
      </c>
      <c r="I54" s="21">
        <f t="shared" si="3"/>
        <v>0</v>
      </c>
      <c r="J54" s="21">
        <f t="shared" si="3"/>
        <v>0</v>
      </c>
      <c r="K54" s="21">
        <f t="shared" si="3"/>
        <v>0</v>
      </c>
      <c r="L54" s="21">
        <f t="shared" si="3"/>
        <v>0</v>
      </c>
      <c r="M54" s="21">
        <f t="shared" si="3"/>
        <v>255.33238708213884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0.21369334044697405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1195.4626041150063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1958.4335740468755</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1958.4335740468755</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19827.735200000003</v>
      </c>
      <c r="D10" s="719">
        <f ca="1">tertiair!C16</f>
        <v>0</v>
      </c>
      <c r="E10" s="719">
        <f ca="1">tertiair!D16</f>
        <v>24221.919180841956</v>
      </c>
      <c r="F10" s="719">
        <f>tertiair!E16</f>
        <v>129.08778865080285</v>
      </c>
      <c r="G10" s="719">
        <f ca="1">tertiair!F16</f>
        <v>2866.9827249442492</v>
      </c>
      <c r="H10" s="719">
        <f>tertiair!G16</f>
        <v>0</v>
      </c>
      <c r="I10" s="719">
        <f>tertiair!H16</f>
        <v>0</v>
      </c>
      <c r="J10" s="719">
        <f>tertiair!I16</f>
        <v>0</v>
      </c>
      <c r="K10" s="719">
        <f>tertiair!J16</f>
        <v>0</v>
      </c>
      <c r="L10" s="719">
        <f>tertiair!K16</f>
        <v>0</v>
      </c>
      <c r="M10" s="719">
        <f ca="1">tertiair!L16</f>
        <v>0</v>
      </c>
      <c r="N10" s="719">
        <f>tertiair!M16</f>
        <v>0</v>
      </c>
      <c r="O10" s="719">
        <f ca="1">tertiair!N16</f>
        <v>3505.7768256808313</v>
      </c>
      <c r="P10" s="719">
        <f>tertiair!O16</f>
        <v>3.1266666666666669</v>
      </c>
      <c r="Q10" s="720">
        <f>tertiair!P16</f>
        <v>38.133333333333333</v>
      </c>
      <c r="R10" s="722">
        <f ca="1">SUM(C10:Q10)</f>
        <v>50592.761720117836</v>
      </c>
      <c r="S10" s="67"/>
    </row>
    <row r="11" spans="1:19" s="475" customFormat="1">
      <c r="A11" s="871" t="s">
        <v>225</v>
      </c>
      <c r="B11" s="876"/>
      <c r="C11" s="719">
        <f>huishoudens!B8</f>
        <v>37593.004159604679</v>
      </c>
      <c r="D11" s="719">
        <f>huishoudens!C8</f>
        <v>0</v>
      </c>
      <c r="E11" s="719">
        <f>huishoudens!D8</f>
        <v>121174.98607666753</v>
      </c>
      <c r="F11" s="719">
        <f>huishoudens!E8</f>
        <v>1355.1566579826065</v>
      </c>
      <c r="G11" s="719">
        <f>huishoudens!F8</f>
        <v>13731.075863023778</v>
      </c>
      <c r="H11" s="719">
        <f>huishoudens!G8</f>
        <v>0</v>
      </c>
      <c r="I11" s="719">
        <f>huishoudens!H8</f>
        <v>0</v>
      </c>
      <c r="J11" s="719">
        <f>huishoudens!I8</f>
        <v>0</v>
      </c>
      <c r="K11" s="719">
        <f>huishoudens!J8</f>
        <v>0</v>
      </c>
      <c r="L11" s="719">
        <f>huishoudens!K8</f>
        <v>0</v>
      </c>
      <c r="M11" s="719">
        <f>huishoudens!L8</f>
        <v>0</v>
      </c>
      <c r="N11" s="719">
        <f>huishoudens!M8</f>
        <v>0</v>
      </c>
      <c r="O11" s="719">
        <f>huishoudens!N8</f>
        <v>6852.1431339316941</v>
      </c>
      <c r="P11" s="719">
        <f>huishoudens!O8</f>
        <v>231.37333333333333</v>
      </c>
      <c r="Q11" s="720">
        <f>huishoudens!P8</f>
        <v>552.93333333333339</v>
      </c>
      <c r="R11" s="722">
        <f>SUM(C11:Q11)</f>
        <v>181490.67255787697</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1571.5611000000001</v>
      </c>
      <c r="D13" s="719">
        <f>industrie!C18</f>
        <v>0</v>
      </c>
      <c r="E13" s="719">
        <f>industrie!D18</f>
        <v>2311.6995329633246</v>
      </c>
      <c r="F13" s="719">
        <f>industrie!E18</f>
        <v>164.86524364502958</v>
      </c>
      <c r="G13" s="719">
        <f>industrie!F18</f>
        <v>1786.3740285330173</v>
      </c>
      <c r="H13" s="719">
        <f>industrie!G18</f>
        <v>0</v>
      </c>
      <c r="I13" s="719">
        <f>industrie!H18</f>
        <v>0</v>
      </c>
      <c r="J13" s="719">
        <f>industrie!I18</f>
        <v>0</v>
      </c>
      <c r="K13" s="719">
        <f>industrie!J18</f>
        <v>17.592280630658347</v>
      </c>
      <c r="L13" s="719">
        <f>industrie!K18</f>
        <v>0</v>
      </c>
      <c r="M13" s="719">
        <f>industrie!L18</f>
        <v>0</v>
      </c>
      <c r="N13" s="719">
        <f>industrie!M18</f>
        <v>0</v>
      </c>
      <c r="O13" s="719">
        <f>industrie!N18</f>
        <v>587.73415652599101</v>
      </c>
      <c r="P13" s="719">
        <f>industrie!O18</f>
        <v>0</v>
      </c>
      <c r="Q13" s="720">
        <f>industrie!P18</f>
        <v>0</v>
      </c>
      <c r="R13" s="722">
        <f>SUM(C13:Q13)</f>
        <v>6439.8263422980208</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58992.300459604681</v>
      </c>
      <c r="D15" s="724">
        <f t="shared" ref="D15:Q15" ca="1" si="0">SUM(D9:D14)</f>
        <v>0</v>
      </c>
      <c r="E15" s="724">
        <f t="shared" ca="1" si="0"/>
        <v>147708.60479047283</v>
      </c>
      <c r="F15" s="724">
        <f t="shared" si="0"/>
        <v>1649.1096902784388</v>
      </c>
      <c r="G15" s="724">
        <f t="shared" ca="1" si="0"/>
        <v>18384.432616501043</v>
      </c>
      <c r="H15" s="724">
        <f t="shared" si="0"/>
        <v>0</v>
      </c>
      <c r="I15" s="724">
        <f t="shared" si="0"/>
        <v>0</v>
      </c>
      <c r="J15" s="724">
        <f t="shared" si="0"/>
        <v>0</v>
      </c>
      <c r="K15" s="724">
        <f t="shared" si="0"/>
        <v>17.592280630658347</v>
      </c>
      <c r="L15" s="724">
        <f t="shared" si="0"/>
        <v>0</v>
      </c>
      <c r="M15" s="724">
        <f t="shared" ca="1" si="0"/>
        <v>0</v>
      </c>
      <c r="N15" s="724">
        <f t="shared" si="0"/>
        <v>0</v>
      </c>
      <c r="O15" s="724">
        <f t="shared" ca="1" si="0"/>
        <v>10945.654116138516</v>
      </c>
      <c r="P15" s="724">
        <f t="shared" si="0"/>
        <v>234.5</v>
      </c>
      <c r="Q15" s="725">
        <f t="shared" si="0"/>
        <v>591.06666666666672</v>
      </c>
      <c r="R15" s="726">
        <f ca="1">SUM(R9:R14)</f>
        <v>238523.2606202928</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4477.388030393282</v>
      </c>
      <c r="I18" s="719">
        <f>transport!H54</f>
        <v>0</v>
      </c>
      <c r="J18" s="719">
        <f>transport!I54</f>
        <v>0</v>
      </c>
      <c r="K18" s="719">
        <f>transport!J54</f>
        <v>0</v>
      </c>
      <c r="L18" s="719">
        <f>transport!K54</f>
        <v>0</v>
      </c>
      <c r="M18" s="719">
        <f>transport!L54</f>
        <v>0</v>
      </c>
      <c r="N18" s="719">
        <f>transport!M54</f>
        <v>255.33238708213884</v>
      </c>
      <c r="O18" s="719">
        <f>transport!N54</f>
        <v>0</v>
      </c>
      <c r="P18" s="719">
        <f>transport!O54</f>
        <v>0</v>
      </c>
      <c r="Q18" s="720">
        <f>transport!P54</f>
        <v>0</v>
      </c>
      <c r="R18" s="722">
        <f>SUM(C18:Q18)</f>
        <v>4732.7204174754206</v>
      </c>
      <c r="S18" s="67"/>
    </row>
    <row r="19" spans="1:19" s="475" customFormat="1" ht="15" thickBot="1">
      <c r="A19" s="871" t="s">
        <v>307</v>
      </c>
      <c r="B19" s="876"/>
      <c r="C19" s="728">
        <f>transport!B14</f>
        <v>34.438978179003634</v>
      </c>
      <c r="D19" s="728">
        <f>transport!C14</f>
        <v>0</v>
      </c>
      <c r="E19" s="728">
        <f>transport!D14</f>
        <v>95.066618926962306</v>
      </c>
      <c r="F19" s="728">
        <f>transport!E14</f>
        <v>677.94465146507628</v>
      </c>
      <c r="G19" s="728">
        <f>transport!F14</f>
        <v>0</v>
      </c>
      <c r="H19" s="728">
        <f>transport!G14</f>
        <v>163292.7372044042</v>
      </c>
      <c r="I19" s="728">
        <f>transport!H14</f>
        <v>36613.670288787769</v>
      </c>
      <c r="J19" s="728">
        <f>transport!I14</f>
        <v>0</v>
      </c>
      <c r="K19" s="728">
        <f>transport!J14</f>
        <v>0</v>
      </c>
      <c r="L19" s="728">
        <f>transport!K14</f>
        <v>0</v>
      </c>
      <c r="M19" s="728">
        <f>transport!L14</f>
        <v>0</v>
      </c>
      <c r="N19" s="728">
        <f>transport!M14</f>
        <v>10572.855687674723</v>
      </c>
      <c r="O19" s="728">
        <f>transport!N14</f>
        <v>0</v>
      </c>
      <c r="P19" s="728">
        <f>transport!O14</f>
        <v>0</v>
      </c>
      <c r="Q19" s="729">
        <f>transport!P14</f>
        <v>0</v>
      </c>
      <c r="R19" s="730">
        <f>SUM(C19:Q19)</f>
        <v>211286.71342943775</v>
      </c>
      <c r="S19" s="67"/>
    </row>
    <row r="20" spans="1:19" s="475" customFormat="1" ht="15.75" thickBot="1">
      <c r="A20" s="731" t="s">
        <v>230</v>
      </c>
      <c r="B20" s="879"/>
      <c r="C20" s="874">
        <f>SUM(C17:C19)</f>
        <v>34.438978179003634</v>
      </c>
      <c r="D20" s="732">
        <f t="shared" ref="D20:R20" si="1">SUM(D17:D19)</f>
        <v>0</v>
      </c>
      <c r="E20" s="732">
        <f t="shared" si="1"/>
        <v>95.066618926962306</v>
      </c>
      <c r="F20" s="732">
        <f t="shared" si="1"/>
        <v>677.94465146507628</v>
      </c>
      <c r="G20" s="732">
        <f t="shared" si="1"/>
        <v>0</v>
      </c>
      <c r="H20" s="732">
        <f t="shared" si="1"/>
        <v>167770.12523479748</v>
      </c>
      <c r="I20" s="732">
        <f t="shared" si="1"/>
        <v>36613.670288787769</v>
      </c>
      <c r="J20" s="732">
        <f t="shared" si="1"/>
        <v>0</v>
      </c>
      <c r="K20" s="732">
        <f t="shared" si="1"/>
        <v>0</v>
      </c>
      <c r="L20" s="732">
        <f t="shared" si="1"/>
        <v>0</v>
      </c>
      <c r="M20" s="732">
        <f t="shared" si="1"/>
        <v>0</v>
      </c>
      <c r="N20" s="732">
        <f t="shared" si="1"/>
        <v>10828.188074756861</v>
      </c>
      <c r="O20" s="732">
        <f t="shared" si="1"/>
        <v>0</v>
      </c>
      <c r="P20" s="732">
        <f t="shared" si="1"/>
        <v>0</v>
      </c>
      <c r="Q20" s="733">
        <f t="shared" si="1"/>
        <v>0</v>
      </c>
      <c r="R20" s="734">
        <f t="shared" si="1"/>
        <v>216019.43384691316</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208.78628</v>
      </c>
      <c r="D22" s="728">
        <f>+landbouw!C8</f>
        <v>0</v>
      </c>
      <c r="E22" s="728">
        <f>+landbouw!D8</f>
        <v>5467.4117116109528</v>
      </c>
      <c r="F22" s="728">
        <f>+landbouw!E8</f>
        <v>1.9338659730924277</v>
      </c>
      <c r="G22" s="728">
        <f>+landbouw!F8</f>
        <v>529.73056610552339</v>
      </c>
      <c r="H22" s="728">
        <f>+landbouw!G8</f>
        <v>0</v>
      </c>
      <c r="I22" s="728">
        <f>+landbouw!H8</f>
        <v>0</v>
      </c>
      <c r="J22" s="728">
        <f>+landbouw!I8</f>
        <v>0</v>
      </c>
      <c r="K22" s="728">
        <f>+landbouw!J8</f>
        <v>32.009266785685305</v>
      </c>
      <c r="L22" s="728">
        <f>+landbouw!K8</f>
        <v>0</v>
      </c>
      <c r="M22" s="728">
        <f>+landbouw!L8</f>
        <v>0</v>
      </c>
      <c r="N22" s="728">
        <f>+landbouw!M8</f>
        <v>0</v>
      </c>
      <c r="O22" s="728">
        <f>+landbouw!N8</f>
        <v>0</v>
      </c>
      <c r="P22" s="728">
        <f>+landbouw!O8</f>
        <v>0</v>
      </c>
      <c r="Q22" s="729">
        <f>+landbouw!P8</f>
        <v>0</v>
      </c>
      <c r="R22" s="730">
        <f>SUM(C22:Q22)</f>
        <v>6239.8716904752537</v>
      </c>
      <c r="S22" s="67"/>
    </row>
    <row r="23" spans="1:19" s="475" customFormat="1" ht="17.25" thickTop="1" thickBot="1">
      <c r="A23" s="735" t="s">
        <v>116</v>
      </c>
      <c r="B23" s="865"/>
      <c r="C23" s="736">
        <f ca="1">C20+C15+C22</f>
        <v>59235.525717783683</v>
      </c>
      <c r="D23" s="736">
        <f t="shared" ref="D23:Q23" ca="1" si="2">D20+D15+D22</f>
        <v>0</v>
      </c>
      <c r="E23" s="736">
        <f t="shared" ca="1" si="2"/>
        <v>153271.08312101074</v>
      </c>
      <c r="F23" s="736">
        <f t="shared" si="2"/>
        <v>2328.9882077166076</v>
      </c>
      <c r="G23" s="736">
        <f t="shared" ca="1" si="2"/>
        <v>18914.163182606564</v>
      </c>
      <c r="H23" s="736">
        <f t="shared" si="2"/>
        <v>167770.12523479748</v>
      </c>
      <c r="I23" s="736">
        <f t="shared" si="2"/>
        <v>36613.670288787769</v>
      </c>
      <c r="J23" s="736">
        <f t="shared" si="2"/>
        <v>0</v>
      </c>
      <c r="K23" s="736">
        <f t="shared" si="2"/>
        <v>49.601547416343649</v>
      </c>
      <c r="L23" s="736">
        <f t="shared" si="2"/>
        <v>0</v>
      </c>
      <c r="M23" s="736">
        <f t="shared" ca="1" si="2"/>
        <v>0</v>
      </c>
      <c r="N23" s="736">
        <f t="shared" si="2"/>
        <v>10828.188074756861</v>
      </c>
      <c r="O23" s="736">
        <f t="shared" ca="1" si="2"/>
        <v>10945.654116138516</v>
      </c>
      <c r="P23" s="736">
        <f t="shared" si="2"/>
        <v>234.5</v>
      </c>
      <c r="Q23" s="737">
        <f t="shared" si="2"/>
        <v>591.06666666666672</v>
      </c>
      <c r="R23" s="738">
        <f ca="1">R20+R15+R22</f>
        <v>460782.56615768123</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4237.0549683860509</v>
      </c>
      <c r="D36" s="719">
        <f ca="1">tertiair!C20</f>
        <v>0</v>
      </c>
      <c r="E36" s="719">
        <f ca="1">tertiair!D20</f>
        <v>4892.8276745300755</v>
      </c>
      <c r="F36" s="719">
        <f>tertiair!E20</f>
        <v>29.302928023732246</v>
      </c>
      <c r="G36" s="719">
        <f ca="1">tertiair!F20</f>
        <v>765.48438756011456</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9924.6699584999733</v>
      </c>
    </row>
    <row r="37" spans="1:18">
      <c r="A37" s="886" t="s">
        <v>225</v>
      </c>
      <c r="B37" s="893"/>
      <c r="C37" s="719">
        <f ca="1">huishoudens!B12</f>
        <v>8033.374636302914</v>
      </c>
      <c r="D37" s="719">
        <f ca="1">huishoudens!C12</f>
        <v>0</v>
      </c>
      <c r="E37" s="719">
        <f>huishoudens!D12</f>
        <v>24477.347187486841</v>
      </c>
      <c r="F37" s="719">
        <f>huishoudens!E12</f>
        <v>307.62056136205166</v>
      </c>
      <c r="G37" s="719">
        <f>huishoudens!F12</f>
        <v>3666.1972554273489</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36484.539640579154</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335.83214117552103</v>
      </c>
      <c r="D39" s="719">
        <f ca="1">industrie!C22</f>
        <v>0</v>
      </c>
      <c r="E39" s="719">
        <f>industrie!D22</f>
        <v>466.96330565859159</v>
      </c>
      <c r="F39" s="719">
        <f>industrie!E22</f>
        <v>37.424410307421716</v>
      </c>
      <c r="G39" s="719">
        <f>industrie!F22</f>
        <v>476.96186561831564</v>
      </c>
      <c r="H39" s="719">
        <f>industrie!G22</f>
        <v>0</v>
      </c>
      <c r="I39" s="719">
        <f>industrie!H22</f>
        <v>0</v>
      </c>
      <c r="J39" s="719">
        <f>industrie!I22</f>
        <v>0</v>
      </c>
      <c r="K39" s="719">
        <f>industrie!J22</f>
        <v>6.2276673432530547</v>
      </c>
      <c r="L39" s="719">
        <f>industrie!K22</f>
        <v>0</v>
      </c>
      <c r="M39" s="719">
        <f>industrie!L22</f>
        <v>0</v>
      </c>
      <c r="N39" s="719">
        <f>industrie!M22</f>
        <v>0</v>
      </c>
      <c r="O39" s="719">
        <f>industrie!N22</f>
        <v>0</v>
      </c>
      <c r="P39" s="719">
        <f>industrie!O22</f>
        <v>0</v>
      </c>
      <c r="Q39" s="829">
        <f>industrie!P22</f>
        <v>0</v>
      </c>
      <c r="R39" s="919">
        <f ca="1">SUM(C39:Q39)</f>
        <v>1323.4093901031029</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12606.261745864485</v>
      </c>
      <c r="D41" s="764">
        <f t="shared" ref="D41:R41" ca="1" si="4">SUM(D35:D40)</f>
        <v>0</v>
      </c>
      <c r="E41" s="764">
        <f t="shared" ca="1" si="4"/>
        <v>29837.138167675508</v>
      </c>
      <c r="F41" s="764">
        <f t="shared" si="4"/>
        <v>374.34789969320565</v>
      </c>
      <c r="G41" s="764">
        <f t="shared" ca="1" si="4"/>
        <v>4908.6435086057791</v>
      </c>
      <c r="H41" s="764">
        <f t="shared" si="4"/>
        <v>0</v>
      </c>
      <c r="I41" s="764">
        <f t="shared" si="4"/>
        <v>0</v>
      </c>
      <c r="J41" s="764">
        <f t="shared" si="4"/>
        <v>0</v>
      </c>
      <c r="K41" s="764">
        <f t="shared" si="4"/>
        <v>6.2276673432530547</v>
      </c>
      <c r="L41" s="764">
        <f t="shared" si="4"/>
        <v>0</v>
      </c>
      <c r="M41" s="764">
        <f t="shared" ca="1" si="4"/>
        <v>0</v>
      </c>
      <c r="N41" s="764">
        <f t="shared" si="4"/>
        <v>0</v>
      </c>
      <c r="O41" s="764">
        <f t="shared" ca="1" si="4"/>
        <v>0</v>
      </c>
      <c r="P41" s="764">
        <f t="shared" si="4"/>
        <v>0</v>
      </c>
      <c r="Q41" s="765">
        <f t="shared" si="4"/>
        <v>0</v>
      </c>
      <c r="R41" s="766">
        <f t="shared" ca="1" si="4"/>
        <v>47732.618989182229</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1195.4626041150063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1195.4626041150063</v>
      </c>
    </row>
    <row r="45" spans="1:18" ht="15" thickBot="1">
      <c r="A45" s="889" t="s">
        <v>307</v>
      </c>
      <c r="B45" s="899"/>
      <c r="C45" s="728">
        <f ca="1">transport!B18</f>
        <v>7.3593802886517343</v>
      </c>
      <c r="D45" s="728">
        <f>transport!C18</f>
        <v>0</v>
      </c>
      <c r="E45" s="728">
        <f>transport!D18</f>
        <v>19.203457023246386</v>
      </c>
      <c r="F45" s="728">
        <f>transport!E18</f>
        <v>153.89343588257233</v>
      </c>
      <c r="G45" s="728">
        <f>transport!F18</f>
        <v>0</v>
      </c>
      <c r="H45" s="728">
        <f>transport!G18</f>
        <v>43599.160833575923</v>
      </c>
      <c r="I45" s="728">
        <f>transport!H18</f>
        <v>9116.8039019081552</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52896.421008678546</v>
      </c>
    </row>
    <row r="46" spans="1:18" ht="15.75" thickBot="1">
      <c r="A46" s="887" t="s">
        <v>230</v>
      </c>
      <c r="B46" s="900"/>
      <c r="C46" s="764">
        <f t="shared" ref="C46:R46" ca="1" si="5">SUM(C43:C45)</f>
        <v>7.3593802886517343</v>
      </c>
      <c r="D46" s="764">
        <f t="shared" ca="1" si="5"/>
        <v>0</v>
      </c>
      <c r="E46" s="764">
        <f t="shared" si="5"/>
        <v>19.203457023246386</v>
      </c>
      <c r="F46" s="764">
        <f t="shared" si="5"/>
        <v>153.89343588257233</v>
      </c>
      <c r="G46" s="764">
        <f t="shared" si="5"/>
        <v>0</v>
      </c>
      <c r="H46" s="764">
        <f t="shared" si="5"/>
        <v>44794.623437690927</v>
      </c>
      <c r="I46" s="764">
        <f t="shared" si="5"/>
        <v>9116.8039019081552</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54091.88361279355</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44.616237612697248</v>
      </c>
      <c r="D48" s="719">
        <f ca="1">+landbouw!C12</f>
        <v>0</v>
      </c>
      <c r="E48" s="719">
        <f>+landbouw!D12</f>
        <v>1104.4171657454126</v>
      </c>
      <c r="F48" s="719">
        <f>+landbouw!E12</f>
        <v>0.43898757589198112</v>
      </c>
      <c r="G48" s="719">
        <f>+landbouw!F12</f>
        <v>141.43806115017475</v>
      </c>
      <c r="H48" s="719">
        <f>+landbouw!G12</f>
        <v>0</v>
      </c>
      <c r="I48" s="719">
        <f>+landbouw!H12</f>
        <v>0</v>
      </c>
      <c r="J48" s="719">
        <f>+landbouw!I12</f>
        <v>0</v>
      </c>
      <c r="K48" s="719">
        <f>+landbouw!J12</f>
        <v>11.331280442132597</v>
      </c>
      <c r="L48" s="719">
        <f>+landbouw!K12</f>
        <v>0</v>
      </c>
      <c r="M48" s="719">
        <f>+landbouw!L12</f>
        <v>0</v>
      </c>
      <c r="N48" s="719">
        <f>+landbouw!M12</f>
        <v>0</v>
      </c>
      <c r="O48" s="719">
        <f>+landbouw!N12</f>
        <v>0</v>
      </c>
      <c r="P48" s="719">
        <f>+landbouw!O12</f>
        <v>0</v>
      </c>
      <c r="Q48" s="720">
        <f>+landbouw!P12</f>
        <v>0</v>
      </c>
      <c r="R48" s="762">
        <f ca="1">SUM(C48:Q48)</f>
        <v>1302.2417325263091</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12658.237363765835</v>
      </c>
      <c r="D53" s="774">
        <f t="shared" ref="D53:Q53" ca="1" si="6">D41+D46+D48</f>
        <v>0</v>
      </c>
      <c r="E53" s="774">
        <f t="shared" ca="1" si="6"/>
        <v>30960.758790444168</v>
      </c>
      <c r="F53" s="774">
        <f t="shared" si="6"/>
        <v>528.68032315166988</v>
      </c>
      <c r="G53" s="774">
        <f t="shared" ca="1" si="6"/>
        <v>5050.0815697559538</v>
      </c>
      <c r="H53" s="774">
        <f t="shared" si="6"/>
        <v>44794.623437690927</v>
      </c>
      <c r="I53" s="774">
        <f t="shared" si="6"/>
        <v>9116.8039019081552</v>
      </c>
      <c r="J53" s="774">
        <f t="shared" si="6"/>
        <v>0</v>
      </c>
      <c r="K53" s="774">
        <f t="shared" si="6"/>
        <v>17.558947785385651</v>
      </c>
      <c r="L53" s="774">
        <f t="shared" si="6"/>
        <v>0</v>
      </c>
      <c r="M53" s="774">
        <f t="shared" ca="1" si="6"/>
        <v>0</v>
      </c>
      <c r="N53" s="774">
        <f t="shared" si="6"/>
        <v>0</v>
      </c>
      <c r="O53" s="774">
        <f t="shared" ca="1" si="6"/>
        <v>0</v>
      </c>
      <c r="P53" s="774">
        <f>P41+P46+P48</f>
        <v>0</v>
      </c>
      <c r="Q53" s="775">
        <f t="shared" si="6"/>
        <v>0</v>
      </c>
      <c r="R53" s="776">
        <f ca="1">R41+R46+R48</f>
        <v>103126.74433450209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0.21369334044697405</v>
      </c>
      <c r="D55" s="837">
        <f t="shared" ca="1" si="7"/>
        <v>0</v>
      </c>
      <c r="E55" s="837">
        <f t="shared" ca="1" si="7"/>
        <v>0.20199999999999999</v>
      </c>
      <c r="F55" s="837">
        <f t="shared" si="7"/>
        <v>0.22699999999999998</v>
      </c>
      <c r="G55" s="837">
        <f t="shared" ca="1" si="7"/>
        <v>0.26700000000000007</v>
      </c>
      <c r="H55" s="837">
        <f t="shared" si="7"/>
        <v>0.26700000000000002</v>
      </c>
      <c r="I55" s="837">
        <f t="shared" si="7"/>
        <v>0.24900000000000003</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1958.4335740468755</v>
      </c>
      <c r="C66" s="796">
        <f>'lokale energieproductie'!B6</f>
        <v>1958.4335740468755</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1958.4335740468755</v>
      </c>
      <c r="C69" s="804">
        <f>SUM(C64:C68)</f>
        <v>1958.4335740468755</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37593.004159604679</v>
      </c>
      <c r="C4" s="479">
        <f>huishoudens!C8</f>
        <v>0</v>
      </c>
      <c r="D4" s="479">
        <f>huishoudens!D8</f>
        <v>121174.98607666753</v>
      </c>
      <c r="E4" s="479">
        <f>huishoudens!E8</f>
        <v>1355.1566579826065</v>
      </c>
      <c r="F4" s="479">
        <f>huishoudens!F8</f>
        <v>13731.075863023778</v>
      </c>
      <c r="G4" s="479">
        <f>huishoudens!G8</f>
        <v>0</v>
      </c>
      <c r="H4" s="479">
        <f>huishoudens!H8</f>
        <v>0</v>
      </c>
      <c r="I4" s="479">
        <f>huishoudens!I8</f>
        <v>0</v>
      </c>
      <c r="J4" s="479">
        <f>huishoudens!J8</f>
        <v>0</v>
      </c>
      <c r="K4" s="479">
        <f>huishoudens!K8</f>
        <v>0</v>
      </c>
      <c r="L4" s="479">
        <f>huishoudens!L8</f>
        <v>0</v>
      </c>
      <c r="M4" s="479">
        <f>huishoudens!M8</f>
        <v>0</v>
      </c>
      <c r="N4" s="479">
        <f>huishoudens!N8</f>
        <v>6852.1431339316941</v>
      </c>
      <c r="O4" s="479">
        <f>huishoudens!O8</f>
        <v>231.37333333333333</v>
      </c>
      <c r="P4" s="480">
        <f>huishoudens!P8</f>
        <v>552.93333333333339</v>
      </c>
      <c r="Q4" s="481">
        <f>SUM(B4:P4)</f>
        <v>181490.67255787697</v>
      </c>
    </row>
    <row r="5" spans="1:17">
      <c r="A5" s="478" t="s">
        <v>156</v>
      </c>
      <c r="B5" s="479">
        <f ca="1">tertiair!B16</f>
        <v>18499.818200000002</v>
      </c>
      <c r="C5" s="479">
        <f ca="1">tertiair!C16</f>
        <v>0</v>
      </c>
      <c r="D5" s="479">
        <f ca="1">tertiair!D16</f>
        <v>24221.919180841956</v>
      </c>
      <c r="E5" s="479">
        <f>tertiair!E16</f>
        <v>129.08778865080285</v>
      </c>
      <c r="F5" s="479">
        <f ca="1">tertiair!F16</f>
        <v>2866.9827249442492</v>
      </c>
      <c r="G5" s="479">
        <f>tertiair!G16</f>
        <v>0</v>
      </c>
      <c r="H5" s="479">
        <f>tertiair!H16</f>
        <v>0</v>
      </c>
      <c r="I5" s="479">
        <f>tertiair!I16</f>
        <v>0</v>
      </c>
      <c r="J5" s="479">
        <f>tertiair!J16</f>
        <v>0</v>
      </c>
      <c r="K5" s="479">
        <f>tertiair!K16</f>
        <v>0</v>
      </c>
      <c r="L5" s="479">
        <f ca="1">tertiair!L16</f>
        <v>0</v>
      </c>
      <c r="M5" s="479">
        <f>tertiair!M16</f>
        <v>0</v>
      </c>
      <c r="N5" s="479">
        <f ca="1">tertiair!N16</f>
        <v>3505.7768256808313</v>
      </c>
      <c r="O5" s="479">
        <f>tertiair!O16</f>
        <v>3.1266666666666669</v>
      </c>
      <c r="P5" s="480">
        <f>tertiair!P16</f>
        <v>38.133333333333333</v>
      </c>
      <c r="Q5" s="478">
        <f t="shared" ref="Q5:Q13" ca="1" si="0">SUM(B5:P5)</f>
        <v>49264.844720117835</v>
      </c>
    </row>
    <row r="6" spans="1:17">
      <c r="A6" s="478" t="s">
        <v>194</v>
      </c>
      <c r="B6" s="479">
        <f>'openbare verlichting'!B8</f>
        <v>1327.9169999999999</v>
      </c>
      <c r="C6" s="479"/>
      <c r="D6" s="479"/>
      <c r="E6" s="479"/>
      <c r="F6" s="479"/>
      <c r="G6" s="479"/>
      <c r="H6" s="479"/>
      <c r="I6" s="479"/>
      <c r="J6" s="479"/>
      <c r="K6" s="479"/>
      <c r="L6" s="479"/>
      <c r="M6" s="479"/>
      <c r="N6" s="479"/>
      <c r="O6" s="479"/>
      <c r="P6" s="480"/>
      <c r="Q6" s="478">
        <f t="shared" si="0"/>
        <v>1327.9169999999999</v>
      </c>
    </row>
    <row r="7" spans="1:17">
      <c r="A7" s="478" t="s">
        <v>112</v>
      </c>
      <c r="B7" s="479">
        <f>landbouw!B8</f>
        <v>208.78628</v>
      </c>
      <c r="C7" s="479">
        <f>landbouw!C8</f>
        <v>0</v>
      </c>
      <c r="D7" s="479">
        <f>landbouw!D8</f>
        <v>5467.4117116109528</v>
      </c>
      <c r="E7" s="479">
        <f>landbouw!E8</f>
        <v>1.9338659730924277</v>
      </c>
      <c r="F7" s="479">
        <f>landbouw!F8</f>
        <v>529.73056610552339</v>
      </c>
      <c r="G7" s="479">
        <f>landbouw!G8</f>
        <v>0</v>
      </c>
      <c r="H7" s="479">
        <f>landbouw!H8</f>
        <v>0</v>
      </c>
      <c r="I7" s="479">
        <f>landbouw!I8</f>
        <v>0</v>
      </c>
      <c r="J7" s="479">
        <f>landbouw!J8</f>
        <v>32.009266785685305</v>
      </c>
      <c r="K7" s="479">
        <f>landbouw!K8</f>
        <v>0</v>
      </c>
      <c r="L7" s="479">
        <f>landbouw!L8</f>
        <v>0</v>
      </c>
      <c r="M7" s="479">
        <f>landbouw!M8</f>
        <v>0</v>
      </c>
      <c r="N7" s="479">
        <f>landbouw!N8</f>
        <v>0</v>
      </c>
      <c r="O7" s="479">
        <f>landbouw!O8</f>
        <v>0</v>
      </c>
      <c r="P7" s="480">
        <f>landbouw!P8</f>
        <v>0</v>
      </c>
      <c r="Q7" s="478">
        <f t="shared" si="0"/>
        <v>6239.8716904752537</v>
      </c>
    </row>
    <row r="8" spans="1:17">
      <c r="A8" s="478" t="s">
        <v>650</v>
      </c>
      <c r="B8" s="479">
        <f>industrie!B18</f>
        <v>1571.5611000000001</v>
      </c>
      <c r="C8" s="479">
        <f>industrie!C18</f>
        <v>0</v>
      </c>
      <c r="D8" s="479">
        <f>industrie!D18</f>
        <v>2311.6995329633246</v>
      </c>
      <c r="E8" s="479">
        <f>industrie!E18</f>
        <v>164.86524364502958</v>
      </c>
      <c r="F8" s="479">
        <f>industrie!F18</f>
        <v>1786.3740285330173</v>
      </c>
      <c r="G8" s="479">
        <f>industrie!G18</f>
        <v>0</v>
      </c>
      <c r="H8" s="479">
        <f>industrie!H18</f>
        <v>0</v>
      </c>
      <c r="I8" s="479">
        <f>industrie!I18</f>
        <v>0</v>
      </c>
      <c r="J8" s="479">
        <f>industrie!J18</f>
        <v>17.592280630658347</v>
      </c>
      <c r="K8" s="479">
        <f>industrie!K18</f>
        <v>0</v>
      </c>
      <c r="L8" s="479">
        <f>industrie!L18</f>
        <v>0</v>
      </c>
      <c r="M8" s="479">
        <f>industrie!M18</f>
        <v>0</v>
      </c>
      <c r="N8" s="479">
        <f>industrie!N18</f>
        <v>587.73415652599101</v>
      </c>
      <c r="O8" s="479">
        <f>industrie!O18</f>
        <v>0</v>
      </c>
      <c r="P8" s="480">
        <f>industrie!P18</f>
        <v>0</v>
      </c>
      <c r="Q8" s="478">
        <f t="shared" si="0"/>
        <v>6439.8263422980208</v>
      </c>
    </row>
    <row r="9" spans="1:17" s="484" customFormat="1">
      <c r="A9" s="482" t="s">
        <v>571</v>
      </c>
      <c r="B9" s="483">
        <f>transport!B14</f>
        <v>34.438978179003634</v>
      </c>
      <c r="C9" s="483"/>
      <c r="D9" s="483">
        <f>transport!D14</f>
        <v>95.066618926962306</v>
      </c>
      <c r="E9" s="483">
        <f>transport!E14</f>
        <v>677.94465146507628</v>
      </c>
      <c r="F9" s="483"/>
      <c r="G9" s="483">
        <f>transport!G14</f>
        <v>163292.7372044042</v>
      </c>
      <c r="H9" s="483">
        <f>transport!H14</f>
        <v>36613.670288787769</v>
      </c>
      <c r="I9" s="483"/>
      <c r="J9" s="483"/>
      <c r="K9" s="483"/>
      <c r="L9" s="483"/>
      <c r="M9" s="483">
        <f>transport!M14</f>
        <v>10572.855687674723</v>
      </c>
      <c r="N9" s="483"/>
      <c r="O9" s="483"/>
      <c r="P9" s="483"/>
      <c r="Q9" s="482">
        <f>SUM(B9:P9)</f>
        <v>211286.71342943775</v>
      </c>
    </row>
    <row r="10" spans="1:17">
      <c r="A10" s="478" t="s">
        <v>561</v>
      </c>
      <c r="B10" s="479">
        <f>transport!B54</f>
        <v>0</v>
      </c>
      <c r="C10" s="479"/>
      <c r="D10" s="479">
        <f>transport!D54</f>
        <v>0</v>
      </c>
      <c r="E10" s="479"/>
      <c r="F10" s="479"/>
      <c r="G10" s="479">
        <f>transport!G54</f>
        <v>4477.388030393282</v>
      </c>
      <c r="H10" s="479"/>
      <c r="I10" s="479"/>
      <c r="J10" s="479"/>
      <c r="K10" s="479"/>
      <c r="L10" s="479"/>
      <c r="M10" s="479">
        <f>transport!M54</f>
        <v>255.33238708213884</v>
      </c>
      <c r="N10" s="479"/>
      <c r="O10" s="479"/>
      <c r="P10" s="480"/>
      <c r="Q10" s="478">
        <f t="shared" si="0"/>
        <v>4732.7204174754206</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59235.525717783683</v>
      </c>
      <c r="C14" s="489">
        <f t="shared" ref="C14:Q14" ca="1" si="1">SUM(C4:C13)</f>
        <v>0</v>
      </c>
      <c r="D14" s="489">
        <f t="shared" ca="1" si="1"/>
        <v>153271.08312101074</v>
      </c>
      <c r="E14" s="489">
        <f t="shared" si="1"/>
        <v>2328.9882077166076</v>
      </c>
      <c r="F14" s="489">
        <f t="shared" ca="1" si="1"/>
        <v>18914.163182606568</v>
      </c>
      <c r="G14" s="489">
        <f t="shared" si="1"/>
        <v>167770.12523479748</v>
      </c>
      <c r="H14" s="489">
        <f t="shared" si="1"/>
        <v>36613.670288787769</v>
      </c>
      <c r="I14" s="489">
        <f t="shared" si="1"/>
        <v>0</v>
      </c>
      <c r="J14" s="489">
        <f t="shared" si="1"/>
        <v>49.601547416343649</v>
      </c>
      <c r="K14" s="489">
        <f t="shared" si="1"/>
        <v>0</v>
      </c>
      <c r="L14" s="489">
        <f t="shared" ca="1" si="1"/>
        <v>0</v>
      </c>
      <c r="M14" s="489">
        <f t="shared" si="1"/>
        <v>10828.188074756861</v>
      </c>
      <c r="N14" s="489">
        <f t="shared" ca="1" si="1"/>
        <v>10945.654116138516</v>
      </c>
      <c r="O14" s="489">
        <f t="shared" si="1"/>
        <v>234.5</v>
      </c>
      <c r="P14" s="490">
        <f t="shared" si="1"/>
        <v>591.06666666666672</v>
      </c>
      <c r="Q14" s="490">
        <f t="shared" ca="1" si="1"/>
        <v>460782.56615768129</v>
      </c>
    </row>
    <row r="16" spans="1:17">
      <c r="A16" s="492" t="s">
        <v>566</v>
      </c>
      <c r="B16" s="842">
        <f ca="1">huishoudens!B10</f>
        <v>0.21369334044697405</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8033.374636302914</v>
      </c>
      <c r="C21" s="479">
        <f t="shared" ref="C21:C28" ca="1" si="3">C4*$C$16</f>
        <v>0</v>
      </c>
      <c r="D21" s="479">
        <f t="shared" ref="D21:D30" si="4">D4*$D$16</f>
        <v>24477.347187486841</v>
      </c>
      <c r="E21" s="479">
        <f t="shared" ref="E21:E30" si="5">E4*$E$16</f>
        <v>307.62056136205166</v>
      </c>
      <c r="F21" s="479">
        <f t="shared" ref="F21:F28" si="6">F4*$F$16</f>
        <v>3666.1972554273489</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36484.539640579154</v>
      </c>
    </row>
    <row r="22" spans="1:17">
      <c r="A22" s="478" t="s">
        <v>156</v>
      </c>
      <c r="B22" s="479">
        <f t="shared" ca="1" si="2"/>
        <v>3953.2879488197268</v>
      </c>
      <c r="C22" s="479">
        <f t="shared" ca="1" si="3"/>
        <v>0</v>
      </c>
      <c r="D22" s="479">
        <f t="shared" ca="1" si="4"/>
        <v>4892.8276745300755</v>
      </c>
      <c r="E22" s="479">
        <f t="shared" si="5"/>
        <v>29.302928023732246</v>
      </c>
      <c r="F22" s="479">
        <f t="shared" ca="1" si="6"/>
        <v>765.48438756011456</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9640.9029389336483</v>
      </c>
    </row>
    <row r="23" spans="1:17">
      <c r="A23" s="478" t="s">
        <v>194</v>
      </c>
      <c r="B23" s="479">
        <f t="shared" ca="1" si="2"/>
        <v>283.76701956632445</v>
      </c>
      <c r="C23" s="479"/>
      <c r="D23" s="479"/>
      <c r="E23" s="479"/>
      <c r="F23" s="479"/>
      <c r="G23" s="479"/>
      <c r="H23" s="479"/>
      <c r="I23" s="479"/>
      <c r="J23" s="479"/>
      <c r="K23" s="479"/>
      <c r="L23" s="479"/>
      <c r="M23" s="479"/>
      <c r="N23" s="479"/>
      <c r="O23" s="479"/>
      <c r="P23" s="480"/>
      <c r="Q23" s="478">
        <f t="shared" ca="1" si="17"/>
        <v>283.76701956632445</v>
      </c>
    </row>
    <row r="24" spans="1:17">
      <c r="A24" s="478" t="s">
        <v>112</v>
      </c>
      <c r="B24" s="479">
        <f t="shared" ca="1" si="2"/>
        <v>44.616237612697248</v>
      </c>
      <c r="C24" s="479">
        <f t="shared" ca="1" si="3"/>
        <v>0</v>
      </c>
      <c r="D24" s="479">
        <f t="shared" si="4"/>
        <v>1104.4171657454126</v>
      </c>
      <c r="E24" s="479">
        <f t="shared" si="5"/>
        <v>0.43898757589198112</v>
      </c>
      <c r="F24" s="479">
        <f t="shared" si="6"/>
        <v>141.43806115017475</v>
      </c>
      <c r="G24" s="479">
        <f t="shared" si="7"/>
        <v>0</v>
      </c>
      <c r="H24" s="479">
        <f t="shared" si="8"/>
        <v>0</v>
      </c>
      <c r="I24" s="479">
        <f t="shared" si="9"/>
        <v>0</v>
      </c>
      <c r="J24" s="479">
        <f t="shared" si="10"/>
        <v>11.331280442132597</v>
      </c>
      <c r="K24" s="479">
        <f t="shared" si="11"/>
        <v>0</v>
      </c>
      <c r="L24" s="479">
        <f t="shared" si="12"/>
        <v>0</v>
      </c>
      <c r="M24" s="479">
        <f t="shared" si="13"/>
        <v>0</v>
      </c>
      <c r="N24" s="479">
        <f t="shared" si="14"/>
        <v>0</v>
      </c>
      <c r="O24" s="479">
        <f t="shared" si="15"/>
        <v>0</v>
      </c>
      <c r="P24" s="480">
        <f t="shared" si="16"/>
        <v>0</v>
      </c>
      <c r="Q24" s="478">
        <f t="shared" ca="1" si="17"/>
        <v>1302.2417325263091</v>
      </c>
    </row>
    <row r="25" spans="1:17">
      <c r="A25" s="478" t="s">
        <v>650</v>
      </c>
      <c r="B25" s="479">
        <f t="shared" ca="1" si="2"/>
        <v>335.83214117552103</v>
      </c>
      <c r="C25" s="479">
        <f t="shared" ca="1" si="3"/>
        <v>0</v>
      </c>
      <c r="D25" s="479">
        <f t="shared" si="4"/>
        <v>466.96330565859159</v>
      </c>
      <c r="E25" s="479">
        <f t="shared" si="5"/>
        <v>37.424410307421716</v>
      </c>
      <c r="F25" s="479">
        <f t="shared" si="6"/>
        <v>476.96186561831564</v>
      </c>
      <c r="G25" s="479">
        <f t="shared" si="7"/>
        <v>0</v>
      </c>
      <c r="H25" s="479">
        <f t="shared" si="8"/>
        <v>0</v>
      </c>
      <c r="I25" s="479">
        <f t="shared" si="9"/>
        <v>0</v>
      </c>
      <c r="J25" s="479">
        <f t="shared" si="10"/>
        <v>6.2276673432530547</v>
      </c>
      <c r="K25" s="479">
        <f t="shared" si="11"/>
        <v>0</v>
      </c>
      <c r="L25" s="479">
        <f t="shared" si="12"/>
        <v>0</v>
      </c>
      <c r="M25" s="479">
        <f t="shared" si="13"/>
        <v>0</v>
      </c>
      <c r="N25" s="479">
        <f t="shared" si="14"/>
        <v>0</v>
      </c>
      <c r="O25" s="479">
        <f t="shared" si="15"/>
        <v>0</v>
      </c>
      <c r="P25" s="480">
        <f t="shared" si="16"/>
        <v>0</v>
      </c>
      <c r="Q25" s="478">
        <f t="shared" ca="1" si="17"/>
        <v>1323.4093901031029</v>
      </c>
    </row>
    <row r="26" spans="1:17" s="484" customFormat="1">
      <c r="A26" s="482" t="s">
        <v>571</v>
      </c>
      <c r="B26" s="836">
        <f t="shared" ca="1" si="2"/>
        <v>7.3593802886517343</v>
      </c>
      <c r="C26" s="483"/>
      <c r="D26" s="483">
        <f t="shared" si="4"/>
        <v>19.203457023246386</v>
      </c>
      <c r="E26" s="483">
        <f t="shared" si="5"/>
        <v>153.89343588257233</v>
      </c>
      <c r="F26" s="483"/>
      <c r="G26" s="483">
        <f t="shared" si="7"/>
        <v>43599.160833575923</v>
      </c>
      <c r="H26" s="483">
        <f t="shared" si="8"/>
        <v>9116.8039019081552</v>
      </c>
      <c r="I26" s="483"/>
      <c r="J26" s="483"/>
      <c r="K26" s="483"/>
      <c r="L26" s="483"/>
      <c r="M26" s="483">
        <f t="shared" si="13"/>
        <v>0</v>
      </c>
      <c r="N26" s="483"/>
      <c r="O26" s="483"/>
      <c r="P26" s="494"/>
      <c r="Q26" s="482">
        <f t="shared" ca="1" si="17"/>
        <v>52896.421008678546</v>
      </c>
    </row>
    <row r="27" spans="1:17">
      <c r="A27" s="478" t="s">
        <v>561</v>
      </c>
      <c r="B27" s="479">
        <f t="shared" ca="1" si="2"/>
        <v>0</v>
      </c>
      <c r="C27" s="479"/>
      <c r="D27" s="483">
        <f t="shared" si="4"/>
        <v>0</v>
      </c>
      <c r="E27" s="479"/>
      <c r="F27" s="479"/>
      <c r="G27" s="479">
        <f t="shared" si="7"/>
        <v>1195.4626041150063</v>
      </c>
      <c r="H27" s="479"/>
      <c r="I27" s="479"/>
      <c r="J27" s="479"/>
      <c r="K27" s="479"/>
      <c r="L27" s="479"/>
      <c r="M27" s="479">
        <f t="shared" si="13"/>
        <v>0</v>
      </c>
      <c r="N27" s="479"/>
      <c r="O27" s="479"/>
      <c r="P27" s="480"/>
      <c r="Q27" s="478">
        <f t="shared" ca="1" si="17"/>
        <v>1195.4626041150063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12658.237363765837</v>
      </c>
      <c r="C31" s="489">
        <f t="shared" ca="1" si="18"/>
        <v>0</v>
      </c>
      <c r="D31" s="489">
        <f t="shared" ca="1" si="18"/>
        <v>30960.758790444168</v>
      </c>
      <c r="E31" s="489">
        <f t="shared" si="18"/>
        <v>528.68032315167</v>
      </c>
      <c r="F31" s="489">
        <f t="shared" ca="1" si="18"/>
        <v>5050.0815697559538</v>
      </c>
      <c r="G31" s="489">
        <f t="shared" si="18"/>
        <v>44794.623437690927</v>
      </c>
      <c r="H31" s="489">
        <f t="shared" si="18"/>
        <v>9116.8039019081552</v>
      </c>
      <c r="I31" s="489">
        <f t="shared" si="18"/>
        <v>0</v>
      </c>
      <c r="J31" s="489">
        <f t="shared" si="18"/>
        <v>17.558947785385651</v>
      </c>
      <c r="K31" s="489">
        <f t="shared" si="18"/>
        <v>0</v>
      </c>
      <c r="L31" s="489">
        <f t="shared" ca="1" si="18"/>
        <v>0</v>
      </c>
      <c r="M31" s="489">
        <f t="shared" si="18"/>
        <v>0</v>
      </c>
      <c r="N31" s="489">
        <f t="shared" ca="1" si="18"/>
        <v>0</v>
      </c>
      <c r="O31" s="489">
        <f t="shared" si="18"/>
        <v>0</v>
      </c>
      <c r="P31" s="490">
        <f t="shared" si="18"/>
        <v>0</v>
      </c>
      <c r="Q31" s="490">
        <f t="shared" ca="1" si="18"/>
        <v>103126.74433450209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0.21369334044697405</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0.21369334044697405</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0.21369334044697405</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2019-01-01T21:31:52Z</dcterms:modified>
</cp:coreProperties>
</file>