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N20"/>
  <c r="N23" s="1"/>
  <c r="E5" i="48"/>
  <c r="E22" s="1"/>
  <c r="R22" i="14"/>
  <c r="D31" i="48"/>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O13"/>
  <c r="O15" s="1"/>
  <c r="N22" i="16"/>
  <c r="O39" i="14" s="1"/>
  <c r="O41" s="1"/>
  <c r="F8" i="48"/>
  <c r="Q4"/>
  <c r="N22"/>
  <c r="R11" i="14"/>
  <c r="J21" i="48"/>
  <c r="C29" i="20" l="1"/>
  <c r="Q5" i="48"/>
  <c r="C16" i="22"/>
  <c r="C17" i="49"/>
  <c r="C56" i="22"/>
  <c r="C58" s="1"/>
  <c r="D44" i="14" s="1"/>
  <c r="D46" s="1"/>
  <c r="C10" i="17"/>
  <c r="C12" s="1"/>
  <c r="D48" i="14" s="1"/>
  <c r="C10" i="13"/>
  <c r="C16" i="48" s="1"/>
  <c r="K13" i="14"/>
  <c r="R13" s="1"/>
  <c r="R15" s="1"/>
  <c r="E31" i="48"/>
  <c r="F22" i="16"/>
  <c r="G39" i="14" s="1"/>
  <c r="G41" s="1"/>
  <c r="G53" s="1"/>
  <c r="G55" s="1"/>
  <c r="O69" s="1"/>
  <c r="B9" i="6" s="1"/>
  <c r="B12" s="1"/>
  <c r="C18" i="15"/>
  <c r="C20" s="1"/>
  <c r="D36" i="14" s="1"/>
  <c r="N25" i="48"/>
  <c r="N31" s="1"/>
  <c r="N14"/>
  <c r="K41" i="14"/>
  <c r="K53" s="1"/>
  <c r="E14" i="48"/>
  <c r="K15" i="14"/>
  <c r="K23" s="1"/>
  <c r="H55"/>
  <c r="E55"/>
  <c r="C78"/>
  <c r="C81" s="1"/>
  <c r="J14" i="48"/>
  <c r="J31"/>
  <c r="Q8"/>
  <c r="R19" i="14"/>
  <c r="R20" s="1"/>
  <c r="H14" i="48"/>
  <c r="G31"/>
  <c r="H26"/>
  <c r="H31" s="1"/>
  <c r="F55" i="14"/>
  <c r="O53"/>
  <c r="M53"/>
  <c r="M55" s="1"/>
  <c r="C12" i="13"/>
  <c r="D37" i="14" s="1"/>
  <c r="D41" s="1"/>
  <c r="C24" i="48"/>
  <c r="C28"/>
  <c r="C22"/>
  <c r="C25"/>
  <c r="C21"/>
  <c r="F25"/>
  <c r="F31" s="1"/>
  <c r="F14"/>
  <c r="Q14" l="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<sst xmlns="http://schemas.openxmlformats.org/spreadsheetml/2006/main" count="2164" uniqueCount="888">
  <si>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</si>
  <si>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</si>
  <si>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</si>
  <si>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</si>
  <si>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</si>
  <si>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</si>
  <si>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</si>
  <si>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</si>
  <si>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</si>
  <si>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</si>
  <si>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</si>
  <si>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</si>
  <si>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</si>
  <si>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</si>
  <si>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</si>
  <si>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</si>
  <si>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</si>
  <si>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</si>
  <si>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</si>
  <si>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</si>
  <si>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</si>
  <si>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</si>
  <si>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</si>
  <si>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</si>
  <si>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</si>
  <si>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</si>
  <si>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</si>
  <si>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</si>
  <si>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</si>
  <si>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</si>
  <si>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</si>
  <si>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</si>
  <si>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</si>
  <si>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</si>
  <si>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</si>
  <si>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</si>
  <si>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</si>
  <si>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</si>
  <si>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</si>
  <si>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</si>
  <si>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</si>
  <si>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</si>
  <si>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</si>
  <si>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</si>
  <si>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</si>
  <si>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</si>
  <si>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</si>
  <si>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</si>
  <si>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</si>
  <si>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</si>
  <si>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</si>
  <si>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</si>
  <si>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</si>
  <si>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</si>
  <si>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</si>
  <si>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</si>
  <si>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</si>
  <si>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</si>
  <si>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</si>
  <si>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</si>
  <si>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</si>
  <si>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</si>
  <si>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</si>
  <si>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</si>
  <si>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</si>
  <si>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</si>
  <si>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</si>
  <si>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</si>
  <si>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</si>
  <si>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</si>
  <si>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</si>
  <si>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</si>
  <si>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</si>
  <si>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</si>
  <si>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</si>
  <si>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</si>
  <si>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</si>
  <si>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</si>
  <si>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</si>
  <si>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</si>
  <si>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</si>
  <si>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</si>
  <si>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</si>
  <si>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</si>
  <si>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</si>
  <si>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</si>
  <si>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</si>
  <si>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</si>
  <si>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</si>
  <si>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</si>
  <si>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</si>
  <si>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</si>
  <si>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</si>
  <si>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</si>
  <si>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</si>
  <si>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</si>
  <si>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</si>
  <si>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</si>
  <si>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</si>
  <si>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</si>
  <si>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</si>
  <si>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</si>
  <si>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</si>
  <si>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</si>
  <si>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</si>
  <si>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</si>
  <si>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</si>
  <si>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</si>
  <si>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</si>
  <si>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</si>
  <si>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</si>
  <si>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</si>
  <si>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</si>
  <si>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</si>
  <si>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</si>
  <si>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</si>
  <si>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</si>
  <si>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</si>
  <si>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</si>
  <si>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</si>
  <si>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</si>
  <si>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</si>
  <si>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</si>
  <si>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</si>
  <si>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</si>
  <si>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</si>
  <si>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</si>
  <si>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</si>
  <si>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</si>
  <si>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</si>
  <si>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</si>
  <si>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</si>
  <si>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</si>
  <si>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</si>
  <si>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</si>
  <si>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</si>
  <si>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</si>
  <si>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</si>
  <si>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</si>
  <si>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</si>
  <si>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</si>
  <si>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</si>
  <si>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</si>
  <si>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</si>
  <si>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</si>
  <si>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</si>
  <si>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</si>
  <si>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</si>
  <si>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</si>
  <si>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</si>
  <si>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</si>
  <si>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</si>
  <si>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</si>
  <si>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</si>
  <si>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</si>
  <si>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</si>
  <si>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</si>
  <si>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</si>
  <si>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</si>
  <si>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</si>
  <si>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</si>
  <si>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</si>
  <si>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</si>
  <si>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</si>
  <si>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</si>
  <si>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</si>
  <si>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</si>
  <si>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</si>
  <si>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</si>
  <si>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</si>
  <si>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</si>
  <si>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</si>
  <si>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</si>
  <si>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</si>
  <si>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</si>
  <si>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</si>
  <si>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</si>
  <si>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</si>
  <si>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</si>
  <si>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</si>
  <si>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</si>
  <si>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</si>
  <si>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</si>
  <si>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</si>
  <si>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</si>
  <si>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</si>
  <si>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</si>
  <si>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</si>
  <si>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</si>
  <si>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</si>
  <si>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</si>
  <si>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</si>
  <si>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</si>
  <si>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</si>
  <si>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</si>
  <si>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</si>
  <si>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</si>
  <si>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</si>
  <si>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</si>
  <si>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</si>
  <si>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</si>
  <si>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</si>
  <si>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</si>
  <si>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</si>
  <si>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</si>
  <si>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</si>
  <si>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</si>
  <si>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</si>
  <si>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</si>
  <si>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</si>
  <si>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</si>
  <si>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</si>
  <si>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</si>
  <si>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</si>
  <si>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</si>
  <si>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</si>
  <si>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</si>
  <si>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</si>
  <si>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</si>
  <si>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</si>
  <si>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</si>
  <si>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</si>
  <si>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</si>
  <si>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</si>
  <si>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</si>
  <si>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</si>
  <si>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</si>
  <si>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</si>
  <si>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</si>
  <si>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</si>
  <si>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</si>
  <si>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</si>
  <si>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</si>
  <si>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</si>
  <si>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</si>
  <si>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</si>
  <si>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</si>
  <si>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</si>
  <si>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</si>
  <si>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</si>
  <si>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</si>
  <si>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</si>
  <si>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</si>
  <si>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</si>
  <si>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</si>
  <si>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</si>
  <si>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</si>
  <si>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</si>
  <si>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</si>
  <si>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</si>
  <si>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</si>
  <si>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</si>
  <si>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</si>
  <si>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</si>
  <si>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</si>
  <si>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</si>
  <si>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</si>
  <si>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</si>
  <si>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</si>
  <si>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</si>
  <si>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</si>
  <si>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</si>
  <si>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</si>
  <si>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</si>
  <si>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</si>
  <si>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</si>
  <si>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</si>
  <si>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</si>
  <si>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</si>
  <si>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</si>
  <si>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</si>
  <si>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</si>
  <si>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</si>
  <si>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</si>
  <si>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</si>
  <si>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</si>
  <si>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</si>
  <si>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</si>
  <si>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</si>
  <si>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</si>
  <si>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</si>
  <si>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</si>
  <si>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</si>
  <si>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</si>
  <si>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</si>
  <si>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</si>
  <si>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</si>
  <si>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</si>
  <si>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</si>
  <si>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</si>
  <si>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</si>
  <si>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</si>
  <si>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</si>
  <si>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</si>
  <si>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</si>
  <si>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</si>
  <si>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</si>
  <si>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</si>
  <si>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</si>
  <si>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</si>
  <si>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</si>
  <si>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</si>
  <si>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</si>
  <si>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</si>
  <si>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</si>
  <si>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</si>
  <si>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</si>
  <si>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</si>
  <si>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</si>
  <si>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</si>
  <si>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</si>
  <si>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</si>
  <si>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</si>
  <si>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</si>
  <si>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</si>
  <si>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</si>
  <si>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</si>
  <si>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</si>
  <si>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</si>
  <si>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</si>
  <si>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</si>
  <si>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</si>
  <si>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</si>
  <si>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</si>
  <si>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</si>
  <si>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</si>
  <si>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</si>
  <si>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</si>
  <si>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</si>
  <si>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</si>
  <si>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</si>
  <si>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</si>
  <si>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</si>
  <si>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</si>
  <si>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</si>
  <si>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</si>
  <si>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</si>
  <si>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</si>
  <si>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</si>
  <si>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</si>
  <si>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</si>
  <si>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</si>
  <si>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</si>
  <si>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</si>
  <si>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</si>
  <si>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</si>
  <si>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</si>
  <si>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</si>
  <si>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</si>
  <si>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</si>
  <si>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</si>
  <si>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</si>
  <si>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</si>
  <si>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</si>
  <si>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</si>
  <si>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</si>
  <si>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</si>
  <si>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</si>
  <si>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</si>
  <si>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</si>
  <si>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</si>
  <si>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</si>
  <si>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</si>
  <si>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</si>
  <si>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</si>
  <si>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</si>
  <si>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</si>
  <si>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</si>
  <si>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</si>
  <si>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</si>
  <si>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</si>
  <si>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</si>
  <si>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</si>
  <si>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</si>
  <si>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</si>
  <si>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</si>
  <si>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</si>
  <si>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</si>
  <si>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</si>
  <si>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</si>
  <si>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</si>
  <si>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</si>
  <si>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</si>
  <si>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</si>
  <si>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</si>
  <si>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</si>
  <si>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</si>
  <si>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</si>
  <si>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</si>
  <si>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</si>
  <si>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</si>
  <si>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</si>
  <si>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</si>
  <si>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</si>
  <si>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</si>
  <si>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</si>
  <si>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</si>
  <si>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</si>
  <si>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</si>
  <si>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</si>
  <si>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</si>
  <si>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</si>
  <si>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</si>
  <si>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</si>
  <si>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</si>
  <si>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</si>
  <si>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</si>
  <si>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</si>
  <si>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</si>
  <si>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</si>
  <si>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</si>
  <si>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</si>
  <si>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</si>
  <si>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</si>
  <si>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</si>
  <si>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</si>
  <si>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</si>
  <si>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</si>
  <si>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</si>
  <si>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</si>
  <si>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</si>
  <si>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</si>
  <si>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</si>
  <si>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</si>
  <si>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</si>
  <si>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</si>
  <si>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</si>
  <si>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</si>
  <si>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</si>
  <si>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</si>
  <si>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</si>
  <si>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</si>
  <si>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</si>
  <si>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</si>
  <si>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</si>
  <si>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</si>
  <si>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</si>
  <si>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</si>
  <si>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</si>
  <si>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</si>
  <si>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</si>
  <si>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</si>
  <si>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</si>
  <si>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</si>
  <si>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</si>
  <si>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</si>
  <si>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</si>
  <si>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</si>
  <si>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</si>
  <si>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</si>
  <si>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</si>
  <si>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</si>
  <si>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</si>
  <si>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</si>
  <si>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</si>
  <si>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</si>
  <si>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</si>
  <si>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</si>
  <si>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</si>
  <si>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</si>
  <si>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</si>
  <si>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</si>
  <si>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</si>
  <si>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</si>
  <si>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</si>
  <si>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</si>
  <si>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</si>
  <si>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</si>
  <si>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</si>
  <si>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</si>
  <si>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</si>
  <si>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</si>
  <si>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</si>
  <si>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</si>
  <si>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</si>
  <si>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</si>
  <si>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</si>
  <si>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</si>
  <si>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</si>
  <si>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</si>
  <si>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</si>
  <si>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</si>
  <si>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</si>
  <si>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</si>
  <si>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</si>
  <si>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</si>
  <si>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</si>
  <si>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</si>
  <si>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</si>
  <si>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</si>
  <si>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</si>
  <si>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</si>
  <si>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</si>
  <si>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</si>
  <si>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</si>
  <si>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</si>
  <si>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</si>
  <si>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</si>
  <si>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</si>
  <si>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</si>
  <si>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</si>
  <si>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</si>
  <si>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</si>
  <si>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</si>
  <si>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</si>
  <si>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</si>
  <si>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</si>
  <si>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</si>
  <si>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</si>
  <si>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</si>
  <si>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</si>
  <si>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</si>
  <si>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</si>
  <si>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</si>
  <si>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</si>
  <si>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</si>
  <si>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</si>
  <si>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</si>
  <si>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</si>
  <si>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</si>
  <si>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</si>
  <si>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</si>
  <si>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</si>
  <si>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</si>
  <si>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</si>
  <si>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</si>
  <si>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</si>
  <si>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</si>
  <si>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</si>
  <si>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</si>
  <si>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</si>
  <si>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</si>
  <si>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</si>
  <si>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</si>
  <si>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</si>
  <si>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</si>
  <si>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</si>
  <si>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</si>
  <si>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</si>
  <si>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</si>
  <si>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</si>
  <si>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</si>
  <si>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</si>
  <si>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</si>
  <si>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</si>
  <si>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</si>
  <si>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</si>
  <si>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</si>
  <si>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</si>
  <si>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</si>
  <si>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</si>
  <si>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</si>
  <si>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</si>
  <si>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</si>
  <si>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</si>
  <si>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</si>
  <si>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</si>
  <si>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</si>
  <si>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</si>
  <si>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</si>
  <si>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</si>
  <si>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</si>
  <si>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</si>
  <si>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</si>
  <si>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</si>
  <si>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</si>
  <si>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</si>
  <si>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</si>
  <si>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</si>
  <si>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</si>
  <si>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</si>
  <si>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</si>
  <si>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</si>
  <si>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</si>
  <si>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</si>
  <si>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</si>
  <si>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</si>
  <si>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</si>
  <si>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</si>
  <si>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</si>
  <si>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</si>
  <si>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</si>
  <si>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</si>
  <si>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</si>
  <si>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</si>
  <si>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</si>
  <si>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</si>
  <si>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</si>
  <si>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</si>
  <si>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</si>
  <si>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</si>
  <si>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</si>
  <si>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</si>
  <si>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</si>
  <si>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</si>
  <si>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</si>
  <si>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</si>
  <si>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</si>
  <si>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</si>
  <si>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</si>
  <si>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</si>
  <si>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</si>
  <si>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</si>
  <si>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</si>
  <si>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</si>
  <si>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</si>
  <si>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</si>
  <si>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</si>
  <si>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</si>
  <si>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</si>
  <si>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</si>
  <si>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</si>
  <si>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</si>
  <si>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</si>
  <si>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</si>
  <si>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</si>
  <si>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</si>
  <si>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</si>
  <si>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</si>
  <si>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</si>
  <si>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</si>
  <si>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</si>
  <si>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</si>
  <si>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</si>
  <si>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</si>
  <si>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</si>
  <si>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</si>
  <si>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</si>
  <si>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</si>
  <si>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</si>
  <si>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</si>
  <si>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</si>
  <si>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</si>
  <si>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</si>
  <si>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</si>
  <si>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</si>
  <si>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</si>
  <si>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</si>
  <si>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</si>
  <si>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</si>
  <si>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</si>
  <si>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</si>
  <si>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</si>
  <si>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</si>
  <si>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</si>
  <si>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</si>
  <si>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</si>
  <si>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</si>
  <si>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</si>
  <si>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</si>
  <si>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</si>
  <si>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</si>
  <si>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</si>
  <si>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</si>
  <si>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</si>
  <si>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</si>
  <si>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</si>
  <si>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</si>
  <si>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</si>
  <si>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</si>
  <si>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</si>
  <si>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</si>
  <si>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</si>
  <si>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</si>
  <si>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</si>
  <si>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</si>
  <si>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</si>
  <si>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</si>
  <si>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</si>
  <si>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</si>
  <si>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</si>
  <si>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</si>
  <si>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</si>
  <si>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</si>
  <si>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</si>
  <si>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</si>
  <si>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</si>
  <si>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</si>
  <si>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</si>
  <si>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</si>
  <si>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</si>
  <si>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</si>
  <si>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</si>
  <si>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</si>
  <si>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</si>
  <si>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</si>
  <si>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</si>
  <si>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</si>
  <si>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</si>
  <si>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</si>
  <si>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</si>
  <si>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</si>
  <si>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</si>
  <si>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</si>
  <si>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</si>
  <si>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</si>
  <si>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</si>
  <si>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</si>
  <si>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</si>
  <si>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</si>
  <si>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</si>
  <si>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</si>
  <si>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</si>
  <si>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</si>
  <si>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</si>
  <si>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</si>
  <si>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</si>
  <si>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</si>
  <si>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</si>
  <si>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</si>
  <si>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</si>
  <si>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</si>
  <si>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</si>
  <si>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</si>
  <si>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</si>
  <si>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</si>
  <si>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</si>
  <si>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</si>
  <si>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</si>
  <si>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</si>
  <si>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</si>
  <si>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</si>
  <si>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</si>
  <si>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</si>
  <si>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</si>
  <si>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</si>
  <si>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</si>
  <si>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</si>
  <si>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</si>
  <si>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</si>
  <si>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</si>
  <si>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</si>
  <si>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</si>
  <si>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</si>
  <si>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</si>
  <si>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</si>
  <si>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</si>
  <si>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</si>
  <si>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</si>
  <si>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</si>
  <si>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</si>
  <si>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</si>
  <si>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</si>
  <si>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</si>
  <si>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</si>
  <si>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</si>
  <si>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</si>
  <si>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</si>
  <si>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</si>
  <si>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</si>
  <si>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</si>
  <si>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</si>
  <si>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</si>
  <si>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</si>
  <si>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</si>
  <si>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</si>
  <si>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</si>
  <si>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</si>
  <si>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</si>
  <si>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</si>
  <si>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</si>
  <si>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</si>
  <si>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</si>
  <si>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</si>
  <si>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</si>
  <si>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</si>
  <si>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</si>
  <si>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</si>
  <si>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</si>
  <si>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</si>
  <si>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</si>
  <si>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</si>
  <si>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</si>
  <si>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</si>
  <si>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</si>
  <si>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</si>
  <si>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</si>
  <si>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</si>
  <si>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</si>
  <si>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</si>
  <si>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</si>
  <si>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</si>
  <si>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</si>
  <si>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</si>
  <si>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</si>
  <si>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</si>
  <si>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</si>
  <si>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</si>
  <si>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</si>
  <si>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</si>
  <si>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</si>
  <si>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</si>
  <si>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</si>
  <si>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</si>
  <si>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</si>
  <si>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</si>
  <si>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</si>
  <si>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</si>
  <si>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</si>
  <si>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</si>
  <si>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</si>
  <si>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</si>
  <si>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</si>
  <si>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</si>
  <si>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</si>
  <si>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</si>
  <si>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</si>
  <si>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</si>
  <si>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</si>
  <si>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</si>
  <si>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</si>
  <si>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</si>
  <si>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</si>
  <si>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</si>
  <si>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</si>
  <si>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</si>
  <si>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</si>
  <si>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</si>
  <si>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</si>
  <si>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</si>
  <si>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</si>
  <si>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</si>
  <si>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</si>
  <si>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</si>
  <si>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</si>
  <si>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</si>
  <si>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</si>
  <si>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</si>
  <si>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</si>
  <si>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</si>
  <si>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</si>
  <si>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</si>
  <si>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</si>
  <si>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</si>
  <si>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</si>
  <si>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</si>
  <si>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</si>
  <si>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</si>
  <si>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</si>
  <si>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</si>
  <si>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</si>
  <si>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</si>
  <si>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</si>
  <si>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</si>
  <si>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</si>
  <si>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</si>
  <si>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</si>
  <si>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</si>
  <si>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</si>
  <si>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</si>
  <si>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</si>
  <si>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</si>
  <si>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</si>
  <si>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</si>
  <si>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</si>
  <si>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</si>
  <si>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</si>
  <si>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</si>
  <si>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</si>
  <si>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</si>
  <si>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</si>
  <si>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</si>
  <si>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</si>
  <si>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24062</t>
  </si>
  <si>
    <t>LEUVEN</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</si>
  <si>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</si>
  <si>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</si>
  <si>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</si>
  <si>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</si>
  <si>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</si>
  <si>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</si>
  <si>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</si>
  <si>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18, 8530 Harelbeke</t>
  </si>
  <si>
    <t>WKK-0050 Inbev Leuven</t>
  </si>
  <si>
    <t>interne verbrandingsmotor</t>
  </si>
  <si>
    <t>WKK interne verbrandinsgmotor (gas)</t>
  </si>
  <si>
    <t>Vuurkruisenlaan, 3000 Leuven</t>
  </si>
  <si>
    <t>IVERLEK</t>
  </si>
  <si>
    <t>Sterrekes Kinderdagverblijf vzw</t>
  </si>
  <si>
    <t>Geldenaaksebaan 438 , 3001 Heverlee</t>
  </si>
  <si>
    <t>WKK-0431 De Sterrekes Kinderdagverblijf</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</si>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</sst>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677736.39527312061</c:v>
                </c:pt>
                <c:pt idx="1">
                  <c:v>983566.87938142475</c:v>
                </c:pt>
                <c:pt idx="2">
                  <c:v>5466.5839999999998</c:v>
                </c:pt>
                <c:pt idx="3">
                  <c:v>39251.092908199127</c:v>
                </c:pt>
                <c:pt idx="4">
                  <c:v>307147.18020919315</c:v>
                </c:pt>
                <c:pt idx="5">
                  <c:v>550948.84221855144</c:v>
                </c:pt>
                <c:pt idx="6">
                  <c:v>25110.834413158387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677736.39527312061</c:v>
                </c:pt>
                <c:pt idx="1">
                  <c:v>983566.87938142475</c:v>
                </c:pt>
                <c:pt idx="2">
                  <c:v>5466.5839999999998</c:v>
                </c:pt>
                <c:pt idx="3">
                  <c:v>39251.092908199127</c:v>
                </c:pt>
                <c:pt idx="4">
                  <c:v>307147.18020919315</c:v>
                </c:pt>
                <c:pt idx="5">
                  <c:v>550948.84221855144</c:v>
                </c:pt>
                <c:pt idx="6">
                  <c:v>25110.834413158387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143688.0023814021</c:v>
                </c:pt>
                <c:pt idx="1">
                  <c:v>206748.28895377531</c:v>
                </c:pt>
                <c:pt idx="2">
                  <c:v>1179.1383321310143</c:v>
                </c:pt>
                <c:pt idx="3">
                  <c:v>8314.3678429757238</c:v>
                </c:pt>
                <c:pt idx="4">
                  <c:v>63257.30756049206</c:v>
                </c:pt>
                <c:pt idx="5">
                  <c:v>137979.41389997568</c:v>
                </c:pt>
                <c:pt idx="6">
                  <c:v>6342.8770033003839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37088"/>
      </c:barChart>
      <c:catAx>
        <c:axId val="184482048"/>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143688.0023814021</c:v>
                </c:pt>
                <c:pt idx="1">
                  <c:v>206748.28895377531</c:v>
                </c:pt>
                <c:pt idx="2">
                  <c:v>1179.1383321310143</c:v>
                </c:pt>
                <c:pt idx="3">
                  <c:v>8314.3678429757238</c:v>
                </c:pt>
                <c:pt idx="4">
                  <c:v>63257.30756049206</c:v>
                </c:pt>
                <c:pt idx="5">
                  <c:v>137979.41389997568</c:v>
                </c:pt>
                <c:pt idx="6">
                  <c:v>6342.8770033003839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24062</v>
      </c>
      <c r="B6" s="416"/>
      <c r="C6" s="417"/>
    </row>
    <row r="7" spans="1:7" s="414" customFormat="1" ht="15.75" customHeight="1">
      <c r="A7" s="418" t="str">
        <f>txtMunicipality</f>
        <v>LEUVEN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454737.31699999992</v>
      </c>
      <c r="D10" s="719">
        <f ca="1">tertiair!C16</f>
        <v>60.428571428571438</v>
      </c>
      <c r="E10" s="719">
        <f ca="1">tertiair!D16</f>
        <v>426447.97255180555</v>
      </c>
      <c r="F10" s="719">
        <f>tertiair!E16</f>
        <v>10788.093361463325</v>
      </c>
      <c r="G10" s="719">
        <f ca="1">tertiair!F16</f>
        <v>79585.685112851061</v>
      </c>
      <c r="H10" s="719">
        <f>tertiair!G16</f>
        <v>0</v>
      </c>
      <c r="I10" s="719">
        <f>tertiair!H16</f>
        <v>0</v>
      </c>
      <c r="J10" s="719">
        <f>tertiair!I16</f>
        <v>0</v>
      </c>
      <c r="K10" s="719">
        <f>tertiair!J16</f>
        <v>0</v>
      </c>
      <c r="L10" s="719">
        <f>tertiair!K16</f>
        <v>0</v>
      </c>
      <c r="M10" s="719">
        <f ca="1">tertiair!L16</f>
        <v>0</v>
      </c>
      <c r="N10" s="719">
        <f>tertiair!M16</f>
        <v>0</v>
      </c>
      <c r="O10" s="719">
        <f ca="1">tertiair!N16</f>
        <v>17059.823450542961</v>
      </c>
      <c r="P10" s="719">
        <f>tertiair!O16</f>
        <v>10.943333333333335</v>
      </c>
      <c r="Q10" s="720">
        <f>tertiair!P16</f>
        <v>343.2</v>
      </c>
      <c r="R10" s="722">
        <f ca="1">SUM(C10:Q10)</f>
        <v>989033.46338142478</v>
      </c>
      <c r="S10" s="67"/>
    </row>
    <row r="11" spans="1:19" s="475" customFormat="1">
      <c r="A11" s="871" t="s">
        <v>225</v>
      </c>
      <c r="B11" s="876"/>
      <c r="C11" s="719">
        <f>huishoudens!B8</f>
        <v>150764.1578571451</v>
      </c>
      <c r="D11" s="719">
        <f>huishoudens!C8</f>
        <v>0</v>
      </c>
      <c r="E11" s="719">
        <f>huishoudens!D8</f>
        <v>367810.15046317194</v>
      </c>
      <c r="F11" s="719">
        <f>huishoudens!E8</f>
        <v>10966.296048214748</v>
      </c>
      <c r="G11" s="719">
        <f>huishoudens!F8</f>
        <v>128768.838005517</v>
      </c>
      <c r="H11" s="719">
        <f>huishoudens!G8</f>
        <v>0</v>
      </c>
      <c r="I11" s="719">
        <f>huishoudens!H8</f>
        <v>0</v>
      </c>
      <c r="J11" s="719">
        <f>huishoudens!I8</f>
        <v>0</v>
      </c>
      <c r="K11" s="719">
        <f>huishoudens!J8</f>
        <v>0</v>
      </c>
      <c r="L11" s="719">
        <f>huishoudens!K8</f>
        <v>0</v>
      </c>
      <c r="M11" s="719">
        <f>huishoudens!L8</f>
        <v>0</v>
      </c>
      <c r="N11" s="719">
        <f>huishoudens!M8</f>
        <v>0</v>
      </c>
      <c r="O11" s="719">
        <f>huishoudens!N8</f>
        <v>17621.632899071752</v>
      </c>
      <c r="P11" s="719">
        <f>huishoudens!O8</f>
        <v>756.65333333333342</v>
      </c>
      <c r="Q11" s="720">
        <f>huishoudens!P8</f>
        <v>1048.6666666666667</v>
      </c>
      <c r="R11" s="722">
        <f>SUM(C11:Q11)</f>
        <v>677736.39527312061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115279.16767000002</v>
      </c>
      <c r="D13" s="719">
        <f>industrie!C18</f>
        <v>6068.5714285714284</v>
      </c>
      <c r="E13" s="719">
        <f>industrie!D18</f>
        <v>101985.36174646384</v>
      </c>
      <c r="F13" s="719">
        <f>industrie!E18</f>
        <v>13144.361117312183</v>
      </c>
      <c r="G13" s="719">
        <f>industrie!F18</f>
        <v>54841.050104292866</v>
      </c>
      <c r="H13" s="719">
        <f>industrie!G18</f>
        <v>0</v>
      </c>
      <c r="I13" s="719">
        <f>industrie!H18</f>
        <v>0</v>
      </c>
      <c r="J13" s="719">
        <f>industrie!I18</f>
        <v>0</v>
      </c>
      <c r="K13" s="719">
        <f>industrie!J18</f>
        <v>423.95337131198482</v>
      </c>
      <c r="L13" s="719">
        <f>industrie!K18</f>
        <v>0</v>
      </c>
      <c r="M13" s="719">
        <f>industrie!L18</f>
        <v>0</v>
      </c>
      <c r="N13" s="719">
        <f>industrie!M18</f>
        <v>0</v>
      </c>
      <c r="O13" s="719">
        <f>industrie!N18</f>
        <v>15404.714771240851</v>
      </c>
      <c r="P13" s="719">
        <f>industrie!O18</f>
        <v>0</v>
      </c>
      <c r="Q13" s="720">
        <f>industrie!P18</f>
        <v>0</v>
      </c>
      <c r="R13" s="722">
        <f>SUM(C13:Q13)</f>
        <v>307147.18020919315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720780.64252714498</v>
      </c>
      <c r="D15" s="724">
        <f t="shared" ref="D15:Q15" ca="1" si="0">SUM(D9:D14)</f>
        <v>6129</v>
      </c>
      <c r="E15" s="724">
        <f t="shared" ca="1" si="0"/>
        <v>896243.48476144124</v>
      </c>
      <c r="F15" s="724">
        <f t="shared" si="0"/>
        <v>34898.750526990254</v>
      </c>
      <c r="G15" s="724">
        <f t="shared" ca="1" si="0"/>
        <v>263195.57322266093</v>
      </c>
      <c r="H15" s="724">
        <f t="shared" si="0"/>
        <v>0</v>
      </c>
      <c r="I15" s="724">
        <f t="shared" si="0"/>
        <v>0</v>
      </c>
      <c r="J15" s="724">
        <f t="shared" si="0"/>
        <v>0</v>
      </c>
      <c r="K15" s="724">
        <f t="shared" si="0"/>
        <v>423.95337131198482</v>
      </c>
      <c r="L15" s="724">
        <f t="shared" si="0"/>
        <v>0</v>
      </c>
      <c r="M15" s="724">
        <f t="shared" ca="1" si="0"/>
        <v>0</v>
      </c>
      <c r="N15" s="724">
        <f t="shared" si="0"/>
        <v>0</v>
      </c>
      <c r="O15" s="724">
        <f t="shared" ca="1" si="0"/>
        <v>50086.171120855564</v>
      </c>
      <c r="P15" s="724">
        <f t="shared" si="0"/>
        <v>767.59666666666681</v>
      </c>
      <c r="Q15" s="725">
        <f t="shared" si="0"/>
        <v>1391.8666666666668</v>
      </c>
      <c r="R15" s="726">
        <f ca="1">SUM(R9:R14)</f>
        <v>1973917.0388637385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23756.09364531979</v>
      </c>
      <c r="I18" s="719">
        <f>transport!H54</f>
        <v>0</v>
      </c>
      <c r="J18" s="719">
        <f>transport!I54</f>
        <v>0</v>
      </c>
      <c r="K18" s="719">
        <f>transport!J54</f>
        <v>0</v>
      </c>
      <c r="L18" s="719">
        <f>transport!K54</f>
        <v>0</v>
      </c>
      <c r="M18" s="719">
        <f>transport!L54</f>
        <v>0</v>
      </c>
      <c r="N18" s="719">
        <f>transport!M54</f>
        <v>1354.7407678385953</v>
      </c>
      <c r="O18" s="719">
        <f>transport!N54</f>
        <v>0</v>
      </c>
      <c r="P18" s="719">
        <f>transport!O54</f>
        <v>0</v>
      </c>
      <c r="Q18" s="720">
        <f>transport!P54</f>
        <v>0</v>
      </c>
      <c r="R18" s="722">
        <f>SUM(C18:Q18)</f>
        <v>25110.834413158387</v>
      </c>
      <c r="S18" s="67"/>
    </row>
    <row r="19" spans="1:19" s="475" customFormat="1" ht="15" thickBot="1">
      <c r="A19" s="871" t="s">
        <v>307</v>
      </c>
      <c r="B19" s="876"/>
      <c r="C19" s="728">
        <f>transport!B14</f>
        <v>88.401208509483297</v>
      </c>
      <c r="D19" s="728">
        <f>transport!C14</f>
        <v>0</v>
      </c>
      <c r="E19" s="728">
        <f>transport!D14</f>
        <v>236.71090646786973</v>
      </c>
      <c r="F19" s="728">
        <f>transport!E14</f>
        <v>1704.8932052390926</v>
      </c>
      <c r="G19" s="728">
        <f>transport!F14</f>
        <v>0</v>
      </c>
      <c r="H19" s="728">
        <f>transport!G14</f>
        <v>429789.55245429371</v>
      </c>
      <c r="I19" s="728">
        <f>transport!H14</f>
        <v>91452.646407034146</v>
      </c>
      <c r="J19" s="728">
        <f>transport!I14</f>
        <v>0</v>
      </c>
      <c r="K19" s="728">
        <f>transport!J14</f>
        <v>0</v>
      </c>
      <c r="L19" s="728">
        <f>transport!K14</f>
        <v>0</v>
      </c>
      <c r="M19" s="728">
        <f>transport!L14</f>
        <v>0</v>
      </c>
      <c r="N19" s="728">
        <f>transport!M14</f>
        <v>27676.638037007117</v>
      </c>
      <c r="O19" s="728">
        <f>transport!N14</f>
        <v>0</v>
      </c>
      <c r="P19" s="728">
        <f>transport!O14</f>
        <v>0</v>
      </c>
      <c r="Q19" s="729">
        <f>transport!P14</f>
        <v>0</v>
      </c>
      <c r="R19" s="730">
        <f>SUM(C19:Q19)</f>
        <v>550948.84221855144</v>
      </c>
      <c r="S19" s="67"/>
    </row>
    <row r="20" spans="1:19" s="475" customFormat="1" ht="15.75" thickBot="1">
      <c r="A20" s="731" t="s">
        <v>230</v>
      </c>
      <c r="B20" s="879"/>
      <c r="C20" s="874">
        <f>SUM(C17:C19)</f>
        <v>88.401208509483297</v>
      </c>
      <c r="D20" s="732">
        <f t="shared" ref="D20:R20" si="1">SUM(D17:D19)</f>
        <v>0</v>
      </c>
      <c r="E20" s="732">
        <f t="shared" si="1"/>
        <v>236.71090646786973</v>
      </c>
      <c r="F20" s="732">
        <f t="shared" si="1"/>
        <v>1704.8932052390926</v>
      </c>
      <c r="G20" s="732">
        <f t="shared" si="1"/>
        <v>0</v>
      </c>
      <c r="H20" s="732">
        <f t="shared" si="1"/>
        <v>453545.64609961351</v>
      </c>
      <c r="I20" s="732">
        <f t="shared" si="1"/>
        <v>91452.646407034146</v>
      </c>
      <c r="J20" s="732">
        <f t="shared" si="1"/>
        <v>0</v>
      </c>
      <c r="K20" s="732">
        <f t="shared" si="1"/>
        <v>0</v>
      </c>
      <c r="L20" s="732">
        <f t="shared" si="1"/>
        <v>0</v>
      </c>
      <c r="M20" s="732">
        <f t="shared" si="1"/>
        <v>0</v>
      </c>
      <c r="N20" s="732">
        <f t="shared" si="1"/>
        <v>29031.378804845714</v>
      </c>
      <c r="O20" s="732">
        <f t="shared" si="1"/>
        <v>0</v>
      </c>
      <c r="P20" s="732">
        <f t="shared" si="1"/>
        <v>0</v>
      </c>
      <c r="Q20" s="733">
        <f t="shared" si="1"/>
        <v>0</v>
      </c>
      <c r="R20" s="734">
        <f t="shared" si="1"/>
        <v>576059.67663170979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1907.7128</v>
      </c>
      <c r="D22" s="728">
        <f>+landbouw!C8</f>
        <v>0</v>
      </c>
      <c r="E22" s="728">
        <f>+landbouw!D8</f>
        <v>32193.00561832952</v>
      </c>
      <c r="F22" s="728">
        <f>+landbouw!E8</f>
        <v>17.67003497716842</v>
      </c>
      <c r="G22" s="728">
        <f>+landbouw!F8</f>
        <v>4840.2307925154519</v>
      </c>
      <c r="H22" s="728">
        <f>+landbouw!G8</f>
        <v>0</v>
      </c>
      <c r="I22" s="728">
        <f>+landbouw!H8</f>
        <v>0</v>
      </c>
      <c r="J22" s="728">
        <f>+landbouw!I8</f>
        <v>0</v>
      </c>
      <c r="K22" s="728">
        <f>+landbouw!J8</f>
        <v>292.47366237698526</v>
      </c>
      <c r="L22" s="728">
        <f>+landbouw!K8</f>
        <v>0</v>
      </c>
      <c r="M22" s="728">
        <f>+landbouw!L8</f>
        <v>0</v>
      </c>
      <c r="N22" s="728">
        <f>+landbouw!M8</f>
        <v>0</v>
      </c>
      <c r="O22" s="728">
        <f>+landbouw!N8</f>
        <v>0</v>
      </c>
      <c r="P22" s="728">
        <f>+landbouw!O8</f>
        <v>0</v>
      </c>
      <c r="Q22" s="729">
        <f>+landbouw!P8</f>
        <v>0</v>
      </c>
      <c r="R22" s="730">
        <f>SUM(C22:Q22)</f>
        <v>39251.092908199127</v>
      </c>
      <c r="S22" s="67"/>
    </row>
    <row r="23" spans="1:19" s="475" customFormat="1" ht="17.25" thickTop="1" thickBot="1">
      <c r="A23" s="735" t="s">
        <v>116</v>
      </c>
      <c r="B23" s="865"/>
      <c r="C23" s="736">
        <f ca="1">C20+C15+C22</f>
        <v>722776.75653565442</v>
      </c>
      <c r="D23" s="736">
        <f t="shared" ref="D23:Q23" ca="1" si="2">D20+D15+D22</f>
        <v>6129</v>
      </c>
      <c r="E23" s="736">
        <f t="shared" ca="1" si="2"/>
        <v>928673.20128623862</v>
      </c>
      <c r="F23" s="736">
        <f t="shared" si="2"/>
        <v>36621.31376720652</v>
      </c>
      <c r="G23" s="736">
        <f t="shared" ca="1" si="2"/>
        <v>268035.80401517637</v>
      </c>
      <c r="H23" s="736">
        <f t="shared" si="2"/>
        <v>453545.64609961351</v>
      </c>
      <c r="I23" s="736">
        <f t="shared" si="2"/>
        <v>91452.646407034146</v>
      </c>
      <c r="J23" s="736">
        <f t="shared" si="2"/>
        <v>0</v>
      </c>
      <c r="K23" s="736">
        <f t="shared" si="2"/>
        <v>716.42703368897014</v>
      </c>
      <c r="L23" s="736">
        <f t="shared" si="2"/>
        <v>0</v>
      </c>
      <c r="M23" s="736">
        <f t="shared" ca="1" si="2"/>
        <v>0</v>
      </c>
      <c r="N23" s="736">
        <f t="shared" si="2"/>
        <v>29031.378804845714</v>
      </c>
      <c r="O23" s="736">
        <f t="shared" ca="1" si="2"/>
        <v>50086.171120855564</v>
      </c>
      <c r="P23" s="736">
        <f t="shared" si="2"/>
        <v>767.59666666666681</v>
      </c>
      <c r="Q23" s="737">
        <f t="shared" si="2"/>
        <v>1391.8666666666668</v>
      </c>
      <c r="R23" s="738">
        <f ca="1">R20+R15+R22</f>
        <v>2589227.8084036475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98086.520123922426</v>
      </c>
      <c r="D36" s="719">
        <f ca="1">tertiair!C20</f>
        <v>0.14158833577483862</v>
      </c>
      <c r="E36" s="719">
        <f ca="1">tertiair!D20</f>
        <v>86142.490455464722</v>
      </c>
      <c r="F36" s="719">
        <f>tertiair!E20</f>
        <v>2448.8971930521748</v>
      </c>
      <c r="G36" s="719">
        <f ca="1">tertiair!F20</f>
        <v>21249.377925131233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207927.42728590633</v>
      </c>
    </row>
    <row r="37" spans="1:18">
      <c r="A37" s="886" t="s">
        <v>225</v>
      </c>
      <c r="B37" s="893"/>
      <c r="C37" s="719">
        <f ca="1">huishoudens!B12</f>
        <v>32519.723037423562</v>
      </c>
      <c r="D37" s="719">
        <f ca="1">huishoudens!C12</f>
        <v>0</v>
      </c>
      <c r="E37" s="719">
        <f>huishoudens!D12</f>
        <v>74297.650393560732</v>
      </c>
      <c r="F37" s="719">
        <f>huishoudens!E12</f>
        <v>2489.349202944748</v>
      </c>
      <c r="G37" s="719">
        <f>huishoudens!F12</f>
        <v>34381.27974747304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143688.0023814021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24865.635558852729</v>
      </c>
      <c r="D39" s="719">
        <f ca="1">industrie!C22</f>
        <v>14.219083933132728</v>
      </c>
      <c r="E39" s="719">
        <f>industrie!D22</f>
        <v>20601.043072785695</v>
      </c>
      <c r="F39" s="719">
        <f>industrie!E22</f>
        <v>2983.7699736298655</v>
      </c>
      <c r="G39" s="719">
        <f>industrie!F22</f>
        <v>14642.560377846195</v>
      </c>
      <c r="H39" s="719">
        <f>industrie!G22</f>
        <v>0</v>
      </c>
      <c r="I39" s="719">
        <f>industrie!H22</f>
        <v>0</v>
      </c>
      <c r="J39" s="719">
        <f>industrie!I22</f>
        <v>0</v>
      </c>
      <c r="K39" s="719">
        <f>industrie!J22</f>
        <v>150.07949344444262</v>
      </c>
      <c r="L39" s="719">
        <f>industrie!K22</f>
        <v>0</v>
      </c>
      <c r="M39" s="719">
        <f>industrie!L22</f>
        <v>0</v>
      </c>
      <c r="N39" s="719">
        <f>industrie!M22</f>
        <v>0</v>
      </c>
      <c r="O39" s="719">
        <f>industrie!N22</f>
        <v>0</v>
      </c>
      <c r="P39" s="719">
        <f>industrie!O22</f>
        <v>0</v>
      </c>
      <c r="Q39" s="829">
        <f>industrie!P22</f>
        <v>0</v>
      </c>
      <c r="R39" s="919">
        <f ca="1">SUM(C39:Q39)</f>
        <v>63257.30756049206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155471.87872019873</v>
      </c>
      <c r="D41" s="764">
        <f t="shared" ref="D41:R41" ca="1" si="4">SUM(D35:D40)</f>
        <v>14.360672268907566</v>
      </c>
      <c r="E41" s="764">
        <f t="shared" ca="1" si="4"/>
        <v>181041.18392181114</v>
      </c>
      <c r="F41" s="764">
        <f t="shared" si="4"/>
        <v>7922.0163696267882</v>
      </c>
      <c r="G41" s="764">
        <f t="shared" ca="1" si="4"/>
        <v>70273.218050450465</v>
      </c>
      <c r="H41" s="764">
        <f t="shared" si="4"/>
        <v>0</v>
      </c>
      <c r="I41" s="764">
        <f t="shared" si="4"/>
        <v>0</v>
      </c>
      <c r="J41" s="764">
        <f t="shared" si="4"/>
        <v>0</v>
      </c>
      <c r="K41" s="764">
        <f t="shared" si="4"/>
        <v>150.07949344444262</v>
      </c>
      <c r="L41" s="764">
        <f t="shared" si="4"/>
        <v>0</v>
      </c>
      <c r="M41" s="764">
        <f t="shared" ca="1" si="4"/>
        <v>0</v>
      </c>
      <c r="N41" s="764">
        <f t="shared" si="4"/>
        <v>0</v>
      </c>
      <c r="O41" s="764">
        <f t="shared" ca="1" si="4"/>
        <v>0</v>
      </c>
      <c r="P41" s="764">
        <f t="shared" si="4"/>
        <v>0</v>
      </c>
      <c r="Q41" s="765">
        <f t="shared" si="4"/>
        <v>0</v>
      </c>
      <c r="R41" s="766">
        <f t="shared" ca="1" si="4"/>
        <v>414872.73722780054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6342.8770033003839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6342.8770033003839</v>
      </c>
    </row>
    <row r="45" spans="1:18" ht="15" thickBot="1">
      <c r="A45" s="889" t="s">
        <v>307</v>
      </c>
      <c r="B45" s="899"/>
      <c r="C45" s="728">
        <f ca="1">transport!B18</f>
        <v>19.068078631964344</v>
      </c>
      <c r="D45" s="728">
        <f>transport!C18</f>
        <v>0</v>
      </c>
      <c r="E45" s="728">
        <f>transport!D18</f>
        <v>47.815603106509691</v>
      </c>
      <c r="F45" s="728">
        <f>transport!E18</f>
        <v>387.01075758927402</v>
      </c>
      <c r="G45" s="728">
        <f>transport!F18</f>
        <v>0</v>
      </c>
      <c r="H45" s="728">
        <f>transport!G18</f>
        <v>114753.81050529642</v>
      </c>
      <c r="I45" s="728">
        <f>transport!H18</f>
        <v>22771.708955351503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137979.41389997568</v>
      </c>
    </row>
    <row r="46" spans="1:18" ht="15.75" thickBot="1">
      <c r="A46" s="887" t="s">
        <v>230</v>
      </c>
      <c r="B46" s="900"/>
      <c r="C46" s="764">
        <f t="shared" ref="C46:R46" ca="1" si="5">SUM(C43:C45)</f>
        <v>19.068078631964344</v>
      </c>
      <c r="D46" s="764">
        <f t="shared" ca="1" si="5"/>
        <v>0</v>
      </c>
      <c r="E46" s="764">
        <f t="shared" si="5"/>
        <v>47.815603106509691</v>
      </c>
      <c r="F46" s="764">
        <f t="shared" si="5"/>
        <v>387.01075758927402</v>
      </c>
      <c r="G46" s="764">
        <f t="shared" si="5"/>
        <v>0</v>
      </c>
      <c r="H46" s="764">
        <f t="shared" si="5"/>
        <v>121096.68750859681</v>
      </c>
      <c r="I46" s="764">
        <f t="shared" si="5"/>
        <v>22771.708955351503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144322.29090327607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411.4923120502653</v>
      </c>
      <c r="D48" s="719">
        <f ca="1">+landbouw!C12</f>
        <v>0</v>
      </c>
      <c r="E48" s="719">
        <f>+landbouw!D12</f>
        <v>6502.9871349025634</v>
      </c>
      <c r="F48" s="719">
        <f>+landbouw!E12</f>
        <v>4.0110979398172315</v>
      </c>
      <c r="G48" s="719">
        <f>+landbouw!F12</f>
        <v>1292.3416216016258</v>
      </c>
      <c r="H48" s="719">
        <f>+landbouw!G12</f>
        <v>0</v>
      </c>
      <c r="I48" s="719">
        <f>+landbouw!H12</f>
        <v>0</v>
      </c>
      <c r="J48" s="719">
        <f>+landbouw!I12</f>
        <v>0</v>
      </c>
      <c r="K48" s="719">
        <f>+landbouw!J12</f>
        <v>103.53567648145278</v>
      </c>
      <c r="L48" s="719">
        <f>+landbouw!K12</f>
        <v>0</v>
      </c>
      <c r="M48" s="719">
        <f>+landbouw!L12</f>
        <v>0</v>
      </c>
      <c r="N48" s="719">
        <f>+landbouw!M12</f>
        <v>0</v>
      </c>
      <c r="O48" s="719">
        <f>+landbouw!N12</f>
        <v>0</v>
      </c>
      <c r="P48" s="719">
        <f>+landbouw!O12</f>
        <v>0</v>
      </c>
      <c r="Q48" s="720">
        <f>+landbouw!P12</f>
        <v>0</v>
      </c>
      <c r="R48" s="762">
        <f ca="1">SUM(C48:Q48)</f>
        <v>8314.3678429757238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155902.43911088098</v>
      </c>
      <c r="D53" s="774">
        <f t="shared" ref="D53:Q53" ca="1" si="6">D41+D46+D48</f>
        <v>14.360672268907566</v>
      </c>
      <c r="E53" s="774">
        <f t="shared" ca="1" si="6"/>
        <v>187591.98665982022</v>
      </c>
      <c r="F53" s="774">
        <f t="shared" si="6"/>
        <v>8313.0382251558804</v>
      </c>
      <c r="G53" s="774">
        <f t="shared" ca="1" si="6"/>
        <v>71565.559672052084</v>
      </c>
      <c r="H53" s="774">
        <f t="shared" si="6"/>
        <v>121096.68750859681</v>
      </c>
      <c r="I53" s="774">
        <f t="shared" si="6"/>
        <v>22771.708955351503</v>
      </c>
      <c r="J53" s="774">
        <f t="shared" si="6"/>
        <v>0</v>
      </c>
      <c r="K53" s="774">
        <f t="shared" si="6"/>
        <v>253.6151699258954</v>
      </c>
      <c r="L53" s="774">
        <f t="shared" si="6"/>
        <v>0</v>
      </c>
      <c r="M53" s="774">
        <f t="shared" ca="1" si="6"/>
        <v>0</v>
      </c>
      <c r="N53" s="774">
        <f t="shared" si="6"/>
        <v>0</v>
      </c>
      <c r="O53" s="774">
        <f t="shared" ca="1" si="6"/>
        <v>0</v>
      </c>
      <c r="P53" s="774">
        <f>P41+P46+P48</f>
        <v>0</v>
      </c>
      <c r="Q53" s="775">
        <f t="shared" si="6"/>
        <v>0</v>
      </c>
      <c r="R53" s="776">
        <f ca="1">R41+R46+R48</f>
        <v>567509.39597405237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0.21569929815969441</v>
      </c>
      <c r="D55" s="837">
        <f t="shared" ca="1" si="7"/>
        <v>2.3430693863448469E-3</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81.360538116591925</v>
      </c>
      <c r="C65" s="796">
        <f>'lokale energieproductie'!B5</f>
        <v>81.360538116591925</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11605.681335580073</v>
      </c>
      <c r="C66" s="796">
        <f>'lokale energieproductie'!B6</f>
        <v>11605.681335580073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4290.3</v>
      </c>
      <c r="C67" s="795">
        <f>B67*IFERROR(SUM(J67:L67)/SUM(D67:M67),0)</f>
        <v>4248</v>
      </c>
      <c r="D67" s="827">
        <f>'lokale energieproductie'!C7</f>
        <v>49.764705882352956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4997.6470588235306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10.052470588235298</v>
      </c>
      <c r="P67" s="923">
        <v>0</v>
      </c>
      <c r="Q67" s="786"/>
      <c r="R67" s="743"/>
    </row>
    <row r="68" spans="1:18" ht="30.75" thickBot="1">
      <c r="A68" s="802" t="s">
        <v>353</v>
      </c>
      <c r="B68" s="795">
        <f>'lokale energieproductie'!B8</f>
        <v>1404</v>
      </c>
      <c r="C68" s="795">
        <f>B68*IFERROR(SUM(J68:L68)/SUM(D68:M68),0)</f>
        <v>1404</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4011.4285714285716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17381.341873696667</v>
      </c>
      <c r="C69" s="804">
        <f>SUM(C64:C68)</f>
        <v>17339.041873696668</v>
      </c>
      <c r="D69" s="805">
        <f t="shared" ref="D69:M69" si="8">SUM(D67:D68)</f>
        <v>49.764705882352956</v>
      </c>
      <c r="E69" s="805">
        <f t="shared" si="8"/>
        <v>0</v>
      </c>
      <c r="F69" s="805">
        <f t="shared" si="8"/>
        <v>0</v>
      </c>
      <c r="G69" s="805">
        <f t="shared" si="8"/>
        <v>0</v>
      </c>
      <c r="H69" s="805">
        <f t="shared" si="8"/>
        <v>0</v>
      </c>
      <c r="I69" s="805">
        <f t="shared" si="8"/>
        <v>0</v>
      </c>
      <c r="J69" s="805">
        <f t="shared" si="8"/>
        <v>0</v>
      </c>
      <c r="K69" s="805">
        <f t="shared" si="8"/>
        <v>9009.0756302521022</v>
      </c>
      <c r="L69" s="805">
        <f t="shared" si="8"/>
        <v>0</v>
      </c>
      <c r="M69" s="931">
        <f t="shared" si="8"/>
        <v>0</v>
      </c>
      <c r="N69" s="806">
        <v>0</v>
      </c>
      <c r="O69" s="806">
        <f>SUM(O67:O68)</f>
        <v>10.052470588235298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6129</v>
      </c>
      <c r="C78" s="818">
        <f>B78*IFERROR(SUM(I78:L78)/SUM(D78:M78),0)</f>
        <v>6068.5714285714284</v>
      </c>
      <c r="D78" s="833">
        <f>'lokale energieproductie'!C16</f>
        <v>71.092436974789933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7139.495798319329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14.360672268907567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6129</v>
      </c>
      <c r="C81" s="804">
        <f>SUM(C78:C80)</f>
        <v>6068.5714285714284</v>
      </c>
      <c r="D81" s="804">
        <f t="shared" ref="D81:P81" si="9">SUM(D78:D80)</f>
        <v>71.092436974789933</v>
      </c>
      <c r="E81" s="804">
        <f t="shared" si="9"/>
        <v>0</v>
      </c>
      <c r="F81" s="804">
        <f t="shared" si="9"/>
        <v>0</v>
      </c>
      <c r="G81" s="804">
        <f t="shared" si="9"/>
        <v>0</v>
      </c>
      <c r="H81" s="804">
        <f t="shared" si="9"/>
        <v>0</v>
      </c>
      <c r="I81" s="804">
        <f t="shared" si="9"/>
        <v>0</v>
      </c>
      <c r="J81" s="804">
        <f t="shared" si="9"/>
        <v>0</v>
      </c>
      <c r="K81" s="804">
        <f t="shared" si="9"/>
        <v>7139.495798319329</v>
      </c>
      <c r="L81" s="804">
        <f t="shared" si="9"/>
        <v>0</v>
      </c>
      <c r="M81" s="804">
        <f t="shared" si="9"/>
        <v>0</v>
      </c>
      <c r="N81" s="804">
        <v>0</v>
      </c>
      <c r="O81" s="804">
        <f>SUM(O78:O80)</f>
        <v>14.360672268907567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150764.1578571451</v>
      </c>
      <c r="C4" s="479">
        <f>huishoudens!C8</f>
        <v>0</v>
      </c>
      <c r="D4" s="479">
        <f>huishoudens!D8</f>
        <v>367810.15046317194</v>
      </c>
      <c r="E4" s="479">
        <f>huishoudens!E8</f>
        <v>10966.296048214748</v>
      </c>
      <c r="F4" s="479">
        <f>huishoudens!F8</f>
        <v>128768.838005517</v>
      </c>
      <c r="G4" s="479">
        <f>huishoudens!G8</f>
        <v>0</v>
      </c>
      <c r="H4" s="479">
        <f>huishoudens!H8</f>
        <v>0</v>
      </c>
      <c r="I4" s="479">
        <f>huishoudens!I8</f>
        <v>0</v>
      </c>
      <c r="J4" s="479">
        <f>huishoudens!J8</f>
        <v>0</v>
      </c>
      <c r="K4" s="479">
        <f>huishoudens!K8</f>
        <v>0</v>
      </c>
      <c r="L4" s="479">
        <f>huishoudens!L8</f>
        <v>0</v>
      </c>
      <c r="M4" s="479">
        <f>huishoudens!M8</f>
        <v>0</v>
      </c>
      <c r="N4" s="479">
        <f>huishoudens!N8</f>
        <v>17621.632899071752</v>
      </c>
      <c r="O4" s="479">
        <f>huishoudens!O8</f>
        <v>756.65333333333342</v>
      </c>
      <c r="P4" s="480">
        <f>huishoudens!P8</f>
        <v>1048.6666666666667</v>
      </c>
      <c r="Q4" s="481">
        <f>SUM(B4:P4)</f>
        <v>677736.39527312061</v>
      </c>
    </row>
    <row r="5" spans="1:17">
      <c r="A5" s="478" t="s">
        <v>156</v>
      </c>
      <c r="B5" s="479">
        <f ca="1">tertiair!B16</f>
        <v>449270.73299999995</v>
      </c>
      <c r="C5" s="479">
        <f ca="1">tertiair!C16</f>
        <v>60.428571428571438</v>
      </c>
      <c r="D5" s="479">
        <f ca="1">tertiair!D16</f>
        <v>426447.97255180555</v>
      </c>
      <c r="E5" s="479">
        <f>tertiair!E16</f>
        <v>10788.093361463325</v>
      </c>
      <c r="F5" s="479">
        <f ca="1">tertiair!F16</f>
        <v>79585.685112851061</v>
      </c>
      <c r="G5" s="479">
        <f>tertiair!G16</f>
        <v>0</v>
      </c>
      <c r="H5" s="479">
        <f>tertiair!H16</f>
        <v>0</v>
      </c>
      <c r="I5" s="479">
        <f>tertiair!I16</f>
        <v>0</v>
      </c>
      <c r="J5" s="479">
        <f>tertiair!J16</f>
        <v>0</v>
      </c>
      <c r="K5" s="479">
        <f>tertiair!K16</f>
        <v>0</v>
      </c>
      <c r="L5" s="479">
        <f ca="1">tertiair!L16</f>
        <v>0</v>
      </c>
      <c r="M5" s="479">
        <f>tertiair!M16</f>
        <v>0</v>
      </c>
      <c r="N5" s="479">
        <f ca="1">tertiair!N16</f>
        <v>17059.823450542961</v>
      </c>
      <c r="O5" s="479">
        <f>tertiair!O16</f>
        <v>10.943333333333335</v>
      </c>
      <c r="P5" s="480">
        <f>tertiair!P16</f>
        <v>343.2</v>
      </c>
      <c r="Q5" s="478">
        <f t="shared" ref="Q5:Q13" ca="1" si="0">SUM(B5:P5)</f>
        <v>983566.87938142475</v>
      </c>
    </row>
    <row r="6" spans="1:17">
      <c r="A6" s="478" t="s">
        <v>194</v>
      </c>
      <c r="B6" s="479">
        <f>'openbare verlichting'!B8</f>
        <v>5466.5839999999998</v>
      </c>
      <c r="C6" s="479"/>
      <c r="D6" s="479"/>
      <c r="E6" s="479"/>
      <c r="F6" s="479"/>
      <c r="G6" s="479"/>
      <c r="H6" s="479"/>
      <c r="I6" s="479"/>
      <c r="J6" s="479"/>
      <c r="K6" s="479"/>
      <c r="L6" s="479"/>
      <c r="M6" s="479"/>
      <c r="N6" s="479"/>
      <c r="O6" s="479"/>
      <c r="P6" s="480"/>
      <c r="Q6" s="478">
        <f t="shared" si="0"/>
        <v>5466.5839999999998</v>
      </c>
    </row>
    <row r="7" spans="1:17">
      <c r="A7" s="478" t="s">
        <v>112</v>
      </c>
      <c r="B7" s="479">
        <f>landbouw!B8</f>
        <v>1907.7128</v>
      </c>
      <c r="C7" s="479">
        <f>landbouw!C8</f>
        <v>0</v>
      </c>
      <c r="D7" s="479">
        <f>landbouw!D8</f>
        <v>32193.00561832952</v>
      </c>
      <c r="E7" s="479">
        <f>landbouw!E8</f>
        <v>17.67003497716842</v>
      </c>
      <c r="F7" s="479">
        <f>landbouw!F8</f>
        <v>4840.2307925154519</v>
      </c>
      <c r="G7" s="479">
        <f>landbouw!G8</f>
        <v>0</v>
      </c>
      <c r="H7" s="479">
        <f>landbouw!H8</f>
        <v>0</v>
      </c>
      <c r="I7" s="479">
        <f>landbouw!I8</f>
        <v>0</v>
      </c>
      <c r="J7" s="479">
        <f>landbouw!J8</f>
        <v>292.47366237698526</v>
      </c>
      <c r="K7" s="479">
        <f>landbouw!K8</f>
        <v>0</v>
      </c>
      <c r="L7" s="479">
        <f>landbouw!L8</f>
        <v>0</v>
      </c>
      <c r="M7" s="479">
        <f>landbouw!M8</f>
        <v>0</v>
      </c>
      <c r="N7" s="479">
        <f>landbouw!N8</f>
        <v>0</v>
      </c>
      <c r="O7" s="479">
        <f>landbouw!O8</f>
        <v>0</v>
      </c>
      <c r="P7" s="480">
        <f>landbouw!P8</f>
        <v>0</v>
      </c>
      <c r="Q7" s="478">
        <f t="shared" si="0"/>
        <v>39251.092908199127</v>
      </c>
    </row>
    <row r="8" spans="1:17">
      <c r="A8" s="478" t="s">
        <v>650</v>
      </c>
      <c r="B8" s="479">
        <f>industrie!B18</f>
        <v>115279.16767000002</v>
      </c>
      <c r="C8" s="479">
        <f>industrie!C18</f>
        <v>6068.5714285714284</v>
      </c>
      <c r="D8" s="479">
        <f>industrie!D18</f>
        <v>101985.36174646384</v>
      </c>
      <c r="E8" s="479">
        <f>industrie!E18</f>
        <v>13144.361117312183</v>
      </c>
      <c r="F8" s="479">
        <f>industrie!F18</f>
        <v>54841.050104292866</v>
      </c>
      <c r="G8" s="479">
        <f>industrie!G18</f>
        <v>0</v>
      </c>
      <c r="H8" s="479">
        <f>industrie!H18</f>
        <v>0</v>
      </c>
      <c r="I8" s="479">
        <f>industrie!I18</f>
        <v>0</v>
      </c>
      <c r="J8" s="479">
        <f>industrie!J18</f>
        <v>423.95337131198482</v>
      </c>
      <c r="K8" s="479">
        <f>industrie!K18</f>
        <v>0</v>
      </c>
      <c r="L8" s="479">
        <f>industrie!L18</f>
        <v>0</v>
      </c>
      <c r="M8" s="479">
        <f>industrie!M18</f>
        <v>0</v>
      </c>
      <c r="N8" s="479">
        <f>industrie!N18</f>
        <v>15404.714771240851</v>
      </c>
      <c r="O8" s="479">
        <f>industrie!O18</f>
        <v>0</v>
      </c>
      <c r="P8" s="480">
        <f>industrie!P18</f>
        <v>0</v>
      </c>
      <c r="Q8" s="478">
        <f t="shared" si="0"/>
        <v>307147.18020919315</v>
      </c>
    </row>
    <row r="9" spans="1:17" s="484" customFormat="1">
      <c r="A9" s="482" t="s">
        <v>571</v>
      </c>
      <c r="B9" s="483">
        <f>transport!B14</f>
        <v>88.401208509483297</v>
      </c>
      <c r="C9" s="483"/>
      <c r="D9" s="483">
        <f>transport!D14</f>
        <v>236.71090646786973</v>
      </c>
      <c r="E9" s="483">
        <f>transport!E14</f>
        <v>1704.8932052390926</v>
      </c>
      <c r="F9" s="483"/>
      <c r="G9" s="483">
        <f>transport!G14</f>
        <v>429789.55245429371</v>
      </c>
      <c r="H9" s="483">
        <f>transport!H14</f>
        <v>91452.646407034146</v>
      </c>
      <c r="I9" s="483"/>
      <c r="J9" s="483"/>
      <c r="K9" s="483"/>
      <c r="L9" s="483"/>
      <c r="M9" s="483">
        <f>transport!M14</f>
        <v>27676.638037007117</v>
      </c>
      <c r="N9" s="483"/>
      <c r="O9" s="483"/>
      <c r="P9" s="483"/>
      <c r="Q9" s="482">
        <f>SUM(B9:P9)</f>
        <v>550948.84221855144</v>
      </c>
    </row>
    <row r="10" spans="1:17">
      <c r="A10" s="478" t="s">
        <v>561</v>
      </c>
      <c r="B10" s="479">
        <f>transport!B54</f>
        <v>0</v>
      </c>
      <c r="C10" s="479"/>
      <c r="D10" s="479">
        <f>transport!D54</f>
        <v>0</v>
      </c>
      <c r="E10" s="479"/>
      <c r="F10" s="479"/>
      <c r="G10" s="479">
        <f>transport!G54</f>
        <v>23756.09364531979</v>
      </c>
      <c r="H10" s="479"/>
      <c r="I10" s="479"/>
      <c r="J10" s="479"/>
      <c r="K10" s="479"/>
      <c r="L10" s="479"/>
      <c r="M10" s="479">
        <f>transport!M54</f>
        <v>1354.7407678385953</v>
      </c>
      <c r="N10" s="479"/>
      <c r="O10" s="479"/>
      <c r="P10" s="480"/>
      <c r="Q10" s="478">
        <f t="shared" si="0"/>
        <v>25110.834413158387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722776.75653565454</v>
      </c>
      <c r="C14" s="489">
        <f t="shared" ref="C14:Q14" ca="1" si="1">SUM(C4:C13)</f>
        <v>6129</v>
      </c>
      <c r="D14" s="489">
        <f t="shared" ca="1" si="1"/>
        <v>928673.20128623862</v>
      </c>
      <c r="E14" s="489">
        <f t="shared" si="1"/>
        <v>36621.313767206513</v>
      </c>
      <c r="F14" s="489">
        <f t="shared" ca="1" si="1"/>
        <v>268035.80401517637</v>
      </c>
      <c r="G14" s="489">
        <f t="shared" si="1"/>
        <v>453545.64609961351</v>
      </c>
      <c r="H14" s="489">
        <f t="shared" si="1"/>
        <v>91452.646407034146</v>
      </c>
      <c r="I14" s="489">
        <f t="shared" si="1"/>
        <v>0</v>
      </c>
      <c r="J14" s="489">
        <f t="shared" si="1"/>
        <v>716.42703368897014</v>
      </c>
      <c r="K14" s="489">
        <f t="shared" si="1"/>
        <v>0</v>
      </c>
      <c r="L14" s="489">
        <f t="shared" ca="1" si="1"/>
        <v>0</v>
      </c>
      <c r="M14" s="489">
        <f t="shared" si="1"/>
        <v>29031.378804845714</v>
      </c>
      <c r="N14" s="489">
        <f t="shared" ca="1" si="1"/>
        <v>50086.171120855564</v>
      </c>
      <c r="O14" s="489">
        <f t="shared" si="1"/>
        <v>767.59666666666681</v>
      </c>
      <c r="P14" s="490">
        <f t="shared" si="1"/>
        <v>1391.8666666666668</v>
      </c>
      <c r="Q14" s="490">
        <f t="shared" ca="1" si="1"/>
        <v>2589227.8084036475</v>
      </c>
    </row>
    <row r="16" spans="1:17">
      <c r="A16" s="492" t="s">
        <v>566</v>
      </c>
      <c r="B16" s="842">
        <f ca="1">huishoudens!B10</f>
        <v>0.21569929815969432</v>
      </c>
      <c r="C16" s="842">
        <f ca="1">huishoudens!C10</f>
        <v>2.3430693863448469E-3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32519.723037423562</v>
      </c>
      <c r="C21" s="479">
        <f t="shared" ref="C21:C28" ca="1" si="3">C4*$C$16</f>
        <v>0</v>
      </c>
      <c r="D21" s="479">
        <f t="shared" ref="D21:D30" si="4">D4*$D$16</f>
        <v>74297.650393560732</v>
      </c>
      <c r="E21" s="479">
        <f t="shared" ref="E21:E30" si="5">E4*$E$16</f>
        <v>2489.349202944748</v>
      </c>
      <c r="F21" s="479">
        <f t="shared" ref="F21:F28" si="6">F4*$F$16</f>
        <v>34381.27974747304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143688.0023814021</v>
      </c>
    </row>
    <row r="22" spans="1:17">
      <c r="A22" s="478" t="s">
        <v>156</v>
      </c>
      <c r="B22" s="479">
        <f t="shared" ca="1" si="2"/>
        <v>96907.381791791413</v>
      </c>
      <c r="C22" s="479">
        <f t="shared" ca="1" si="3"/>
        <v>0.14158833577483862</v>
      </c>
      <c r="D22" s="479">
        <f t="shared" ca="1" si="4"/>
        <v>86142.490455464722</v>
      </c>
      <c r="E22" s="479">
        <f t="shared" si="5"/>
        <v>2448.8971930521748</v>
      </c>
      <c r="F22" s="479">
        <f t="shared" ca="1" si="6"/>
        <v>21249.377925131233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206748.28895377531</v>
      </c>
    </row>
    <row r="23" spans="1:17">
      <c r="A23" s="478" t="s">
        <v>194</v>
      </c>
      <c r="B23" s="479">
        <f t="shared" ca="1" si="2"/>
        <v>1179.1383321310143</v>
      </c>
      <c r="C23" s="479"/>
      <c r="D23" s="479"/>
      <c r="E23" s="479"/>
      <c r="F23" s="479"/>
      <c r="G23" s="479"/>
      <c r="H23" s="479"/>
      <c r="I23" s="479"/>
      <c r="J23" s="479"/>
      <c r="K23" s="479"/>
      <c r="L23" s="479"/>
      <c r="M23" s="479"/>
      <c r="N23" s="479"/>
      <c r="O23" s="479"/>
      <c r="P23" s="480"/>
      <c r="Q23" s="478">
        <f t="shared" ca="1" si="17"/>
        <v>1179.1383321310143</v>
      </c>
    </row>
    <row r="24" spans="1:17">
      <c r="A24" s="478" t="s">
        <v>112</v>
      </c>
      <c r="B24" s="479">
        <f t="shared" ca="1" si="2"/>
        <v>411.4923120502653</v>
      </c>
      <c r="C24" s="479">
        <f t="shared" ca="1" si="3"/>
        <v>0</v>
      </c>
      <c r="D24" s="479">
        <f t="shared" si="4"/>
        <v>6502.9871349025634</v>
      </c>
      <c r="E24" s="479">
        <f t="shared" si="5"/>
        <v>4.0110979398172315</v>
      </c>
      <c r="F24" s="479">
        <f t="shared" si="6"/>
        <v>1292.3416216016258</v>
      </c>
      <c r="G24" s="479">
        <f t="shared" si="7"/>
        <v>0</v>
      </c>
      <c r="H24" s="479">
        <f t="shared" si="8"/>
        <v>0</v>
      </c>
      <c r="I24" s="479">
        <f t="shared" si="9"/>
        <v>0</v>
      </c>
      <c r="J24" s="479">
        <f t="shared" si="10"/>
        <v>103.53567648145278</v>
      </c>
      <c r="K24" s="479">
        <f t="shared" si="11"/>
        <v>0</v>
      </c>
      <c r="L24" s="479">
        <f t="shared" si="12"/>
        <v>0</v>
      </c>
      <c r="M24" s="479">
        <f t="shared" si="13"/>
        <v>0</v>
      </c>
      <c r="N24" s="479">
        <f t="shared" si="14"/>
        <v>0</v>
      </c>
      <c r="O24" s="479">
        <f t="shared" si="15"/>
        <v>0</v>
      </c>
      <c r="P24" s="480">
        <f t="shared" si="16"/>
        <v>0</v>
      </c>
      <c r="Q24" s="478">
        <f t="shared" ca="1" si="17"/>
        <v>8314.3678429757238</v>
      </c>
    </row>
    <row r="25" spans="1:17">
      <c r="A25" s="478" t="s">
        <v>650</v>
      </c>
      <c r="B25" s="479">
        <f t="shared" ca="1" si="2"/>
        <v>24865.635558852729</v>
      </c>
      <c r="C25" s="479">
        <f t="shared" ca="1" si="3"/>
        <v>14.219083933132728</v>
      </c>
      <c r="D25" s="479">
        <f t="shared" si="4"/>
        <v>20601.043072785695</v>
      </c>
      <c r="E25" s="479">
        <f t="shared" si="5"/>
        <v>2983.7699736298655</v>
      </c>
      <c r="F25" s="479">
        <f t="shared" si="6"/>
        <v>14642.560377846195</v>
      </c>
      <c r="G25" s="479">
        <f t="shared" si="7"/>
        <v>0</v>
      </c>
      <c r="H25" s="479">
        <f t="shared" si="8"/>
        <v>0</v>
      </c>
      <c r="I25" s="479">
        <f t="shared" si="9"/>
        <v>0</v>
      </c>
      <c r="J25" s="479">
        <f t="shared" si="10"/>
        <v>150.07949344444262</v>
      </c>
      <c r="K25" s="479">
        <f t="shared" si="11"/>
        <v>0</v>
      </c>
      <c r="L25" s="479">
        <f t="shared" si="12"/>
        <v>0</v>
      </c>
      <c r="M25" s="479">
        <f t="shared" si="13"/>
        <v>0</v>
      </c>
      <c r="N25" s="479">
        <f t="shared" si="14"/>
        <v>0</v>
      </c>
      <c r="O25" s="479">
        <f t="shared" si="15"/>
        <v>0</v>
      </c>
      <c r="P25" s="480">
        <f t="shared" si="16"/>
        <v>0</v>
      </c>
      <c r="Q25" s="478">
        <f t="shared" ca="1" si="17"/>
        <v>63257.30756049206</v>
      </c>
    </row>
    <row r="26" spans="1:17" s="484" customFormat="1">
      <c r="A26" s="482" t="s">
        <v>571</v>
      </c>
      <c r="B26" s="836">
        <f t="shared" ca="1" si="2"/>
        <v>19.068078631964344</v>
      </c>
      <c r="C26" s="483"/>
      <c r="D26" s="483">
        <f t="shared" si="4"/>
        <v>47.815603106509691</v>
      </c>
      <c r="E26" s="483">
        <f t="shared" si="5"/>
        <v>387.01075758927402</v>
      </c>
      <c r="F26" s="483"/>
      <c r="G26" s="483">
        <f t="shared" si="7"/>
        <v>114753.81050529642</v>
      </c>
      <c r="H26" s="483">
        <f t="shared" si="8"/>
        <v>22771.708955351503</v>
      </c>
      <c r="I26" s="483"/>
      <c r="J26" s="483"/>
      <c r="K26" s="483"/>
      <c r="L26" s="483"/>
      <c r="M26" s="483">
        <f t="shared" si="13"/>
        <v>0</v>
      </c>
      <c r="N26" s="483"/>
      <c r="O26" s="483"/>
      <c r="P26" s="494"/>
      <c r="Q26" s="482">
        <f t="shared" ca="1" si="17"/>
        <v>137979.41389997568</v>
      </c>
    </row>
    <row r="27" spans="1:17">
      <c r="A27" s="478" t="s">
        <v>561</v>
      </c>
      <c r="B27" s="479">
        <f t="shared" ca="1" si="2"/>
        <v>0</v>
      </c>
      <c r="C27" s="479"/>
      <c r="D27" s="483">
        <f t="shared" si="4"/>
        <v>0</v>
      </c>
      <c r="E27" s="479"/>
      <c r="F27" s="479"/>
      <c r="G27" s="479">
        <f t="shared" si="7"/>
        <v>6342.8770033003839</v>
      </c>
      <c r="H27" s="479"/>
      <c r="I27" s="479"/>
      <c r="J27" s="479"/>
      <c r="K27" s="479"/>
      <c r="L27" s="479"/>
      <c r="M27" s="479">
        <f t="shared" si="13"/>
        <v>0</v>
      </c>
      <c r="N27" s="479"/>
      <c r="O27" s="479"/>
      <c r="P27" s="480"/>
      <c r="Q27" s="478">
        <f t="shared" ca="1" si="17"/>
        <v>6342.8770033003839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155902.43911088095</v>
      </c>
      <c r="C31" s="489">
        <f t="shared" ca="1" si="18"/>
        <v>14.360672268907566</v>
      </c>
      <c r="D31" s="489">
        <f t="shared" ca="1" si="18"/>
        <v>187591.98665982022</v>
      </c>
      <c r="E31" s="489">
        <f t="shared" si="18"/>
        <v>8313.0382251558785</v>
      </c>
      <c r="F31" s="489">
        <f t="shared" ca="1" si="18"/>
        <v>71565.559672052099</v>
      </c>
      <c r="G31" s="489">
        <f t="shared" si="18"/>
        <v>121096.68750859681</v>
      </c>
      <c r="H31" s="489">
        <f t="shared" si="18"/>
        <v>22771.708955351503</v>
      </c>
      <c r="I31" s="489">
        <f t="shared" si="18"/>
        <v>0</v>
      </c>
      <c r="J31" s="489">
        <f t="shared" si="18"/>
        <v>253.6151699258954</v>
      </c>
      <c r="K31" s="489">
        <f t="shared" si="18"/>
        <v>0</v>
      </c>
      <c r="L31" s="489">
        <f t="shared" ca="1" si="18"/>
        <v>0</v>
      </c>
      <c r="M31" s="489">
        <f t="shared" si="18"/>
        <v>0</v>
      </c>
      <c r="N31" s="489">
        <f t="shared" ca="1" si="18"/>
        <v>0</v>
      </c>
      <c r="O31" s="489">
        <f t="shared" si="18"/>
        <v>0</v>
      </c>
      <c r="P31" s="490">
        <f t="shared" si="18"/>
        <v>0</v>
      </c>
      <c r="Q31" s="490">
        <f t="shared" ca="1" si="18"/>
        <v>567509.39597405226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0.21569929815969432</v>
      </c>
      <c r="C17" s="529">
        <f ca="1">'EF ele_warmte'!B22</f>
        <v>2.3430693863448469E-3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0.21569929815969432</v>
      </c>
      <c r="C17" s="529">
        <f ca="1">'EF ele_warmte'!B22</f>
        <v>2.3430693863448469E-3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0.21569929815969432</v>
      </c>
      <c r="C29" s="530">
        <f ca="1">'EF ele_warmte'!B22</f>
        <v>2.3430693863448469E-3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48197</v>
      </c>
      <c r="C9" s="342">
        <v>48019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1077</v>
      </c>
    </row>
    <row r="15" spans="1:6">
      <c r="A15" s="348" t="s">
        <v>184</v>
      </c>
      <c r="B15" s="334">
        <v>2</v>
      </c>
    </row>
    <row r="16" spans="1:6">
      <c r="A16" s="348" t="s">
        <v>6</v>
      </c>
      <c r="B16" s="334">
        <v>102</v>
      </c>
    </row>
    <row r="17" spans="1:6">
      <c r="A17" s="348" t="s">
        <v>7</v>
      </c>
      <c r="B17" s="334">
        <v>129</v>
      </c>
    </row>
    <row r="18" spans="1:6">
      <c r="A18" s="348" t="s">
        <v>8</v>
      </c>
      <c r="B18" s="334">
        <v>160</v>
      </c>
    </row>
    <row r="19" spans="1:6">
      <c r="A19" s="348" t="s">
        <v>9</v>
      </c>
      <c r="B19" s="334">
        <v>152</v>
      </c>
    </row>
    <row r="20" spans="1:6">
      <c r="A20" s="348" t="s">
        <v>10</v>
      </c>
      <c r="B20" s="334">
        <v>129</v>
      </c>
    </row>
    <row r="21" spans="1:6">
      <c r="A21" s="348" t="s">
        <v>11</v>
      </c>
      <c r="B21" s="334">
        <v>0</v>
      </c>
    </row>
    <row r="22" spans="1:6">
      <c r="A22" s="348" t="s">
        <v>12</v>
      </c>
      <c r="B22" s="334">
        <v>50</v>
      </c>
    </row>
    <row r="23" spans="1:6">
      <c r="A23" s="348" t="s">
        <v>13</v>
      </c>
      <c r="B23" s="334">
        <v>0</v>
      </c>
    </row>
    <row r="24" spans="1:6">
      <c r="A24" s="348" t="s">
        <v>14</v>
      </c>
      <c r="B24" s="334">
        <v>0</v>
      </c>
    </row>
    <row r="25" spans="1:6">
      <c r="A25" s="348" t="s">
        <v>15</v>
      </c>
      <c r="B25" s="334">
        <v>0</v>
      </c>
    </row>
    <row r="26" spans="1:6">
      <c r="A26" s="348" t="s">
        <v>16</v>
      </c>
      <c r="B26" s="334">
        <v>229</v>
      </c>
    </row>
    <row r="27" spans="1:6">
      <c r="A27" s="348" t="s">
        <v>17</v>
      </c>
      <c r="B27" s="334">
        <v>0</v>
      </c>
    </row>
    <row r="28" spans="1:6" s="356" customFormat="1">
      <c r="A28" s="355" t="s">
        <v>18</v>
      </c>
      <c r="B28" s="355">
        <v>0</v>
      </c>
    </row>
    <row r="29" spans="1:6">
      <c r="A29" s="355" t="s">
        <v>865</v>
      </c>
      <c r="B29" s="355">
        <v>81</v>
      </c>
      <c r="C29" s="356"/>
      <c r="D29" s="356"/>
      <c r="E29" s="356"/>
      <c r="F29" s="356"/>
    </row>
    <row r="30" spans="1:6">
      <c r="A30" s="341" t="s">
        <v>866</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4059786.3369289101</v>
      </c>
      <c r="E36" s="334">
        <v>10</v>
      </c>
      <c r="F36" s="334">
        <v>659692.4</v>
      </c>
    </row>
    <row r="37" spans="1:6">
      <c r="A37" s="348" t="s">
        <v>25</v>
      </c>
      <c r="B37" s="348" t="s">
        <v>28</v>
      </c>
      <c r="C37" s="334">
        <v>0</v>
      </c>
      <c r="D37" s="334">
        <v>0</v>
      </c>
      <c r="E37" s="334">
        <v>0</v>
      </c>
      <c r="F37" s="334">
        <v>0</v>
      </c>
    </row>
    <row r="38" spans="1:6">
      <c r="A38" s="348" t="s">
        <v>25</v>
      </c>
      <c r="B38" s="348" t="s">
        <v>29</v>
      </c>
      <c r="C38" s="334">
        <v>5</v>
      </c>
      <c r="D38" s="334">
        <v>1302059.65582481</v>
      </c>
      <c r="E38" s="334">
        <v>12</v>
      </c>
      <c r="F38" s="334">
        <v>151619.70000000001</v>
      </c>
    </row>
    <row r="39" spans="1:6">
      <c r="A39" s="348" t="s">
        <v>30</v>
      </c>
      <c r="B39" s="348" t="s">
        <v>31</v>
      </c>
      <c r="C39" s="334">
        <v>29046</v>
      </c>
      <c r="D39" s="334">
        <v>407771785.43588901</v>
      </c>
      <c r="E39" s="334">
        <v>46144</v>
      </c>
      <c r="F39" s="334">
        <v>143000000</v>
      </c>
    </row>
    <row r="40" spans="1:6">
      <c r="A40" s="348" t="s">
        <v>30</v>
      </c>
      <c r="B40" s="348" t="s">
        <v>29</v>
      </c>
      <c r="C40" s="334">
        <v>0</v>
      </c>
      <c r="D40" s="334">
        <v>0</v>
      </c>
      <c r="E40" s="334">
        <v>0</v>
      </c>
      <c r="F40" s="334">
        <v>0</v>
      </c>
    </row>
    <row r="41" spans="1:6">
      <c r="A41" s="348" t="s">
        <v>32</v>
      </c>
      <c r="B41" s="348" t="s">
        <v>33</v>
      </c>
      <c r="C41" s="334">
        <v>218</v>
      </c>
      <c r="D41" s="334">
        <v>27446570.6397053</v>
      </c>
      <c r="E41" s="334">
        <v>456</v>
      </c>
      <c r="F41" s="334">
        <v>35034294</v>
      </c>
    </row>
    <row r="42" spans="1:6">
      <c r="A42" s="348" t="s">
        <v>32</v>
      </c>
      <c r="B42" s="348" t="s">
        <v>34</v>
      </c>
      <c r="C42" s="334">
        <v>0</v>
      </c>
      <c r="D42" s="334">
        <v>0</v>
      </c>
      <c r="E42" s="334">
        <v>3</v>
      </c>
      <c r="F42" s="334">
        <v>33950.47</v>
      </c>
    </row>
    <row r="43" spans="1:6">
      <c r="A43" s="348" t="s">
        <v>32</v>
      </c>
      <c r="B43" s="348" t="s">
        <v>35</v>
      </c>
      <c r="C43" s="334">
        <v>0</v>
      </c>
      <c r="D43" s="334">
        <v>0</v>
      </c>
      <c r="E43" s="334">
        <v>0</v>
      </c>
      <c r="F43" s="334">
        <v>0</v>
      </c>
    </row>
    <row r="44" spans="1:6">
      <c r="A44" s="348" t="s">
        <v>32</v>
      </c>
      <c r="B44" s="348" t="s">
        <v>36</v>
      </c>
      <c r="C44" s="334">
        <v>7</v>
      </c>
      <c r="D44" s="334">
        <v>223284.74083154401</v>
      </c>
      <c r="E44" s="334">
        <v>47</v>
      </c>
      <c r="F44" s="334">
        <v>2010542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28</v>
      </c>
      <c r="D47" s="334">
        <v>1050375.2769585899</v>
      </c>
      <c r="E47" s="334">
        <v>37</v>
      </c>
      <c r="F47" s="334">
        <v>1028870</v>
      </c>
    </row>
    <row r="48" spans="1:6">
      <c r="A48" s="348" t="s">
        <v>32</v>
      </c>
      <c r="B48" s="348" t="s">
        <v>29</v>
      </c>
      <c r="C48" s="334">
        <v>104</v>
      </c>
      <c r="D48" s="334">
        <v>77117239.242834896</v>
      </c>
      <c r="E48" s="334">
        <v>122</v>
      </c>
      <c r="F48" s="334">
        <v>66777422</v>
      </c>
    </row>
    <row r="49" spans="1:6">
      <c r="A49" s="348" t="s">
        <v>32</v>
      </c>
      <c r="B49" s="348" t="s">
        <v>40</v>
      </c>
      <c r="C49" s="334">
        <v>4</v>
      </c>
      <c r="D49" s="334">
        <v>131839.20948482701</v>
      </c>
      <c r="E49" s="334">
        <v>13</v>
      </c>
      <c r="F49" s="334">
        <v>137716.20000000001</v>
      </c>
    </row>
    <row r="50" spans="1:6">
      <c r="A50" s="348" t="s">
        <v>32</v>
      </c>
      <c r="B50" s="348" t="s">
        <v>41</v>
      </c>
      <c r="C50" s="334">
        <v>38</v>
      </c>
      <c r="D50" s="334">
        <v>7096502.1390361004</v>
      </c>
      <c r="E50" s="334">
        <v>61</v>
      </c>
      <c r="F50" s="334">
        <v>6008373</v>
      </c>
    </row>
    <row r="51" spans="1:6">
      <c r="A51" s="348" t="s">
        <v>42</v>
      </c>
      <c r="B51" s="348" t="s">
        <v>43</v>
      </c>
      <c r="C51" s="334">
        <v>16</v>
      </c>
      <c r="D51" s="334">
        <v>613826.54433864402</v>
      </c>
      <c r="E51" s="334">
        <v>37</v>
      </c>
      <c r="F51" s="334">
        <v>689722.8</v>
      </c>
    </row>
    <row r="52" spans="1:6">
      <c r="A52" s="348" t="s">
        <v>42</v>
      </c>
      <c r="B52" s="348" t="s">
        <v>29</v>
      </c>
      <c r="C52" s="334">
        <v>15</v>
      </c>
      <c r="D52" s="334">
        <v>792993.05273801601</v>
      </c>
      <c r="E52" s="334">
        <v>24</v>
      </c>
      <c r="F52" s="334">
        <v>1217990</v>
      </c>
    </row>
    <row r="53" spans="1:6">
      <c r="A53" s="348" t="s">
        <v>44</v>
      </c>
      <c r="B53" s="348" t="s">
        <v>45</v>
      </c>
      <c r="C53" s="334">
        <v>1472</v>
      </c>
      <c r="D53" s="334">
        <v>34283873.993089102</v>
      </c>
      <c r="E53" s="334">
        <v>2877</v>
      </c>
      <c r="F53" s="334">
        <v>15668961</v>
      </c>
    </row>
    <row r="54" spans="1:6">
      <c r="A54" s="348" t="s">
        <v>46</v>
      </c>
      <c r="B54" s="348" t="s">
        <v>47</v>
      </c>
      <c r="C54" s="334">
        <v>0</v>
      </c>
      <c r="D54" s="334">
        <v>0</v>
      </c>
      <c r="E54" s="334">
        <v>1</v>
      </c>
      <c r="F54" s="334">
        <v>5466584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272</v>
      </c>
      <c r="D57" s="334">
        <v>19573267.615934599</v>
      </c>
      <c r="E57" s="334">
        <v>491</v>
      </c>
      <c r="F57" s="334">
        <v>24741889</v>
      </c>
    </row>
    <row r="58" spans="1:6">
      <c r="A58" s="348" t="s">
        <v>49</v>
      </c>
      <c r="B58" s="348" t="s">
        <v>51</v>
      </c>
      <c r="C58" s="334">
        <v>280</v>
      </c>
      <c r="D58" s="334">
        <v>20518133.501915399</v>
      </c>
      <c r="E58" s="334">
        <v>408</v>
      </c>
      <c r="F58" s="334">
        <v>21189154</v>
      </c>
    </row>
    <row r="59" spans="1:6">
      <c r="A59" s="348" t="s">
        <v>49</v>
      </c>
      <c r="B59" s="348" t="s">
        <v>52</v>
      </c>
      <c r="C59" s="334">
        <v>630</v>
      </c>
      <c r="D59" s="334">
        <v>25924212.0573426</v>
      </c>
      <c r="E59" s="334">
        <v>1186</v>
      </c>
      <c r="F59" s="334">
        <v>45616242</v>
      </c>
    </row>
    <row r="60" spans="1:6">
      <c r="A60" s="348" t="s">
        <v>49</v>
      </c>
      <c r="B60" s="348" t="s">
        <v>53</v>
      </c>
      <c r="C60" s="334">
        <v>621</v>
      </c>
      <c r="D60" s="334">
        <v>186515915.7965</v>
      </c>
      <c r="E60" s="334">
        <v>727</v>
      </c>
      <c r="F60" s="334">
        <v>231000000</v>
      </c>
    </row>
    <row r="61" spans="1:6">
      <c r="A61" s="348" t="s">
        <v>49</v>
      </c>
      <c r="B61" s="348" t="s">
        <v>54</v>
      </c>
      <c r="C61" s="334">
        <v>1667</v>
      </c>
      <c r="D61" s="334">
        <v>130669761.13410699</v>
      </c>
      <c r="E61" s="334">
        <v>3426</v>
      </c>
      <c r="F61" s="334">
        <v>94545598</v>
      </c>
    </row>
    <row r="62" spans="1:6">
      <c r="A62" s="348" t="s">
        <v>49</v>
      </c>
      <c r="B62" s="348" t="s">
        <v>55</v>
      </c>
      <c r="C62" s="334">
        <v>83</v>
      </c>
      <c r="D62" s="334">
        <v>12543445.2609876</v>
      </c>
      <c r="E62" s="334">
        <v>135</v>
      </c>
      <c r="F62" s="334">
        <v>6229833</v>
      </c>
    </row>
    <row r="63" spans="1:6">
      <c r="A63" s="348" t="s">
        <v>49</v>
      </c>
      <c r="B63" s="348" t="s">
        <v>29</v>
      </c>
      <c r="C63" s="334">
        <v>394</v>
      </c>
      <c r="D63" s="334">
        <v>77169709.970976397</v>
      </c>
      <c r="E63" s="334">
        <v>455</v>
      </c>
      <c r="F63" s="334">
        <v>24501717</v>
      </c>
    </row>
    <row r="64" spans="1:6">
      <c r="A64" s="348" t="s">
        <v>56</v>
      </c>
      <c r="B64" s="348" t="s">
        <v>57</v>
      </c>
      <c r="C64" s="334">
        <v>0</v>
      </c>
      <c r="D64" s="334">
        <v>0</v>
      </c>
      <c r="E64" s="334">
        <v>0</v>
      </c>
      <c r="F64" s="334">
        <v>0</v>
      </c>
    </row>
    <row r="65" spans="1:6">
      <c r="A65" s="348" t="s">
        <v>56</v>
      </c>
      <c r="B65" s="348" t="s">
        <v>29</v>
      </c>
      <c r="C65" s="334">
        <v>12</v>
      </c>
      <c r="D65" s="334">
        <v>2128402.2692689402</v>
      </c>
      <c r="E65" s="334">
        <v>9</v>
      </c>
      <c r="F65" s="334">
        <v>109832.1</v>
      </c>
    </row>
    <row r="66" spans="1:6">
      <c r="A66" s="348" t="s">
        <v>56</v>
      </c>
      <c r="B66" s="348" t="s">
        <v>58</v>
      </c>
      <c r="C66" s="334">
        <v>3</v>
      </c>
      <c r="D66" s="334">
        <v>606147.58256045205</v>
      </c>
      <c r="E66" s="334">
        <v>65</v>
      </c>
      <c r="F66" s="334">
        <v>3828233</v>
      </c>
    </row>
    <row r="67" spans="1:6">
      <c r="A67" s="355" t="s">
        <v>56</v>
      </c>
      <c r="B67" s="355" t="s">
        <v>59</v>
      </c>
      <c r="C67" s="334">
        <v>0</v>
      </c>
      <c r="D67" s="334">
        <v>0</v>
      </c>
      <c r="E67" s="334">
        <v>0</v>
      </c>
      <c r="F67" s="334">
        <v>0</v>
      </c>
    </row>
    <row r="68" spans="1:6">
      <c r="A68" s="341" t="s">
        <v>56</v>
      </c>
      <c r="B68" s="341" t="s">
        <v>60</v>
      </c>
      <c r="C68" s="334">
        <v>10</v>
      </c>
      <c r="D68" s="334">
        <v>605239.52986883803</v>
      </c>
      <c r="E68" s="334">
        <v>20</v>
      </c>
      <c r="F68" s="334">
        <v>1233025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171818355</v>
      </c>
      <c r="E73" s="477">
        <v>199881438.02433458</v>
      </c>
    </row>
    <row r="74" spans="1:6">
      <c r="A74" s="348" t="s">
        <v>64</v>
      </c>
      <c r="B74" s="348" t="s">
        <v>714</v>
      </c>
      <c r="C74" s="1288" t="s">
        <v>716</v>
      </c>
      <c r="D74" s="477">
        <v>6237643.7674972331</v>
      </c>
      <c r="E74" s="477">
        <v>6542007.0372506846</v>
      </c>
    </row>
    <row r="75" spans="1:6">
      <c r="A75" s="348" t="s">
        <v>65</v>
      </c>
      <c r="B75" s="348" t="s">
        <v>713</v>
      </c>
      <c r="C75" s="1288" t="s">
        <v>717</v>
      </c>
      <c r="D75" s="477">
        <v>109290397</v>
      </c>
      <c r="E75" s="477">
        <v>126372646.0874704</v>
      </c>
    </row>
    <row r="76" spans="1:6">
      <c r="A76" s="348" t="s">
        <v>65</v>
      </c>
      <c r="B76" s="348" t="s">
        <v>714</v>
      </c>
      <c r="C76" s="1288" t="s">
        <v>718</v>
      </c>
      <c r="D76" s="477">
        <v>656591.76749723312</v>
      </c>
      <c r="E76" s="477">
        <v>818371.3312086598</v>
      </c>
    </row>
    <row r="77" spans="1:6">
      <c r="A77" s="348" t="s">
        <v>66</v>
      </c>
      <c r="B77" s="348" t="s">
        <v>713</v>
      </c>
      <c r="C77" s="1288" t="s">
        <v>719</v>
      </c>
      <c r="D77" s="477">
        <v>363903560</v>
      </c>
      <c r="E77" s="477">
        <v>394661232.63375366</v>
      </c>
    </row>
    <row r="78" spans="1:6">
      <c r="A78" s="341" t="s">
        <v>66</v>
      </c>
      <c r="B78" s="341" t="s">
        <v>714</v>
      </c>
      <c r="C78" s="341" t="s">
        <v>720</v>
      </c>
      <c r="D78" s="1284">
        <v>33380411</v>
      </c>
      <c r="E78" s="1284">
        <v>37352927.311322875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6710214.4650055338</v>
      </c>
      <c r="C83" s="477">
        <v>6670104.9103517374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81.360538116591925</v>
      </c>
    </row>
    <row r="90" spans="1:6">
      <c r="A90" s="348" t="s">
        <v>559</v>
      </c>
      <c r="B90" s="1285">
        <v>0</v>
      </c>
    </row>
    <row r="91" spans="1:6">
      <c r="A91" s="348" t="s">
        <v>68</v>
      </c>
      <c r="B91" s="334">
        <v>7764.1578571450927</v>
      </c>
    </row>
    <row r="92" spans="1:6">
      <c r="A92" s="341" t="s">
        <v>69</v>
      </c>
      <c r="B92" s="342">
        <v>3841.5234784349814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21126</v>
      </c>
    </row>
    <row r="98" spans="1:6">
      <c r="A98" s="348" t="s">
        <v>72</v>
      </c>
      <c r="B98" s="334">
        <v>27</v>
      </c>
    </row>
    <row r="99" spans="1:6">
      <c r="A99" s="348" t="s">
        <v>73</v>
      </c>
      <c r="B99" s="334">
        <v>177</v>
      </c>
    </row>
    <row r="100" spans="1:6">
      <c r="A100" s="348" t="s">
        <v>74</v>
      </c>
      <c r="B100" s="334">
        <v>3087</v>
      </c>
    </row>
    <row r="101" spans="1:6">
      <c r="A101" s="348" t="s">
        <v>75</v>
      </c>
      <c r="B101" s="334">
        <v>75</v>
      </c>
    </row>
    <row r="102" spans="1:6">
      <c r="A102" s="348" t="s">
        <v>76</v>
      </c>
      <c r="B102" s="334">
        <v>1071</v>
      </c>
    </row>
    <row r="103" spans="1:6">
      <c r="A103" s="348" t="s">
        <v>77</v>
      </c>
      <c r="B103" s="334">
        <v>267</v>
      </c>
    </row>
    <row r="104" spans="1:6">
      <c r="A104" s="348" t="s">
        <v>78</v>
      </c>
      <c r="B104" s="334">
        <v>12359</v>
      </c>
    </row>
    <row r="105" spans="1:6">
      <c r="A105" s="341" t="s">
        <v>79</v>
      </c>
      <c r="B105" s="341">
        <v>69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82</v>
      </c>
    </row>
    <row r="124" spans="1:6">
      <c r="A124" s="341" t="s">
        <v>89</v>
      </c>
      <c r="B124" s="334">
        <v>1</v>
      </c>
      <c r="C124" s="334">
        <v>11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391</v>
      </c>
    </row>
    <row r="130" spans="1:6">
      <c r="A130" s="348" t="s">
        <v>295</v>
      </c>
      <c r="B130" s="334">
        <v>7</v>
      </c>
    </row>
    <row r="131" spans="1:6">
      <c r="A131" s="348" t="s">
        <v>296</v>
      </c>
      <c r="B131" s="334">
        <v>18</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722776.75653565442</v>
      </c>
      <c r="C3" s="43" t="s">
        <v>170</v>
      </c>
      <c r="D3" s="43"/>
      <c r="E3" s="154"/>
      <c r="F3" s="43"/>
      <c r="G3" s="43"/>
      <c r="H3" s="43"/>
      <c r="I3" s="43"/>
      <c r="J3" s="43"/>
      <c r="K3" s="96"/>
    </row>
    <row r="4" spans="1:11">
      <c r="A4" s="384" t="s">
        <v>171</v>
      </c>
      <c r="B4" s="49">
        <f>IF(ISERROR('SEAP template'!B69),0,'SEAP template'!B69)</f>
        <v>17381.341873696667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10.052470588235298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0.21569929815969432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14.360672268907567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6129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2.3430693863448469E-3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5466.5839999999998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5466.5839999999998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0.21569929815969432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1179.1383321310143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143000</v>
      </c>
      <c r="C5" s="17">
        <f>IF(ISERROR('Eigen informatie GS &amp; warmtenet'!B57),0,'Eigen informatie GS &amp; warmtenet'!B57)</f>
        <v>0</v>
      </c>
      <c r="D5" s="30">
        <f>(SUM(HH_hh_gas_kWh,HH_rest_gas_kWh)/1000)*0.902</f>
        <v>367810.15046317194</v>
      </c>
      <c r="E5" s="17">
        <f>B46*B57</f>
        <v>10966.296048214748</v>
      </c>
      <c r="F5" s="17">
        <f>B51*B62</f>
        <v>128768.838005517</v>
      </c>
      <c r="G5" s="18"/>
      <c r="H5" s="17"/>
      <c r="I5" s="17"/>
      <c r="J5" s="17">
        <f>B50*B61+C50*C61</f>
        <v>0</v>
      </c>
      <c r="K5" s="17"/>
      <c r="L5" s="17"/>
      <c r="M5" s="17"/>
      <c r="N5" s="17">
        <f>B48*B59+C48*C59</f>
        <v>17621.632899071752</v>
      </c>
      <c r="O5" s="17">
        <f>B69*B70*B71</f>
        <v>756.65333333333342</v>
      </c>
      <c r="P5" s="17">
        <f>B77*B78*B79/1000-B77*B78*B79/1000/B80</f>
        <v>1048.6666666666667</v>
      </c>
    </row>
    <row r="6" spans="1:16">
      <c r="A6" s="16" t="s">
        <v>631</v>
      </c>
      <c r="B6" s="844">
        <f>kWh_PV_kleiner_dan_10kW</f>
        <v>7764.1578571450927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150764.1578571451</v>
      </c>
      <c r="C8" s="21">
        <f>C5</f>
        <v>0</v>
      </c>
      <c r="D8" s="21">
        <f>D5</f>
        <v>367810.15046317194</v>
      </c>
      <c r="E8" s="21">
        <f>E5</f>
        <v>10966.296048214748</v>
      </c>
      <c r="F8" s="21">
        <f>F5</f>
        <v>128768.838005517</v>
      </c>
      <c r="G8" s="21"/>
      <c r="H8" s="21"/>
      <c r="I8" s="21"/>
      <c r="J8" s="21">
        <f>J5</f>
        <v>0</v>
      </c>
      <c r="K8" s="21"/>
      <c r="L8" s="21">
        <f>L5</f>
        <v>0</v>
      </c>
      <c r="M8" s="21">
        <f>M5</f>
        <v>0</v>
      </c>
      <c r="N8" s="21">
        <f>N5</f>
        <v>17621.632899071752</v>
      </c>
      <c r="O8" s="21">
        <f>O5</f>
        <v>756.65333333333342</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0.21569929815969432</v>
      </c>
      <c r="C10" s="25">
        <f ca="1">'EF ele_warmte'!B22</f>
        <v>2.3430693863448469E-3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32519.723037423562</v>
      </c>
      <c r="C12" s="23">
        <f ca="1">C10*C8</f>
        <v>0</v>
      </c>
      <c r="D12" s="23">
        <f>D8*D10</f>
        <v>74297.650393560732</v>
      </c>
      <c r="E12" s="23">
        <f>E10*E8</f>
        <v>2489.349202944748</v>
      </c>
      <c r="F12" s="23">
        <f>F10*F8</f>
        <v>34381.27974747304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21126</v>
      </c>
      <c r="C18" s="166" t="s">
        <v>111</v>
      </c>
      <c r="D18" s="228"/>
      <c r="E18" s="15"/>
    </row>
    <row r="19" spans="1:7">
      <c r="A19" s="171" t="s">
        <v>72</v>
      </c>
      <c r="B19" s="37">
        <f>aantalw2001_ander</f>
        <v>27</v>
      </c>
      <c r="C19" s="166" t="s">
        <v>111</v>
      </c>
      <c r="D19" s="229"/>
      <c r="E19" s="15"/>
    </row>
    <row r="20" spans="1:7">
      <c r="A20" s="171" t="s">
        <v>73</v>
      </c>
      <c r="B20" s="37">
        <f>aantalw2001_propaan</f>
        <v>177</v>
      </c>
      <c r="C20" s="167">
        <f>IF(ISERROR(B20/SUM($B$20,$B$21,$B$22)*100),0,B20/SUM($B$20,$B$21,$B$22)*100)</f>
        <v>5.3009883198562449</v>
      </c>
      <c r="D20" s="229"/>
      <c r="E20" s="15"/>
    </row>
    <row r="21" spans="1:7">
      <c r="A21" s="171" t="s">
        <v>74</v>
      </c>
      <c r="B21" s="37">
        <f>aantalw2001_elektriciteit</f>
        <v>3087</v>
      </c>
      <c r="C21" s="167">
        <f>IF(ISERROR(B21/SUM($B$20,$B$21,$B$22)*100),0,B21/SUM($B$20,$B$21,$B$22)*100)</f>
        <v>92.452830188679243</v>
      </c>
      <c r="D21" s="229"/>
      <c r="E21" s="15"/>
    </row>
    <row r="22" spans="1:7">
      <c r="A22" s="171" t="s">
        <v>75</v>
      </c>
      <c r="B22" s="37">
        <f>aantalw2001_hout</f>
        <v>75</v>
      </c>
      <c r="C22" s="167">
        <f>IF(ISERROR(B22/SUM($B$20,$B$21,$B$22)*100),0,B22/SUM($B$20,$B$21,$B$22)*100)</f>
        <v>2.2461814914645104</v>
      </c>
      <c r="D22" s="229"/>
      <c r="E22" s="15"/>
    </row>
    <row r="23" spans="1:7">
      <c r="A23" s="171" t="s">
        <v>76</v>
      </c>
      <c r="B23" s="37">
        <f>aantalw2001_niet_gespec</f>
        <v>1071</v>
      </c>
      <c r="C23" s="166" t="s">
        <v>111</v>
      </c>
      <c r="D23" s="228"/>
      <c r="E23" s="15"/>
    </row>
    <row r="24" spans="1:7">
      <c r="A24" s="171" t="s">
        <v>77</v>
      </c>
      <c r="B24" s="37">
        <f>aantalw2001_steenkool</f>
        <v>267</v>
      </c>
      <c r="C24" s="166" t="s">
        <v>111</v>
      </c>
      <c r="D24" s="229"/>
      <c r="E24" s="15"/>
    </row>
    <row r="25" spans="1:7">
      <c r="A25" s="171" t="s">
        <v>78</v>
      </c>
      <c r="B25" s="37">
        <f>aantalw2001_stookolie</f>
        <v>12359</v>
      </c>
      <c r="C25" s="166" t="s">
        <v>111</v>
      </c>
      <c r="D25" s="228"/>
      <c r="E25" s="52"/>
    </row>
    <row r="26" spans="1:7">
      <c r="A26" s="171" t="s">
        <v>79</v>
      </c>
      <c r="B26" s="37">
        <f>aantalw2001_WP</f>
        <v>69</v>
      </c>
      <c r="C26" s="166" t="s">
        <v>111</v>
      </c>
      <c r="D26" s="228"/>
      <c r="E26" s="15"/>
    </row>
    <row r="27" spans="1:7" s="15" customFormat="1">
      <c r="A27" s="171"/>
      <c r="B27" s="29"/>
      <c r="C27" s="36"/>
      <c r="D27" s="228"/>
    </row>
    <row r="28" spans="1:7" s="15" customFormat="1">
      <c r="A28" s="230" t="s">
        <v>740</v>
      </c>
      <c r="B28" s="37">
        <f>aantalHuishoudens2011</f>
        <v>48197</v>
      </c>
      <c r="C28" s="36"/>
      <c r="D28" s="228"/>
    </row>
    <row r="29" spans="1:7" s="15" customFormat="1">
      <c r="A29" s="230" t="s">
        <v>741</v>
      </c>
      <c r="B29" s="37">
        <f>SUM(HH_hh_gas_aantal,HH_rest_gas_aantal)</f>
        <v>29046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29046</v>
      </c>
      <c r="C32" s="167">
        <f>IF(ISERROR(B32/SUM($B$32,$B$34,$B$35,$B$36,$B$38,$B$39)*100),0,B32/SUM($B$32,$B$34,$B$35,$B$36,$B$38,$B$39)*100)</f>
        <v>60.334011881517178</v>
      </c>
      <c r="D32" s="233"/>
      <c r="G32" s="15"/>
    </row>
    <row r="33" spans="1:7">
      <c r="A33" s="171" t="s">
        <v>72</v>
      </c>
      <c r="B33" s="34" t="s">
        <v>111</v>
      </c>
      <c r="C33" s="167"/>
      <c r="D33" s="233"/>
      <c r="G33" s="15"/>
    </row>
    <row r="34" spans="1:7">
      <c r="A34" s="171" t="s">
        <v>73</v>
      </c>
      <c r="B34" s="33">
        <f>IF((($B$28-$B$32-$B$39-$B$77-$B$38)*C20/100)&lt;0,0,($B$28-$B$32-$B$39-$B$77-$B$38)*C20/100)</f>
        <v>734.98203054806834</v>
      </c>
      <c r="C34" s="167">
        <f>IF(ISERROR(B34/SUM($B$32,$B$34,$B$35,$B$36,$B$38,$B$39)*100),0,B34/SUM($B$32,$B$34,$B$35,$B$36,$B$38,$B$39)*100)</f>
        <v>1.5266960877156504</v>
      </c>
      <c r="D34" s="233"/>
      <c r="G34" s="15"/>
    </row>
    <row r="35" spans="1:7">
      <c r="A35" s="171" t="s">
        <v>74</v>
      </c>
      <c r="B35" s="33">
        <f>IF((($B$28-$B$32-$B$39-$B$77-$B$38)*C21/100)&lt;0,0,($B$28-$B$32-$B$39-$B$77-$B$38)*C21/100)</f>
        <v>12818.584905660377</v>
      </c>
      <c r="C35" s="167">
        <f>IF(ISERROR(B35/SUM($B$32,$B$34,$B$35,$B$36,$B$38,$B$39)*100),0,B35/SUM($B$32,$B$34,$B$35,$B$36,$B$38,$B$39)*100)</f>
        <v>26.626614817955996</v>
      </c>
      <c r="D35" s="233"/>
      <c r="G35" s="15"/>
    </row>
    <row r="36" spans="1:7">
      <c r="A36" s="171" t="s">
        <v>75</v>
      </c>
      <c r="B36" s="33">
        <f>IF((($B$28-$B$32-$B$39-$B$77-$B$38)*C22/100)&lt;0,0,($B$28-$B$32-$B$39-$B$77-$B$38)*C22/100)</f>
        <v>311.43306379155439</v>
      </c>
      <c r="C36" s="167">
        <f>IF(ISERROR(B36/SUM($B$32,$B$34,$B$35,$B$36,$B$38,$B$39)*100),0,B36/SUM($B$32,$B$34,$B$35,$B$36,$B$38,$B$39)*100)</f>
        <v>0.6469051219134111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5231</v>
      </c>
      <c r="C39" s="167">
        <f>IF(ISERROR(B39/SUM($B$32,$B$34,$B$35,$B$36,$B$38,$B$39)*100),0,B39/SUM($B$32,$B$34,$B$35,$B$36,$B$38,$B$39)*100)</f>
        <v>10.865772090897762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29046</v>
      </c>
      <c r="C44" s="34" t="s">
        <v>111</v>
      </c>
      <c r="D44" s="174"/>
    </row>
    <row r="45" spans="1:7">
      <c r="A45" s="171" t="s">
        <v>72</v>
      </c>
      <c r="B45" s="33" t="str">
        <f t="shared" si="0"/>
        <v>-</v>
      </c>
      <c r="C45" s="34" t="s">
        <v>111</v>
      </c>
      <c r="D45" s="174"/>
    </row>
    <row r="46" spans="1:7">
      <c r="A46" s="171" t="s">
        <v>73</v>
      </c>
      <c r="B46" s="33">
        <f t="shared" si="0"/>
        <v>734.98203054806834</v>
      </c>
      <c r="C46" s="34" t="s">
        <v>111</v>
      </c>
      <c r="D46" s="174"/>
    </row>
    <row r="47" spans="1:7">
      <c r="A47" s="171" t="s">
        <v>74</v>
      </c>
      <c r="B47" s="33">
        <f t="shared" si="0"/>
        <v>12818.584905660377</v>
      </c>
      <c r="C47" s="34" t="s">
        <v>111</v>
      </c>
      <c r="D47" s="174"/>
    </row>
    <row r="48" spans="1:7">
      <c r="A48" s="171" t="s">
        <v>75</v>
      </c>
      <c r="B48" s="33">
        <f t="shared" si="0"/>
        <v>311.43306379155439</v>
      </c>
      <c r="C48" s="33">
        <f>B48*10</f>
        <v>3114.3306379155438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5231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447824.43299999996</v>
      </c>
      <c r="C5" s="17">
        <f>IF(ISERROR('Eigen informatie GS &amp; warmtenet'!B58),0,'Eigen informatie GS &amp; warmtenet'!B58)</f>
        <v>0</v>
      </c>
      <c r="D5" s="30">
        <f>SUM(D6:D12)</f>
        <v>426568.82969466271</v>
      </c>
      <c r="E5" s="17">
        <f>SUM(E6:E12)</f>
        <v>10788.093361463325</v>
      </c>
      <c r="F5" s="17">
        <f>SUM(F6:F12)</f>
        <v>79585.685112851061</v>
      </c>
      <c r="G5" s="18"/>
      <c r="H5" s="17"/>
      <c r="I5" s="17"/>
      <c r="J5" s="17">
        <f>SUM(J6:J12)</f>
        <v>0</v>
      </c>
      <c r="K5" s="17"/>
      <c r="L5" s="17"/>
      <c r="M5" s="17"/>
      <c r="N5" s="17">
        <f>SUM(N6:N12)</f>
        <v>21071.252021971533</v>
      </c>
      <c r="O5" s="17">
        <f>B38*B39*B40</f>
        <v>10.943333333333335</v>
      </c>
      <c r="P5" s="17">
        <f>B46*B47*B48/1000-B46*B47*B48/1000/B49</f>
        <v>343.2</v>
      </c>
      <c r="R5" s="32"/>
    </row>
    <row r="6" spans="1:18">
      <c r="A6" s="32" t="s">
        <v>54</v>
      </c>
      <c r="B6" s="37">
        <f>B26</f>
        <v>94545.597999999998</v>
      </c>
      <c r="C6" s="33"/>
      <c r="D6" s="37">
        <f>IF(ISERROR(TER_kantoor_gas_kWh/1000),0,TER_kantoor_gas_kWh/1000)*0.902</f>
        <v>117864.12454296452</v>
      </c>
      <c r="E6" s="33">
        <f>$C$26*'E Balans VL '!I12/100/3.6*1000000</f>
        <v>273.91246921214599</v>
      </c>
      <c r="F6" s="33">
        <f>$C$26*('E Balans VL '!L12+'E Balans VL '!N12)/100/3.6*1000000</f>
        <v>10700.478692576105</v>
      </c>
      <c r="G6" s="34"/>
      <c r="H6" s="33"/>
      <c r="I6" s="33"/>
      <c r="J6" s="33">
        <f>$C$26*('E Balans VL '!D12+'E Balans VL '!E12)/100/3.6*1000000</f>
        <v>0</v>
      </c>
      <c r="K6" s="33"/>
      <c r="L6" s="33"/>
      <c r="M6" s="33"/>
      <c r="N6" s="33">
        <f>$C$26*'E Balans VL '!Y12/100/3.6*1000000</f>
        <v>946.3317716729681</v>
      </c>
      <c r="O6" s="33"/>
      <c r="P6" s="33"/>
      <c r="R6" s="32"/>
    </row>
    <row r="7" spans="1:18">
      <c r="A7" s="32" t="s">
        <v>53</v>
      </c>
      <c r="B7" s="37">
        <f t="shared" ref="B7:B12" si="0">B27</f>
        <v>231000</v>
      </c>
      <c r="C7" s="33"/>
      <c r="D7" s="37">
        <f>IF(ISERROR(TER_horeca_gas_kWh/1000),0,TER_horeca_gas_kWh/1000)*0.902</f>
        <v>168237.35604844301</v>
      </c>
      <c r="E7" s="33">
        <f>$C$27*'E Balans VL '!I9/100/3.6*1000000</f>
        <v>9696.7345987556037</v>
      </c>
      <c r="F7" s="33">
        <f>$C$27*('E Balans VL '!L9+'E Balans VL '!N9)/100/3.6*1000000</f>
        <v>49635.087101154153</v>
      </c>
      <c r="G7" s="34"/>
      <c r="H7" s="33"/>
      <c r="I7" s="33"/>
      <c r="J7" s="33">
        <f>$C$27*('E Balans VL '!D9+'E Balans VL '!E9)/100/3.6*1000000</f>
        <v>0</v>
      </c>
      <c r="K7" s="33"/>
      <c r="L7" s="33"/>
      <c r="M7" s="33"/>
      <c r="N7" s="33">
        <f>$C$27*'E Balans VL '!Y9/100/3.6*1000000</f>
        <v>59.526679831713729</v>
      </c>
      <c r="O7" s="33"/>
      <c r="P7" s="33"/>
      <c r="R7" s="32"/>
    </row>
    <row r="8" spans="1:18">
      <c r="A8" s="6" t="s">
        <v>52</v>
      </c>
      <c r="B8" s="37">
        <f t="shared" si="0"/>
        <v>45616.241999999998</v>
      </c>
      <c r="C8" s="33"/>
      <c r="D8" s="37">
        <f>IF(ISERROR(TER_handel_gas_kWh/1000),0,TER_handel_gas_kWh/1000)*0.902</f>
        <v>23383.639275723024</v>
      </c>
      <c r="E8" s="33">
        <f>$C$28*'E Balans VL '!I13/100/3.6*1000000</f>
        <v>489.95640439899199</v>
      </c>
      <c r="F8" s="33">
        <f>$C$28*('E Balans VL '!L13+'E Balans VL '!N13)/100/3.6*1000000</f>
        <v>5905.3992180610248</v>
      </c>
      <c r="G8" s="34"/>
      <c r="H8" s="33"/>
      <c r="I8" s="33"/>
      <c r="J8" s="33">
        <f>$C$28*('E Balans VL '!D13+'E Balans VL '!E13)/100/3.6*1000000</f>
        <v>0</v>
      </c>
      <c r="K8" s="33"/>
      <c r="L8" s="33"/>
      <c r="M8" s="33"/>
      <c r="N8" s="33">
        <f>$C$28*'E Balans VL '!Y13/100/3.6*1000000</f>
        <v>370.04144585910996</v>
      </c>
      <c r="O8" s="33"/>
      <c r="P8" s="33"/>
      <c r="R8" s="32"/>
    </row>
    <row r="9" spans="1:18">
      <c r="A9" s="32" t="s">
        <v>51</v>
      </c>
      <c r="B9" s="37">
        <f t="shared" si="0"/>
        <v>21189.153999999999</v>
      </c>
      <c r="C9" s="33"/>
      <c r="D9" s="37">
        <f>IF(ISERROR(TER_gezond_gas_kWh/1000),0,TER_gezond_gas_kWh/1000)*0.902</f>
        <v>18507.35641872769</v>
      </c>
      <c r="E9" s="33">
        <f>$C$29*'E Balans VL '!I10/100/3.6*1000000</f>
        <v>16.867937061764533</v>
      </c>
      <c r="F9" s="33">
        <f>$C$29*('E Balans VL '!L10+'E Balans VL '!N10)/100/3.6*1000000</f>
        <v>2575.8478795558353</v>
      </c>
      <c r="G9" s="34"/>
      <c r="H9" s="33"/>
      <c r="I9" s="33"/>
      <c r="J9" s="33">
        <f>$C$29*('E Balans VL '!D10+'E Balans VL '!E10)/100/3.6*1000000</f>
        <v>0</v>
      </c>
      <c r="K9" s="33"/>
      <c r="L9" s="33"/>
      <c r="M9" s="33"/>
      <c r="N9" s="33">
        <f>$C$29*'E Balans VL '!Y10/100/3.6*1000000</f>
        <v>171.16037231448843</v>
      </c>
      <c r="O9" s="33"/>
      <c r="P9" s="33"/>
      <c r="R9" s="32"/>
    </row>
    <row r="10" spans="1:18">
      <c r="A10" s="32" t="s">
        <v>50</v>
      </c>
      <c r="B10" s="37">
        <f t="shared" si="0"/>
        <v>24741.888999999999</v>
      </c>
      <c r="C10" s="33"/>
      <c r="D10" s="37">
        <f>IF(ISERROR(TER_ander_gas_kWh/1000),0,TER_ander_gas_kWh/1000)*0.902</f>
        <v>17655.087389573007</v>
      </c>
      <c r="E10" s="33">
        <f>$C$30*'E Balans VL '!I14/100/3.6*1000000</f>
        <v>84.791753375235515</v>
      </c>
      <c r="F10" s="33">
        <f>$C$30*('E Balans VL '!L14+'E Balans VL '!N14)/100/3.6*1000000</f>
        <v>5526.3326106626937</v>
      </c>
      <c r="G10" s="34"/>
      <c r="H10" s="33"/>
      <c r="I10" s="33"/>
      <c r="J10" s="33">
        <f>$C$30*('E Balans VL '!D14+'E Balans VL '!E14)/100/3.6*1000000</f>
        <v>0</v>
      </c>
      <c r="K10" s="33"/>
      <c r="L10" s="33"/>
      <c r="M10" s="33"/>
      <c r="N10" s="33">
        <f>$C$30*'E Balans VL '!Y14/100/3.6*1000000</f>
        <v>17428.321773897551</v>
      </c>
      <c r="O10" s="33"/>
      <c r="P10" s="33"/>
      <c r="R10" s="32"/>
    </row>
    <row r="11" spans="1:18">
      <c r="A11" s="32" t="s">
        <v>55</v>
      </c>
      <c r="B11" s="37">
        <f t="shared" si="0"/>
        <v>6229.8329999999996</v>
      </c>
      <c r="C11" s="33"/>
      <c r="D11" s="37">
        <f>IF(ISERROR(TER_onderwijs_gas_kWh/1000),0,TER_onderwijs_gas_kWh/1000)*0.902</f>
        <v>11314.187625410816</v>
      </c>
      <c r="E11" s="33">
        <f>$C$31*'E Balans VL '!I11/100/3.6*1000000</f>
        <v>4.3064916891435141</v>
      </c>
      <c r="F11" s="33">
        <f>$C$31*('E Balans VL '!L11+'E Balans VL '!N11)/100/3.6*1000000</f>
        <v>1630.789315030077</v>
      </c>
      <c r="G11" s="34"/>
      <c r="H11" s="33"/>
      <c r="I11" s="33"/>
      <c r="J11" s="33">
        <f>$C$31*('E Balans VL '!D11+'E Balans VL '!E11)/100/3.6*1000000</f>
        <v>0</v>
      </c>
      <c r="K11" s="33"/>
      <c r="L11" s="33"/>
      <c r="M11" s="33"/>
      <c r="N11" s="33">
        <f>$C$31*'E Balans VL '!Y11/100/3.6*1000000</f>
        <v>6.2012681357174726</v>
      </c>
      <c r="O11" s="33"/>
      <c r="P11" s="33"/>
      <c r="R11" s="32"/>
    </row>
    <row r="12" spans="1:18">
      <c r="A12" s="32" t="s">
        <v>260</v>
      </c>
      <c r="B12" s="37">
        <f t="shared" si="0"/>
        <v>24501.717000000001</v>
      </c>
      <c r="C12" s="33"/>
      <c r="D12" s="37">
        <f>IF(ISERROR(TER_rest_gas_kWh/1000),0,TER_rest_gas_kWh/1000)*0.902</f>
        <v>69607.078393820717</v>
      </c>
      <c r="E12" s="33">
        <f>$C$32*'E Balans VL '!I8/100/3.6*1000000</f>
        <v>221.52370697043938</v>
      </c>
      <c r="F12" s="33">
        <f>$C$32*('E Balans VL '!L8+'E Balans VL '!N8)/100/3.6*1000000</f>
        <v>3611.7502958111704</v>
      </c>
      <c r="G12" s="34"/>
      <c r="H12" s="33"/>
      <c r="I12" s="33"/>
      <c r="J12" s="33">
        <f>$C$32*('E Balans VL '!D8+'E Balans VL '!E8)/100/3.6*1000000</f>
        <v>0</v>
      </c>
      <c r="K12" s="33"/>
      <c r="L12" s="33"/>
      <c r="M12" s="33"/>
      <c r="N12" s="33">
        <f>$C$32*'E Balans VL '!Y8/100/3.6*1000000</f>
        <v>2089.6687102599817</v>
      </c>
      <c r="O12" s="33"/>
      <c r="P12" s="33"/>
      <c r="R12" s="32"/>
    </row>
    <row r="13" spans="1:18">
      <c r="A13" s="16" t="s">
        <v>494</v>
      </c>
      <c r="B13" s="247">
        <f ca="1">'lokale energieproductie'!N90+'lokale energieproductie'!N59</f>
        <v>1446.3</v>
      </c>
      <c r="C13" s="247">
        <f ca="1">'lokale energieproductie'!O90+'lokale energieproductie'!O59</f>
        <v>60.428571428571438</v>
      </c>
      <c r="D13" s="310">
        <f ca="1">('lokale energieproductie'!P59+'lokale energieproductie'!P90)*(-1)</f>
        <v>-120.85714285714288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-4011.4285714285716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449270.73299999995</v>
      </c>
      <c r="C16" s="21">
        <f t="shared" ca="1" si="1"/>
        <v>60.428571428571438</v>
      </c>
      <c r="D16" s="21">
        <f t="shared" ca="1" si="1"/>
        <v>426447.97255180555</v>
      </c>
      <c r="E16" s="21">
        <f t="shared" si="1"/>
        <v>10788.093361463325</v>
      </c>
      <c r="F16" s="21">
        <f t="shared" ca="1" si="1"/>
        <v>79585.685112851061</v>
      </c>
      <c r="G16" s="21">
        <f t="shared" si="1"/>
        <v>0</v>
      </c>
      <c r="H16" s="21">
        <f t="shared" si="1"/>
        <v>0</v>
      </c>
      <c r="I16" s="21">
        <f t="shared" si="1"/>
        <v>0</v>
      </c>
      <c r="J16" s="21">
        <f t="shared" si="1"/>
        <v>0</v>
      </c>
      <c r="K16" s="21">
        <f t="shared" si="1"/>
        <v>0</v>
      </c>
      <c r="L16" s="21">
        <f t="shared" ca="1" si="1"/>
        <v>0</v>
      </c>
      <c r="M16" s="21">
        <f t="shared" si="1"/>
        <v>0</v>
      </c>
      <c r="N16" s="21">
        <f t="shared" ca="1" si="1"/>
        <v>17059.823450542961</v>
      </c>
      <c r="O16" s="21">
        <f>O5</f>
        <v>10.943333333333335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0.21569929815969432</v>
      </c>
      <c r="C18" s="25">
        <f ca="1">'EF ele_warmte'!B22</f>
        <v>2.3430693863448469E-3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96907.381791791413</v>
      </c>
      <c r="C20" s="23">
        <f t="shared" ref="C20:P20" ca="1" si="2">C16*C18</f>
        <v>0.14158833577483862</v>
      </c>
      <c r="D20" s="23">
        <f t="shared" ca="1" si="2"/>
        <v>86142.490455464722</v>
      </c>
      <c r="E20" s="23">
        <f t="shared" si="2"/>
        <v>2448.8971930521748</v>
      </c>
      <c r="F20" s="23">
        <f t="shared" ca="1" si="2"/>
        <v>21249.377925131233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94545.597999999998</v>
      </c>
      <c r="C26" s="39">
        <f>IF(ISERROR(B26*3.6/1000000/'E Balans VL '!Z12*100),0,B26*3.6/1000000/'E Balans VL '!Z12*100)</f>
        <v>2.076803365726855</v>
      </c>
      <c r="D26" s="237" t="s">
        <v>692</v>
      </c>
      <c r="F26" s="6"/>
    </row>
    <row r="27" spans="1:18">
      <c r="A27" s="231" t="s">
        <v>53</v>
      </c>
      <c r="B27" s="33">
        <f>IF(ISERROR(TER_horeca_ele_kWh/1000),0,TER_horeca_ele_kWh/1000)</f>
        <v>231000</v>
      </c>
      <c r="C27" s="39">
        <f>IF(ISERROR(B27*3.6/1000000/'E Balans VL '!Z9*100),0,B27*3.6/1000000/'E Balans VL '!Z9*100)</f>
        <v>18.563152635196609</v>
      </c>
      <c r="D27" s="237" t="s">
        <v>692</v>
      </c>
      <c r="F27" s="6"/>
    </row>
    <row r="28" spans="1:18">
      <c r="A28" s="171" t="s">
        <v>52</v>
      </c>
      <c r="B28" s="33">
        <f>IF(ISERROR(TER_handel_ele_kWh/1000),0,TER_handel_ele_kWh/1000)</f>
        <v>45616.241999999998</v>
      </c>
      <c r="C28" s="39">
        <f>IF(ISERROR(B28*3.6/1000000/'E Balans VL '!Z13*100),0,B28*3.6/1000000/'E Balans VL '!Z13*100)</f>
        <v>1.3488404077642162</v>
      </c>
      <c r="D28" s="237" t="s">
        <v>692</v>
      </c>
      <c r="F28" s="6"/>
    </row>
    <row r="29" spans="1:18">
      <c r="A29" s="231" t="s">
        <v>51</v>
      </c>
      <c r="B29" s="33">
        <f>IF(ISERROR(TER_gezond_ele_kWh/1000),0,TER_gezond_ele_kWh/1000)</f>
        <v>21189.153999999999</v>
      </c>
      <c r="C29" s="39">
        <f>IF(ISERROR(B29*3.6/1000000/'E Balans VL '!Z10*100),0,B29*3.6/1000000/'E Balans VL '!Z10*100)</f>
        <v>2.3874706000668047</v>
      </c>
      <c r="D29" s="237" t="s">
        <v>692</v>
      </c>
      <c r="F29" s="6"/>
    </row>
    <row r="30" spans="1:18">
      <c r="A30" s="231" t="s">
        <v>50</v>
      </c>
      <c r="B30" s="33">
        <f>IF(ISERROR(TER_ander_ele_kWh/1000),0,TER_ander_ele_kWh/1000)</f>
        <v>24741.888999999999</v>
      </c>
      <c r="C30" s="39">
        <f>IF(ISERROR(B30*3.6/1000000/'E Balans VL '!Z14*100),0,B30*3.6/1000000/'E Balans VL '!Z14*100)</f>
        <v>1.8711867707211929</v>
      </c>
      <c r="D30" s="237" t="s">
        <v>692</v>
      </c>
      <c r="F30" s="6"/>
    </row>
    <row r="31" spans="1:18">
      <c r="A31" s="231" t="s">
        <v>55</v>
      </c>
      <c r="B31" s="33">
        <f>IF(ISERROR(TER_onderwijs_ele_kWh/1000),0,TER_onderwijs_ele_kWh/1000)</f>
        <v>6229.8329999999996</v>
      </c>
      <c r="C31" s="39">
        <f>IF(ISERROR(B31*3.6/1000000/'E Balans VL '!Z11*100),0,B31*3.6/1000000/'E Balans VL '!Z11*100)</f>
        <v>1.2931687114354755</v>
      </c>
      <c r="D31" s="237" t="s">
        <v>692</v>
      </c>
    </row>
    <row r="32" spans="1:18">
      <c r="A32" s="231" t="s">
        <v>260</v>
      </c>
      <c r="B32" s="33">
        <f>IF(ISERROR(TER_rest_ele_kWh/1000),0,TER_rest_ele_kWh/1000)</f>
        <v>24501.717000000001</v>
      </c>
      <c r="C32" s="39">
        <f>IF(ISERROR(B32*3.6/1000000/'E Balans VL '!Z8*100),0,B32*3.6/1000000/'E Balans VL '!Z8*100)</f>
        <v>0.20641255185300955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111031.16767000002</v>
      </c>
      <c r="C5" s="17">
        <f>IF(ISERROR('Eigen informatie GS &amp; warmtenet'!B59),0,'Eigen informatie GS &amp; warmtenet'!B59)</f>
        <v>0</v>
      </c>
      <c r="D5" s="30">
        <f>SUM(D6:D15)</f>
        <v>101985.36174646384</v>
      </c>
      <c r="E5" s="17">
        <f>SUM(E6:E15)</f>
        <v>13144.361117312183</v>
      </c>
      <c r="F5" s="17">
        <f>SUM(F6:F15)</f>
        <v>54841.050104292866</v>
      </c>
      <c r="G5" s="18"/>
      <c r="H5" s="17"/>
      <c r="I5" s="17"/>
      <c r="J5" s="17">
        <f>SUM(J6:J15)</f>
        <v>423.95337131198482</v>
      </c>
      <c r="K5" s="17"/>
      <c r="L5" s="17"/>
      <c r="M5" s="17"/>
      <c r="N5" s="17">
        <f>SUM(N6:N15)</f>
        <v>27541.85762838371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2010.5419999999999</v>
      </c>
      <c r="C8" s="33"/>
      <c r="D8" s="37">
        <f>IF( ISERROR(IND_metaal_Gas_kWH/1000),0,IND_metaal_Gas_kWH/1000)*0.902</f>
        <v>201.40283623005271</v>
      </c>
      <c r="E8" s="33">
        <f>C30*'E Balans VL '!I18/100/3.6*1000000</f>
        <v>50.316829513752445</v>
      </c>
      <c r="F8" s="33">
        <f>C30*'E Balans VL '!L18/100/3.6*1000000+C30*'E Balans VL '!N18/100/3.6*1000000</f>
        <v>630.11386375023642</v>
      </c>
      <c r="G8" s="34"/>
      <c r="H8" s="33"/>
      <c r="I8" s="33"/>
      <c r="J8" s="40">
        <f>C30*'E Balans VL '!D18/100/3.6*1000000+C30*'E Balans VL '!E18/100/3.6*1000000</f>
        <v>0</v>
      </c>
      <c r="K8" s="33"/>
      <c r="L8" s="33"/>
      <c r="M8" s="33"/>
      <c r="N8" s="33">
        <f>C30*'E Balans VL '!Y18/100/3.6*1000000</f>
        <v>50.510032851486663</v>
      </c>
      <c r="O8" s="33"/>
      <c r="P8" s="33"/>
      <c r="R8" s="32"/>
    </row>
    <row r="9" spans="1:18">
      <c r="A9" s="6" t="s">
        <v>33</v>
      </c>
      <c r="B9" s="37">
        <f t="shared" si="0"/>
        <v>35034.294000000002</v>
      </c>
      <c r="C9" s="33"/>
      <c r="D9" s="37">
        <f>IF( ISERROR(IND_andere_gas_kWh/1000),0,IND_andere_gas_kWh/1000)*0.902</f>
        <v>24756.80671701418</v>
      </c>
      <c r="E9" s="33">
        <f>C31*'E Balans VL '!I19/100/3.6*1000000</f>
        <v>9632.993916483887</v>
      </c>
      <c r="F9" s="33">
        <f>C31*'E Balans VL '!L19/100/3.6*1000000+C31*'E Balans VL '!N19/100/3.6*1000000</f>
        <v>27613.120076865434</v>
      </c>
      <c r="G9" s="34"/>
      <c r="H9" s="33"/>
      <c r="I9" s="33"/>
      <c r="J9" s="40">
        <f>C31*'E Balans VL '!D19/100/3.6*1000000+C31*'E Balans VL '!E19/100/3.6*1000000</f>
        <v>0</v>
      </c>
      <c r="K9" s="33"/>
      <c r="L9" s="33"/>
      <c r="M9" s="33"/>
      <c r="N9" s="33">
        <f>C31*'E Balans VL '!Y19/100/3.6*1000000</f>
        <v>11341.525718414623</v>
      </c>
      <c r="O9" s="33"/>
      <c r="P9" s="33"/>
      <c r="R9" s="32"/>
    </row>
    <row r="10" spans="1:18">
      <c r="A10" s="6" t="s">
        <v>41</v>
      </c>
      <c r="B10" s="37">
        <f t="shared" si="0"/>
        <v>6008.3729999999996</v>
      </c>
      <c r="C10" s="33"/>
      <c r="D10" s="37">
        <f>IF( ISERROR(IND_voed_gas_kWh/1000),0,IND_voed_gas_kWh/1000)*0.902</f>
        <v>6401.0449294105629</v>
      </c>
      <c r="E10" s="33">
        <f>C32*'E Balans VL '!I20/100/3.6*1000000</f>
        <v>61.252052703427168</v>
      </c>
      <c r="F10" s="33">
        <f>C32*'E Balans VL '!L20/100/3.6*1000000+C32*'E Balans VL '!N20/100/3.6*1000000</f>
        <v>11349.779018254398</v>
      </c>
      <c r="G10" s="34"/>
      <c r="H10" s="33"/>
      <c r="I10" s="33"/>
      <c r="J10" s="40">
        <f>C32*'E Balans VL '!D20/100/3.6*1000000+C32*'E Balans VL '!E20/100/3.6*1000000</f>
        <v>143.80002537546227</v>
      </c>
      <c r="K10" s="33"/>
      <c r="L10" s="33"/>
      <c r="M10" s="33"/>
      <c r="N10" s="33">
        <f>C32*'E Balans VL '!Y20/100/3.6*1000000</f>
        <v>3167.1046507043184</v>
      </c>
      <c r="O10" s="33"/>
      <c r="P10" s="33"/>
      <c r="R10" s="32"/>
    </row>
    <row r="11" spans="1:18">
      <c r="A11" s="6" t="s">
        <v>40</v>
      </c>
      <c r="B11" s="37">
        <f t="shared" si="0"/>
        <v>137.71620000000001</v>
      </c>
      <c r="C11" s="33"/>
      <c r="D11" s="37">
        <f>IF( ISERROR(IND_textiel_gas_kWh/1000),0,IND_textiel_gas_kWh/1000)*0.902</f>
        <v>118.91896695531395</v>
      </c>
      <c r="E11" s="33">
        <f>C33*'E Balans VL '!I21/100/3.6*1000000</f>
        <v>0.36501530317540942</v>
      </c>
      <c r="F11" s="33">
        <f>C33*'E Balans VL '!L21/100/3.6*1000000+C33*'E Balans VL '!N21/100/3.6*1000000</f>
        <v>6.1505475568387284</v>
      </c>
      <c r="G11" s="34"/>
      <c r="H11" s="33"/>
      <c r="I11" s="33"/>
      <c r="J11" s="40">
        <f>C33*'E Balans VL '!D21/100/3.6*1000000+C33*'E Balans VL '!E21/100/3.6*1000000</f>
        <v>0</v>
      </c>
      <c r="K11" s="33"/>
      <c r="L11" s="33"/>
      <c r="M11" s="33"/>
      <c r="N11" s="33">
        <f>C33*'E Balans VL '!Y21/100/3.6*1000000</f>
        <v>1.2978767396609194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1028.8699999999999</v>
      </c>
      <c r="C13" s="33"/>
      <c r="D13" s="37">
        <f>IF( ISERROR(IND_papier_gas_kWh/1000),0,IND_papier_gas_kWh/1000)*0.902</f>
        <v>947.43849981664812</v>
      </c>
      <c r="E13" s="33">
        <f>C35*'E Balans VL '!I23/100/3.6*1000000</f>
        <v>2.1308592170527434</v>
      </c>
      <c r="F13" s="33">
        <f>C35*'E Balans VL '!L23/100/3.6*1000000+C35*'E Balans VL '!N23/100/3.6*1000000</f>
        <v>20.404697821967492</v>
      </c>
      <c r="G13" s="34"/>
      <c r="H13" s="33"/>
      <c r="I13" s="33"/>
      <c r="J13" s="40">
        <f>C35*'E Balans VL '!D23/100/3.6*1000000+C35*'E Balans VL '!E23/100/3.6*1000000</f>
        <v>0</v>
      </c>
      <c r="K13" s="33"/>
      <c r="L13" s="33"/>
      <c r="M13" s="33"/>
      <c r="N13" s="33">
        <f>C35*'E Balans VL '!Y23/100/3.6*1000000</f>
        <v>434.43816475194018</v>
      </c>
      <c r="O13" s="33"/>
      <c r="P13" s="33"/>
      <c r="R13" s="32"/>
    </row>
    <row r="14" spans="1:18">
      <c r="A14" s="6" t="s">
        <v>34</v>
      </c>
      <c r="B14" s="37">
        <f t="shared" si="0"/>
        <v>33.950470000000003</v>
      </c>
      <c r="C14" s="33"/>
      <c r="D14" s="37">
        <f>IF( ISERROR(IND_chemie_gas_kWh/1000),0,IND_chemie_gas_kWh/1000)*0.902</f>
        <v>0</v>
      </c>
      <c r="E14" s="33">
        <f>C36*'E Balans VL '!I24/100/3.6*1000000</f>
        <v>0.12728589155929187</v>
      </c>
      <c r="F14" s="33">
        <f>C36*'E Balans VL '!L24/100/3.6*1000000+C36*'E Balans VL '!N24/100/3.6*1000000</f>
        <v>0.39497815594505459</v>
      </c>
      <c r="G14" s="34"/>
      <c r="H14" s="33"/>
      <c r="I14" s="33"/>
      <c r="J14" s="40">
        <f>C36*'E Balans VL '!D24/100/3.6*1000000+C36*'E Balans VL '!E24/100/3.6*1000000</f>
        <v>0</v>
      </c>
      <c r="K14" s="33"/>
      <c r="L14" s="33"/>
      <c r="M14" s="33"/>
      <c r="N14" s="33">
        <f>C36*'E Balans VL '!Y24/100/3.6*1000000</f>
        <v>0.58002748645718927</v>
      </c>
      <c r="O14" s="33"/>
      <c r="P14" s="33"/>
      <c r="R14" s="32"/>
    </row>
    <row r="15" spans="1:18">
      <c r="A15" s="6" t="s">
        <v>270</v>
      </c>
      <c r="B15" s="37">
        <f t="shared" si="0"/>
        <v>66777.422000000006</v>
      </c>
      <c r="C15" s="33"/>
      <c r="D15" s="37">
        <f>IF( ISERROR(IND_rest_gas_kWh/1000),0,IND_rest_gas_kWh/1000)*0.902</f>
        <v>69559.749797037075</v>
      </c>
      <c r="E15" s="33">
        <f>C37*'E Balans VL '!I15/100/3.6*1000000</f>
        <v>3397.1751581993267</v>
      </c>
      <c r="F15" s="33">
        <f>C37*'E Balans VL '!L15/100/3.6*1000000+C37*'E Balans VL '!N15/100/3.6*1000000</f>
        <v>15221.086921888047</v>
      </c>
      <c r="G15" s="34"/>
      <c r="H15" s="33"/>
      <c r="I15" s="33"/>
      <c r="J15" s="40">
        <f>C37*'E Balans VL '!D15/100/3.6*1000000+C37*'E Balans VL '!E15/100/3.6*1000000</f>
        <v>280.15334593652256</v>
      </c>
      <c r="K15" s="33"/>
      <c r="L15" s="33"/>
      <c r="M15" s="33"/>
      <c r="N15" s="33">
        <f>C37*'E Balans VL '!Y15/100/3.6*1000000</f>
        <v>12546.401157435221</v>
      </c>
      <c r="O15" s="33"/>
      <c r="P15" s="33"/>
      <c r="R15" s="32"/>
    </row>
    <row r="16" spans="1:18">
      <c r="A16" s="16" t="s">
        <v>494</v>
      </c>
      <c r="B16" s="247">
        <f>'lokale energieproductie'!N89+'lokale energieproductie'!N58</f>
        <v>4248</v>
      </c>
      <c r="C16" s="247">
        <f>'lokale energieproductie'!O89+'lokale energieproductie'!O58</f>
        <v>6068.5714285714284</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-12137.142857142859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115279.16767000002</v>
      </c>
      <c r="C18" s="21">
        <f>C5+C16</f>
        <v>6068.5714285714284</v>
      </c>
      <c r="D18" s="21">
        <f>MAX((D5+D16),0)</f>
        <v>101985.36174646384</v>
      </c>
      <c r="E18" s="21">
        <f>MAX((E5+E16),0)</f>
        <v>13144.361117312183</v>
      </c>
      <c r="F18" s="21">
        <f>MAX((F5+F16),0)</f>
        <v>54841.050104292866</v>
      </c>
      <c r="G18" s="21"/>
      <c r="H18" s="21"/>
      <c r="I18" s="21"/>
      <c r="J18" s="21">
        <f>MAX((J5+J16),0)</f>
        <v>423.95337131198482</v>
      </c>
      <c r="K18" s="21"/>
      <c r="L18" s="21">
        <f>MAX((L5+L16),0)</f>
        <v>0</v>
      </c>
      <c r="M18" s="21"/>
      <c r="N18" s="21">
        <f>MAX((N5+N16),0)</f>
        <v>15404.714771240851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0.21569929815969432</v>
      </c>
      <c r="C20" s="25">
        <f ca="1">'EF ele_warmte'!B22</f>
        <v>2.3430693863448469E-3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24865.635558852729</v>
      </c>
      <c r="C22" s="23">
        <f ca="1">C18*C20</f>
        <v>14.219083933132728</v>
      </c>
      <c r="D22" s="23">
        <f>D18*D20</f>
        <v>20601.043072785695</v>
      </c>
      <c r="E22" s="23">
        <f>E18*E20</f>
        <v>2983.7699736298655</v>
      </c>
      <c r="F22" s="23">
        <f>F18*F20</f>
        <v>14642.560377846195</v>
      </c>
      <c r="G22" s="23"/>
      <c r="H22" s="23"/>
      <c r="I22" s="23"/>
      <c r="J22" s="23">
        <f>J18*J20</f>
        <v>150.07949344444262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2010.5419999999999</v>
      </c>
      <c r="C30" s="39">
        <f>IF(ISERROR(B30*3.6/1000000/'E Balans VL '!Z18*100),0,B30*3.6/1000000/'E Balans VL '!Z18*100)</f>
        <v>0.28140887794765784</v>
      </c>
      <c r="D30" s="237" t="s">
        <v>692</v>
      </c>
    </row>
    <row r="31" spans="1:18">
      <c r="A31" s="6" t="s">
        <v>33</v>
      </c>
      <c r="B31" s="37">
        <f>IF( ISERROR(IND_ander_ele_kWh/1000),0,IND_ander_ele_kWh/1000)</f>
        <v>35034.294000000002</v>
      </c>
      <c r="C31" s="39">
        <f>IF(ISERROR(B31*3.6/1000000/'E Balans VL '!Z19*100),0,B31*3.6/1000000/'E Balans VL '!Z19*100)</f>
        <v>1.5334453650100521</v>
      </c>
      <c r="D31" s="237" t="s">
        <v>692</v>
      </c>
    </row>
    <row r="32" spans="1:18">
      <c r="A32" s="171" t="s">
        <v>41</v>
      </c>
      <c r="B32" s="37">
        <f>IF( ISERROR(IND_voed_ele_kWh/1000),0,IND_voed_ele_kWh/1000)</f>
        <v>6008.3729999999996</v>
      </c>
      <c r="C32" s="39">
        <f>IF(ISERROR(B32*3.6/1000000/'E Balans VL '!Z20*100),0,B32*3.6/1000000/'E Balans VL '!Z20*100)</f>
        <v>1.4874736265744954</v>
      </c>
      <c r="D32" s="237" t="s">
        <v>692</v>
      </c>
    </row>
    <row r="33" spans="1:5">
      <c r="A33" s="171" t="s">
        <v>40</v>
      </c>
      <c r="B33" s="37">
        <f>IF( ISERROR(IND_textiel_ele_kWh/1000),0,IND_textiel_ele_kWh/1000)</f>
        <v>137.71620000000001</v>
      </c>
      <c r="C33" s="39">
        <f>IF(ISERROR(B33*3.6/1000000/'E Balans VL '!Z21*100),0,B33*3.6/1000000/'E Balans VL '!Z21*100)</f>
        <v>1.5518189846787194E-2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1028.8699999999999</v>
      </c>
      <c r="C35" s="39">
        <f>IF(ISERROR(B35*3.6/1000000/'E Balans VL '!Z22*100),0,B35*3.6/1000000/'E Balans VL '!Z22*100)</f>
        <v>2.9195133035995784E-2</v>
      </c>
      <c r="D35" s="237" t="s">
        <v>692</v>
      </c>
    </row>
    <row r="36" spans="1:5">
      <c r="A36" s="171" t="s">
        <v>34</v>
      </c>
      <c r="B36" s="37">
        <f>IF( ISERROR(IND_chemie_ele_kWh/1000),0,IND_chemie_ele_kWh/1000)</f>
        <v>33.950470000000003</v>
      </c>
      <c r="C36" s="39">
        <f>IF(ISERROR(B36*3.6/1000000/'E Balans VL '!Z24*100),0,B36*3.6/1000000/'E Balans VL '!Z24*100)</f>
        <v>8.6568516514422332E-4</v>
      </c>
      <c r="D36" s="237" t="s">
        <v>692</v>
      </c>
    </row>
    <row r="37" spans="1:5">
      <c r="A37" s="171" t="s">
        <v>270</v>
      </c>
      <c r="B37" s="37">
        <f>IF( ISERROR(IND_rest_ele_kWh/1000),0,IND_rest_ele_kWh/1000)</f>
        <v>66777.422000000006</v>
      </c>
      <c r="C37" s="39">
        <f>IF(ISERROR(B37*3.6/1000000/'E Balans VL '!Z15*100),0,B37*3.6/1000000/'E Balans VL '!Z15*100)</f>
        <v>0.49514315135155912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1907.7128</v>
      </c>
      <c r="C5" s="17">
        <f>'Eigen informatie GS &amp; warmtenet'!B60</f>
        <v>0</v>
      </c>
      <c r="D5" s="30">
        <f>IF(ISERROR(SUM(LB_lb_gas_kWh,LB_rest_gas_kWh,onbekend_gas_kWh)/1000),0,SUM(LB_lb_gas_kWh,LB_rest_gas_kWh,onbekend_gas_kWh)/1000)*0.902</f>
        <v>32193.00561832952</v>
      </c>
      <c r="E5" s="17">
        <f>B17*'E Balans VL '!I25/3.6*1000000/100</f>
        <v>17.67003497716842</v>
      </c>
      <c r="F5" s="17">
        <f>B17*('E Balans VL '!L25/3.6*1000000+'E Balans VL '!N25/3.6*1000000)/100</f>
        <v>4840.2307925154519</v>
      </c>
      <c r="G5" s="18"/>
      <c r="H5" s="17"/>
      <c r="I5" s="17"/>
      <c r="J5" s="17">
        <f>('E Balans VL '!D25+'E Balans VL '!E25)/3.6*1000000*landbouw!B17/100</f>
        <v>292.47366237698526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1907.7128</v>
      </c>
      <c r="C8" s="21">
        <f>C5+C6</f>
        <v>0</v>
      </c>
      <c r="D8" s="21">
        <f>MAX((D5+D6),0)</f>
        <v>32193.00561832952</v>
      </c>
      <c r="E8" s="21">
        <f>MAX((E5+E6),0)</f>
        <v>17.67003497716842</v>
      </c>
      <c r="F8" s="21">
        <f>MAX((F5+F6),0)</f>
        <v>4840.2307925154519</v>
      </c>
      <c r="G8" s="21"/>
      <c r="H8" s="21"/>
      <c r="I8" s="21"/>
      <c r="J8" s="21">
        <f>MAX((J5+J6),0)</f>
        <v>292.47366237698526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0.21569929815969432</v>
      </c>
      <c r="C10" s="31">
        <f ca="1">'EF ele_warmte'!B22</f>
        <v>2.3430693863448469E-3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411.4923120502653</v>
      </c>
      <c r="C12" s="23">
        <f ca="1">C8*C10</f>
        <v>0</v>
      </c>
      <c r="D12" s="23">
        <f>D8*D10</f>
        <v>6502.9871349025634</v>
      </c>
      <c r="E12" s="23">
        <f>E8*E10</f>
        <v>4.0110979398172315</v>
      </c>
      <c r="F12" s="23">
        <f>F8*F10</f>
        <v>1292.3416216016258</v>
      </c>
      <c r="G12" s="23"/>
      <c r="H12" s="23"/>
      <c r="I12" s="23"/>
      <c r="J12" s="23">
        <f>J8*J10</f>
        <v>103.53567648145278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0.27123630965680812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48.449513669786391</v>
      </c>
      <c r="C26" s="247">
        <f>B26*'GWP N2O_CH4'!B5</f>
        <v>1017.4397870655142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6.6428352115943152</v>
      </c>
      <c r="C27" s="247">
        <f>B27*'GWP N2O_CH4'!B5</f>
        <v>139.49953944348061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0.62294452552097357</v>
      </c>
      <c r="C28" s="247">
        <f>B28*'GWP N2O_CH4'!B4</f>
        <v>193.1128029115018</v>
      </c>
      <c r="D28" s="50"/>
    </row>
    <row r="29" spans="1:4">
      <c r="A29" s="41" t="s">
        <v>277</v>
      </c>
      <c r="B29" s="247">
        <f>B34*'ha_N2O bodem landbouw'!B4</f>
        <v>7.12951075795376</v>
      </c>
      <c r="C29" s="247">
        <f>B29*'GWP N2O_CH4'!B4</f>
        <v>2210.1483349656655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1.5990236602052451E-3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3.1824435063413986E-4</v>
      </c>
      <c r="C5" s="464" t="s">
        <v>211</v>
      </c>
      <c r="D5" s="449">
        <f>SUM(D6:D11)</f>
        <v>8.5215926328433109E-4</v>
      </c>
      <c r="E5" s="449">
        <f>SUM(E6:E11)</f>
        <v>6.1376155388607337E-3</v>
      </c>
      <c r="F5" s="462" t="s">
        <v>211</v>
      </c>
      <c r="G5" s="449">
        <f>SUM(G6:G11)</f>
        <v>1.5472423888354574</v>
      </c>
      <c r="H5" s="449">
        <f>SUM(H6:H11)</f>
        <v>0.32922952706532294</v>
      </c>
      <c r="I5" s="464" t="s">
        <v>211</v>
      </c>
      <c r="J5" s="464" t="s">
        <v>211</v>
      </c>
      <c r="K5" s="464" t="s">
        <v>211</v>
      </c>
      <c r="L5" s="464" t="s">
        <v>211</v>
      </c>
      <c r="M5" s="449">
        <f>SUM(M6:M11)</f>
        <v>9.9635896933225609E-2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8.4773917949648554E-5</v>
      </c>
      <c r="C6" s="450"/>
      <c r="D6" s="963">
        <f>vkm_2011_GW_PW*SUMIFS(TableVerdeelsleutelVkm[CNG],TableVerdeelsleutelVkm[Voertuigtype],"Lichte voertuigen")*SUMIFS(TableECFTransport[EnergieConsumptieFactor (PJ per km)],TableECFTransport[Index],CONCATENATE($A6,"_CNG_CNG"))</f>
        <v>1.9609140543927757E-4</v>
      </c>
      <c r="E6" s="963">
        <f>vkm_2011_GW_PW*SUMIFS(TableVerdeelsleutelVkm[LPG],TableVerdeelsleutelVkm[Voertuigtype],"Lichte voertuigen")*SUMIFS(TableECFTransport[EnergieConsumptieFactor (PJ per km)],TableECFTransport[Index],CONCATENATE($A6,"_LPG_LPG"))</f>
        <v>1.2768288159377523E-3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0.26525174018685665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7.476898396768876E-2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1.7645312939375154E-2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5.819000856487648E-2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1.9899926149404998E-5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3.3666218314150464E-3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5.3923081430750034E-5</v>
      </c>
      <c r="C8" s="450"/>
      <c r="D8" s="452">
        <f>vkm_2011_NGW_PW*SUMIFS(TableVerdeelsleutelVkm[CNG],TableVerdeelsleutelVkm[Voertuigtype],"Lichte voertuigen")*SUMIFS(TableECFTransport[EnergieConsumptieFactor (PJ per km)],TableECFTransport[Index],CONCATENATE($A8,"_CNG_CNG"))</f>
        <v>2.2061096092298996E-4</v>
      </c>
      <c r="E8" s="452">
        <f>vkm_2011_NGW_PW*SUMIFS(TableVerdeelsleutelVkm[LPG],TableVerdeelsleutelVkm[Voertuigtype],"Lichte voertuigen")*SUMIFS(TableECFTransport[EnergieConsumptieFactor (PJ per km)],TableECFTransport[Index],CONCATENATE($A8,"_LPG_LPG"))</f>
        <v>1.3257265330479271E-3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0.25745414514008919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8.1336369418300844E-2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1.7396439175481896E-2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7.8141991505827103E-3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2.5285838199862853E-6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4.5209128896308009E-4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1.7954735125374127E-4</v>
      </c>
      <c r="C10" s="450"/>
      <c r="D10" s="452">
        <f>vkm_2011_SW_PW*SUMIFS(TableVerdeelsleutelVkm[CNG],TableVerdeelsleutelVkm[Voertuigtype],"Lichte voertuigen")*SUMIFS(TableECFTransport[EnergieConsumptieFactor (PJ per km)],TableECFTransport[Index],CONCATENATE($A10,"_CNG_CNG"))</f>
        <v>4.354568969220635E-4</v>
      </c>
      <c r="E10" s="452">
        <f>vkm_2011_SW_PW*SUMIFS(TableVerdeelsleutelVkm[LPG],TableVerdeelsleutelVkm[Voertuigtype],"Lichte voertuigen")*SUMIFS(TableECFTransport[EnergieConsumptieFactor (PJ per km)],TableECFTransport[Index],CONCATENATE($A10,"_LPG_LPG"))</f>
        <v>3.5350601898750545E-3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0.66115775586898706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0.17299214413606864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4.3570385630139305E-2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0.29737453992406554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1.0960103329526617E-4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1.7205046067851129E-2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88.401208509483297</v>
      </c>
      <c r="C14" s="21"/>
      <c r="D14" s="21">
        <f t="shared" ref="D14:M14" si="0">((D5)*10^9/3600)+D12</f>
        <v>236.71090646786973</v>
      </c>
      <c r="E14" s="21">
        <f t="shared" si="0"/>
        <v>1704.8932052390926</v>
      </c>
      <c r="F14" s="21"/>
      <c r="G14" s="21">
        <f t="shared" si="0"/>
        <v>429789.55245429371</v>
      </c>
      <c r="H14" s="21">
        <f t="shared" si="0"/>
        <v>91452.646407034146</v>
      </c>
      <c r="I14" s="21"/>
      <c r="J14" s="21"/>
      <c r="K14" s="21"/>
      <c r="L14" s="21"/>
      <c r="M14" s="21">
        <f t="shared" si="0"/>
        <v>27676.638037007117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0.21569929815969432</v>
      </c>
      <c r="C16" s="56">
        <f ca="1">'EF ele_warmte'!B22</f>
        <v>2.3430693863448469E-3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19.068078631964344</v>
      </c>
      <c r="C18" s="23"/>
      <c r="D18" s="23">
        <f t="shared" ref="D18:M18" si="1">D14*D16</f>
        <v>47.815603106509691</v>
      </c>
      <c r="E18" s="23">
        <f t="shared" si="1"/>
        <v>387.01075758927402</v>
      </c>
      <c r="F18" s="23"/>
      <c r="G18" s="23">
        <f t="shared" si="1"/>
        <v>114753.81050529642</v>
      </c>
      <c r="H18" s="23">
        <f t="shared" si="1"/>
        <v>22771.708955351503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8.5521937123151245E-2</v>
      </c>
      <c r="H50" s="321">
        <f t="shared" si="2"/>
        <v>0</v>
      </c>
      <c r="I50" s="321">
        <f t="shared" si="2"/>
        <v>0</v>
      </c>
      <c r="J50" s="321">
        <f t="shared" si="2"/>
        <v>0</v>
      </c>
      <c r="K50" s="321">
        <f t="shared" si="2"/>
        <v>0</v>
      </c>
      <c r="L50" s="321">
        <f t="shared" si="2"/>
        <v>0</v>
      </c>
      <c r="M50" s="321">
        <f t="shared" si="2"/>
        <v>4.8770667642189435E-3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8.5521937123151245E-2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4.8770667642189435E-3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23756.09364531979</v>
      </c>
      <c r="H54" s="21">
        <f t="shared" si="3"/>
        <v>0</v>
      </c>
      <c r="I54" s="21">
        <f t="shared" si="3"/>
        <v>0</v>
      </c>
      <c r="J54" s="21">
        <f t="shared" si="3"/>
        <v>0</v>
      </c>
      <c r="K54" s="21">
        <f t="shared" si="3"/>
        <v>0</v>
      </c>
      <c r="L54" s="21">
        <f t="shared" si="3"/>
        <v>0</v>
      </c>
      <c r="M54" s="21">
        <f t="shared" si="3"/>
        <v>1354.7407678385953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0.21569929815969432</v>
      </c>
      <c r="C56" s="56">
        <f ca="1">'EF ele_warmte'!B22</f>
        <v>2.3430693863448469E-3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6342.8770033003839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81.360538116591925</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11605.681335580073</v>
      </c>
      <c r="C6" s="1223"/>
      <c r="D6" s="1226"/>
      <c r="E6" s="1226"/>
      <c r="F6" s="1229"/>
      <c r="G6" s="1232"/>
      <c r="H6" s="1220"/>
      <c r="I6" s="1226"/>
      <c r="J6" s="1226"/>
      <c r="K6" s="1226"/>
      <c r="L6" s="1256"/>
      <c r="M6" s="576"/>
      <c r="N6" s="1268"/>
      <c r="O6" s="1269"/>
      <c r="Q6" s="574"/>
      <c r="R6" s="1253"/>
      <c r="S6" s="1253"/>
    </row>
    <row r="7" spans="1:19" s="564" customFormat="1">
      <c r="A7" s="577" t="s">
        <v>252</v>
      </c>
      <c r="B7" s="578">
        <f>N57</f>
        <v>4290.3</v>
      </c>
      <c r="C7" s="579">
        <f>B100</f>
        <v>49.764705882352956</v>
      </c>
      <c r="D7" s="580"/>
      <c r="E7" s="580">
        <f>E100</f>
        <v>0</v>
      </c>
      <c r="F7" s="581"/>
      <c r="G7" s="582"/>
      <c r="H7" s="580">
        <f>I100</f>
        <v>0</v>
      </c>
      <c r="I7" s="580">
        <f>G100+F100</f>
        <v>0</v>
      </c>
      <c r="J7" s="580">
        <f>H100+D100+C100</f>
        <v>4997.6470588235306</v>
      </c>
      <c r="K7" s="580"/>
      <c r="L7" s="583"/>
      <c r="M7" s="584">
        <f>C7*$C$11+D7*$D$11+E7*$E$11+F7*$F$11+G7*$G$11+H7*$H$11+I7*$I$11+J7*$J$11</f>
        <v>10.052470588235298</v>
      </c>
      <c r="N7" s="1268"/>
      <c r="O7" s="1269"/>
      <c r="Q7" s="574"/>
      <c r="R7" s="1253"/>
      <c r="S7" s="1253"/>
    </row>
    <row r="8" spans="1:19" s="564" customFormat="1" ht="17.45" customHeight="1" thickBot="1">
      <c r="A8" s="585" t="s">
        <v>248</v>
      </c>
      <c r="B8" s="586">
        <f>N88+'Eigen informatie GS &amp; warmtenet'!B12</f>
        <v>1404</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17381.341873696667</v>
      </c>
      <c r="C9" s="595">
        <f t="shared" ref="C9:L9" si="0">SUM(C7:C8)</f>
        <v>49.764705882352956</v>
      </c>
      <c r="D9" s="595">
        <f t="shared" si="0"/>
        <v>0</v>
      </c>
      <c r="E9" s="595">
        <f t="shared" si="0"/>
        <v>0</v>
      </c>
      <c r="F9" s="595">
        <f t="shared" si="0"/>
        <v>0</v>
      </c>
      <c r="G9" s="595">
        <f t="shared" si="0"/>
        <v>0</v>
      </c>
      <c r="H9" s="595">
        <f t="shared" si="0"/>
        <v>0</v>
      </c>
      <c r="I9" s="595">
        <f t="shared" si="0"/>
        <v>0</v>
      </c>
      <c r="J9" s="595">
        <f t="shared" si="0"/>
        <v>9009.0756302521022</v>
      </c>
      <c r="K9" s="595">
        <f t="shared" si="0"/>
        <v>0</v>
      </c>
      <c r="L9" s="595">
        <f t="shared" si="0"/>
        <v>0</v>
      </c>
      <c r="M9" s="596">
        <f>SUM(M4:M8)</f>
        <v>10.052470588235298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6129</v>
      </c>
      <c r="C16" s="611">
        <f>B101</f>
        <v>71.092436974789933</v>
      </c>
      <c r="D16" s="612"/>
      <c r="E16" s="612">
        <f>E101</f>
        <v>0</v>
      </c>
      <c r="F16" s="613"/>
      <c r="G16" s="614"/>
      <c r="H16" s="611">
        <f>I101</f>
        <v>0</v>
      </c>
      <c r="I16" s="612">
        <f>G101+F101</f>
        <v>0</v>
      </c>
      <c r="J16" s="612">
        <f>H101+D101+C101</f>
        <v>7139.495798319329</v>
      </c>
      <c r="K16" s="612"/>
      <c r="L16" s="615"/>
      <c r="M16" s="616">
        <f>C16*$C$21+E16*$E$21+H16*$H$21+I16*$I$21+J16*$J$21+D16*$D$21+F16*$F$21+G16*$G$21+K16*$K$21+L16*$L$21</f>
        <v>14.360672268907567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6129</v>
      </c>
      <c r="C19" s="594">
        <f>SUM(C16:C18)</f>
        <v>71.092436974789933</v>
      </c>
      <c r="D19" s="594">
        <f t="shared" ref="D19:M19" si="1">SUM(D16:D18)</f>
        <v>0</v>
      </c>
      <c r="E19" s="594">
        <f t="shared" si="1"/>
        <v>0</v>
      </c>
      <c r="F19" s="594">
        <f t="shared" si="1"/>
        <v>0</v>
      </c>
      <c r="G19" s="594">
        <f t="shared" si="1"/>
        <v>0</v>
      </c>
      <c r="H19" s="594">
        <f t="shared" si="1"/>
        <v>0</v>
      </c>
      <c r="I19" s="594">
        <f t="shared" si="1"/>
        <v>0</v>
      </c>
      <c r="J19" s="594">
        <f t="shared" si="1"/>
        <v>7139.495798319329</v>
      </c>
      <c r="K19" s="594">
        <f t="shared" si="1"/>
        <v>0</v>
      </c>
      <c r="L19" s="594">
        <f t="shared" si="1"/>
        <v>0</v>
      </c>
      <c r="M19" s="621">
        <f t="shared" si="1"/>
        <v>14.360672268907567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24062</v>
      </c>
      <c r="C27" s="852">
        <v>3000</v>
      </c>
      <c r="D27" s="673" t="s">
        <v>871</v>
      </c>
      <c r="E27" s="672" t="s">
        <v>872</v>
      </c>
      <c r="F27" s="672" t="s">
        <v>873</v>
      </c>
      <c r="G27" s="672" t="s">
        <v>874</v>
      </c>
      <c r="H27" s="672" t="s">
        <v>875</v>
      </c>
      <c r="I27" s="672" t="s">
        <v>876</v>
      </c>
      <c r="J27" s="851">
        <v>38362</v>
      </c>
      <c r="K27" s="851">
        <v>39173</v>
      </c>
      <c r="L27" s="672" t="s">
        <v>877</v>
      </c>
      <c r="M27" s="672">
        <v>944</v>
      </c>
      <c r="N27" s="672">
        <v>4248</v>
      </c>
      <c r="O27" s="672">
        <v>6068.5714285714284</v>
      </c>
      <c r="P27" s="672">
        <v>0</v>
      </c>
      <c r="Q27" s="672">
        <v>12137.142857142859</v>
      </c>
      <c r="R27" s="672">
        <v>0</v>
      </c>
      <c r="S27" s="672">
        <v>0</v>
      </c>
      <c r="T27" s="672">
        <v>0</v>
      </c>
      <c r="U27" s="672">
        <v>0</v>
      </c>
      <c r="V27" s="672">
        <v>0</v>
      </c>
      <c r="W27" s="672">
        <v>0</v>
      </c>
      <c r="X27" s="672">
        <v>500</v>
      </c>
      <c r="Y27" s="672" t="s">
        <v>41</v>
      </c>
      <c r="Z27" s="674" t="s">
        <v>389</v>
      </c>
    </row>
    <row r="28" spans="1:26" s="626" customFormat="1" ht="38.25">
      <c r="A28" s="625"/>
      <c r="B28" s="852">
        <v>24062</v>
      </c>
      <c r="C28" s="852">
        <v>3001</v>
      </c>
      <c r="D28" s="673" t="s">
        <v>878</v>
      </c>
      <c r="E28" s="672" t="s">
        <v>879</v>
      </c>
      <c r="F28" s="672" t="s">
        <v>880</v>
      </c>
      <c r="G28" s="672" t="s">
        <v>874</v>
      </c>
      <c r="H28" s="672" t="s">
        <v>875</v>
      </c>
      <c r="I28" s="672" t="s">
        <v>879</v>
      </c>
      <c r="J28" s="851">
        <v>40940</v>
      </c>
      <c r="K28" s="851">
        <v>41244</v>
      </c>
      <c r="L28" s="672" t="s">
        <v>877</v>
      </c>
      <c r="M28" s="672">
        <v>9.4</v>
      </c>
      <c r="N28" s="672">
        <v>42.300000000000004</v>
      </c>
      <c r="O28" s="672">
        <v>60.428571428571438</v>
      </c>
      <c r="P28" s="672">
        <v>120.85714285714288</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953.4</v>
      </c>
      <c r="N57" s="630">
        <f>SUM(N27:N56)</f>
        <v>4290.3</v>
      </c>
      <c r="O57" s="630">
        <f t="shared" ref="O57:W57" si="2">SUM(O27:O56)</f>
        <v>6129</v>
      </c>
      <c r="P57" s="630">
        <f t="shared" si="2"/>
        <v>120.85714285714288</v>
      </c>
      <c r="Q57" s="630">
        <f t="shared" si="2"/>
        <v>12137.142857142859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944</v>
      </c>
      <c r="N58" s="630">
        <f t="shared" ref="N58:W58" si="3">SUMIF($Z$27:$Z$56,"industrie",N27:N56)</f>
        <v>4248</v>
      </c>
      <c r="O58" s="630">
        <f t="shared" si="3"/>
        <v>6068.5714285714284</v>
      </c>
      <c r="P58" s="630">
        <f t="shared" si="3"/>
        <v>0</v>
      </c>
      <c r="Q58" s="630">
        <f t="shared" si="3"/>
        <v>12137.142857142859</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9.4</v>
      </c>
      <c r="N59" s="630">
        <f ca="1">SUMIF($Z$27:AB56,"tertiair",N27:N56)</f>
        <v>42.300000000000004</v>
      </c>
      <c r="O59" s="630">
        <f ca="1">SUMIF($Z$27:AC56,"tertiair",O27:O56)</f>
        <v>60.428571428571438</v>
      </c>
      <c r="P59" s="630">
        <f ca="1">SUMIF($Z$27:AD56,"tertiair",P27:P56)</f>
        <v>120.85714285714288</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24062</v>
      </c>
      <c r="C63" s="852">
        <v>3010</v>
      </c>
      <c r="D63" s="675" t="s">
        <v>881</v>
      </c>
      <c r="E63" s="675" t="s">
        <v>882</v>
      </c>
      <c r="F63" s="675" t="s">
        <v>883</v>
      </c>
      <c r="G63" s="675" t="s">
        <v>884</v>
      </c>
      <c r="H63" s="675" t="s">
        <v>885</v>
      </c>
      <c r="I63" s="675" t="s">
        <v>886</v>
      </c>
      <c r="J63" s="851">
        <v>36898</v>
      </c>
      <c r="K63" s="851">
        <v>37316</v>
      </c>
      <c r="L63" s="675" t="s">
        <v>887</v>
      </c>
      <c r="M63" s="675">
        <v>312</v>
      </c>
      <c r="N63" s="675">
        <v>1404</v>
      </c>
      <c r="O63" s="675">
        <v>0</v>
      </c>
      <c r="P63" s="675">
        <v>0</v>
      </c>
      <c r="Q63" s="675">
        <v>4011.4285714285716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312</v>
      </c>
      <c r="N88" s="630">
        <f t="shared" ref="N88:W88" si="5">SUM(N63:N87)</f>
        <v>1404</v>
      </c>
      <c r="O88" s="630">
        <f t="shared" si="5"/>
        <v>0</v>
      </c>
      <c r="P88" s="630">
        <f t="shared" si="5"/>
        <v>0</v>
      </c>
      <c r="Q88" s="630">
        <f t="shared" si="5"/>
        <v>4011.4285714285716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312</v>
      </c>
      <c r="N90" s="630">
        <f t="shared" ref="N90:W90" si="7">SUMIF($Z$63:$Z$88,"tertiair",N63:N88)</f>
        <v>1404</v>
      </c>
      <c r="O90" s="630">
        <f t="shared" si="7"/>
        <v>0</v>
      </c>
      <c r="P90" s="630">
        <f t="shared" si="7"/>
        <v>0</v>
      </c>
      <c r="Q90" s="630">
        <f t="shared" si="7"/>
        <v>4011.4285714285716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49.764705882352956</v>
      </c>
      <c r="C100" s="664">
        <f t="shared" si="9"/>
        <v>4997.6470588235306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71.092436974789933</v>
      </c>
      <c r="C101" s="667">
        <f t="shared" ref="C101:H101" si="10">$B$97*Q57</f>
        <v>7139.495798319329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2019-01-01T21:31:48Z</dcterms:modified>
</cp:coreProperties>
</file>