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K13"/>
  <c r="R13" s="1"/>
  <c r="R15" s="1"/>
  <c r="E31" i="48"/>
  <c r="J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<sst xmlns="http://schemas.openxmlformats.org/spreadsheetml/2006/main" count="2137" uniqueCount="871">
  <si>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</si>
  <si>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</si>
  <si>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</si>
  <si>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</si>
  <si>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</si>
  <si>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</si>
  <si>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</si>
  <si>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</si>
  <si>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</si>
  <si>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</si>
  <si>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</si>
  <si>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</si>
  <si>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</si>
  <si>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</si>
  <si>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</si>
  <si>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</si>
  <si>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</si>
  <si>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</si>
  <si>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</si>
  <si>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</si>
  <si>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</si>
  <si>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</si>
  <si>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</si>
  <si>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</si>
  <si>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</si>
  <si>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</si>
  <si>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</si>
  <si>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</si>
  <si>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</si>
  <si>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</si>
  <si>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</si>
  <si>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</si>
  <si>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</si>
  <si>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</si>
  <si>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</si>
  <si>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</si>
  <si>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</si>
  <si>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</si>
  <si>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</si>
  <si>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</si>
  <si>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</si>
  <si>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</si>
  <si>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</si>
  <si>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</si>
  <si>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</si>
  <si>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</si>
  <si>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</si>
  <si>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</si>
  <si>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</si>
  <si>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</si>
  <si>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</si>
  <si>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</si>
  <si>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</si>
  <si>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</si>
  <si>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</si>
  <si>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</si>
  <si>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</si>
  <si>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</si>
  <si>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</si>
  <si>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</si>
  <si>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</si>
  <si>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</si>
  <si>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</si>
  <si>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</si>
  <si>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</si>
  <si>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</si>
  <si>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</si>
  <si>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</si>
  <si>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</si>
  <si>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</si>
  <si>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</si>
  <si>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</si>
  <si>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</si>
  <si>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</si>
  <si>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</si>
  <si>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</si>
  <si>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</si>
  <si>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</si>
  <si>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</si>
  <si>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</si>
  <si>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</si>
  <si>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</si>
  <si>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</si>
  <si>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</si>
  <si>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</si>
  <si>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</si>
  <si>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</si>
  <si>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</si>
  <si>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</si>
  <si>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</si>
  <si>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</si>
  <si>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</si>
  <si>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</si>
  <si>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</si>
  <si>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</si>
  <si>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</si>
  <si>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</si>
  <si>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</si>
  <si>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</si>
  <si>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</si>
  <si>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</si>
  <si>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</si>
  <si>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</si>
  <si>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</si>
  <si>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</si>
  <si>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</si>
  <si>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</si>
  <si>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</si>
  <si>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</si>
  <si>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</si>
  <si>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</si>
  <si>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</si>
  <si>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</si>
  <si>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</si>
  <si>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</si>
  <si>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</si>
  <si>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</si>
  <si>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</si>
  <si>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</si>
  <si>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</si>
  <si>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</si>
  <si>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</si>
  <si>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</si>
  <si>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</si>
  <si>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</si>
  <si>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</si>
  <si>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</si>
  <si>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</si>
  <si>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</si>
  <si>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</si>
  <si>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</si>
  <si>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</si>
  <si>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</si>
  <si>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</si>
  <si>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</si>
  <si>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</si>
  <si>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</si>
  <si>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</si>
  <si>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</si>
  <si>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</si>
  <si>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</si>
  <si>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</si>
  <si>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</si>
  <si>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</si>
  <si>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</si>
  <si>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</si>
  <si>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</si>
  <si>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</si>
  <si>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</si>
  <si>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</si>
  <si>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</si>
  <si>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</si>
  <si>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</si>
  <si>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</si>
  <si>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</si>
  <si>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</si>
  <si>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</si>
  <si>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</si>
  <si>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</si>
  <si>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</si>
  <si>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</si>
  <si>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</si>
  <si>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</si>
  <si>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</si>
  <si>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</si>
  <si>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</si>
  <si>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</si>
  <si>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</si>
  <si>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</si>
  <si>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</si>
  <si>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</si>
  <si>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</si>
  <si>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</si>
  <si>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</si>
  <si>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</si>
  <si>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</si>
  <si>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</si>
  <si>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</si>
  <si>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</si>
  <si>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</si>
  <si>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</si>
  <si>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</si>
  <si>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</si>
  <si>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</si>
  <si>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</si>
  <si>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</si>
  <si>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</si>
  <si>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</si>
  <si>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</si>
  <si>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</si>
  <si>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</si>
  <si>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</si>
  <si>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</si>
  <si>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</si>
  <si>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</si>
  <si>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</si>
  <si>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</si>
  <si>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</si>
  <si>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</si>
  <si>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</si>
  <si>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</si>
  <si>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</si>
  <si>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</si>
  <si>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</si>
  <si>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</si>
  <si>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</si>
  <si>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</si>
  <si>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</si>
  <si>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</si>
  <si>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</si>
  <si>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</si>
  <si>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</si>
  <si>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</si>
  <si>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</si>
  <si>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</si>
  <si>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</si>
  <si>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</si>
  <si>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</si>
  <si>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</si>
  <si>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</si>
  <si>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</si>
  <si>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</si>
  <si>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</si>
  <si>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</si>
  <si>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</si>
  <si>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</si>
  <si>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</si>
  <si>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</si>
  <si>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</si>
  <si>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</si>
  <si>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</si>
  <si>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</si>
  <si>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</si>
  <si>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</si>
  <si>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</si>
  <si>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</si>
  <si>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</si>
  <si>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</si>
  <si>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</si>
  <si>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</si>
  <si>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</si>
  <si>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</si>
  <si>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</si>
  <si>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</si>
  <si>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</si>
  <si>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</si>
  <si>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</si>
  <si>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</si>
  <si>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</si>
  <si>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</si>
  <si>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</si>
  <si>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</si>
  <si>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</si>
  <si>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</si>
  <si>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</si>
  <si>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</si>
  <si>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</si>
  <si>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</si>
  <si>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</si>
  <si>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</si>
  <si>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</si>
  <si>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</si>
  <si>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</si>
  <si>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</si>
  <si>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</si>
  <si>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</si>
  <si>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</si>
  <si>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</si>
  <si>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</si>
  <si>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</si>
  <si>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</si>
  <si>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</si>
  <si>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</si>
  <si>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</si>
  <si>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</si>
  <si>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</si>
  <si>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</si>
  <si>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</si>
  <si>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</si>
  <si>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</si>
  <si>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</si>
  <si>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</si>
  <si>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</si>
  <si>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</si>
  <si>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</si>
  <si>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</si>
  <si>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</si>
  <si>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</si>
  <si>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</si>
  <si>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</si>
  <si>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</si>
  <si>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</si>
  <si>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</si>
  <si>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</si>
  <si>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</si>
  <si>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</si>
  <si>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</si>
  <si>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</si>
  <si>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</si>
  <si>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</si>
  <si>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</si>
  <si>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</si>
  <si>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</si>
  <si>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</si>
  <si>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</si>
  <si>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</si>
  <si>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</si>
  <si>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</si>
  <si>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</si>
  <si>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</si>
  <si>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</si>
  <si>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</si>
  <si>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</si>
  <si>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</si>
  <si>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</si>
  <si>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</si>
  <si>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</si>
  <si>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</si>
  <si>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</si>
  <si>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</si>
  <si>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</si>
  <si>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</si>
  <si>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</si>
  <si>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</si>
  <si>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</si>
  <si>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</si>
  <si>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</si>
  <si>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</si>
  <si>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</si>
  <si>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</si>
  <si>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</si>
  <si>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</si>
  <si>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</si>
  <si>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</si>
  <si>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</si>
  <si>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</si>
  <si>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</si>
  <si>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</si>
  <si>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</si>
  <si>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</si>
  <si>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</si>
  <si>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</si>
  <si>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</si>
  <si>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</si>
  <si>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</si>
  <si>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</si>
  <si>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</si>
  <si>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</si>
  <si>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</si>
  <si>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</si>
  <si>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</si>
  <si>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</si>
  <si>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</si>
  <si>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</si>
  <si>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</si>
  <si>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</si>
  <si>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</si>
  <si>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</si>
  <si>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</si>
  <si>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</si>
  <si>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</si>
  <si>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</si>
  <si>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</si>
  <si>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</si>
  <si>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</si>
  <si>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</si>
  <si>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</si>
  <si>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</si>
  <si>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</si>
  <si>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</si>
  <si>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</si>
  <si>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</si>
  <si>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</si>
  <si>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</si>
  <si>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</si>
  <si>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</si>
  <si>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</si>
  <si>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</si>
  <si>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</si>
  <si>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</si>
  <si>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</si>
  <si>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</si>
  <si>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</si>
  <si>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</si>
  <si>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</si>
  <si>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</si>
  <si>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</si>
  <si>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</si>
  <si>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</si>
  <si>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</si>
  <si>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</si>
  <si>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</si>
  <si>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</si>
  <si>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</si>
  <si>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</si>
  <si>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</si>
  <si>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</si>
  <si>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</si>
  <si>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</si>
  <si>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</si>
  <si>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</si>
  <si>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</si>
  <si>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</si>
  <si>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</si>
  <si>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</si>
  <si>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</si>
  <si>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</si>
  <si>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</si>
  <si>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</si>
  <si>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</si>
  <si>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</si>
  <si>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</si>
  <si>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</si>
  <si>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</si>
  <si>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</si>
  <si>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</si>
  <si>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</si>
  <si>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</si>
  <si>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</si>
  <si>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</si>
  <si>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</si>
  <si>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</si>
  <si>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</si>
  <si>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</si>
  <si>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</si>
  <si>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</si>
  <si>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</si>
  <si>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</si>
  <si>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</si>
  <si>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</si>
  <si>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</si>
  <si>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</si>
  <si>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</si>
  <si>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</si>
  <si>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</si>
  <si>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</si>
  <si>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</si>
  <si>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</si>
  <si>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</si>
  <si>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</si>
  <si>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</si>
  <si>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</si>
  <si>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</si>
  <si>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</si>
  <si>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</si>
  <si>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</si>
  <si>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</si>
  <si>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</si>
  <si>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</si>
  <si>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</si>
  <si>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</si>
  <si>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</si>
  <si>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</si>
  <si>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</si>
  <si>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</si>
  <si>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</si>
  <si>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</si>
  <si>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</si>
  <si>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</si>
  <si>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</si>
  <si>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</si>
  <si>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</si>
  <si>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</si>
  <si>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</si>
  <si>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</si>
  <si>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</si>
  <si>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</si>
  <si>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</si>
  <si>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</si>
  <si>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</si>
  <si>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</si>
  <si>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</si>
  <si>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</si>
  <si>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</si>
  <si>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</si>
  <si>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</si>
  <si>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</si>
  <si>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</si>
  <si>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</si>
  <si>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</si>
  <si>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</si>
  <si>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</si>
  <si>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</si>
  <si>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</si>
  <si>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</si>
  <si>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</si>
  <si>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</si>
  <si>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</si>
  <si>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</si>
  <si>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</si>
  <si>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</si>
  <si>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</si>
  <si>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</si>
  <si>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</si>
  <si>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</si>
  <si>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</si>
  <si>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</si>
  <si>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</si>
  <si>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</si>
  <si>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</si>
  <si>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</si>
  <si>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</si>
  <si>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</si>
  <si>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</si>
  <si>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</si>
  <si>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</si>
  <si>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</si>
  <si>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</si>
  <si>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</si>
  <si>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</si>
  <si>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</si>
  <si>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</si>
  <si>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</si>
  <si>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</si>
  <si>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</si>
  <si>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</si>
  <si>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</si>
  <si>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</si>
  <si>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</si>
  <si>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</si>
  <si>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</si>
  <si>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</si>
  <si>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</si>
  <si>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</si>
  <si>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</si>
  <si>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</si>
  <si>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</si>
  <si>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</si>
  <si>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</si>
  <si>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</si>
  <si>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</si>
  <si>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</si>
  <si>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</si>
  <si>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</si>
  <si>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</si>
  <si>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</si>
  <si>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</si>
  <si>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</si>
  <si>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</si>
  <si>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</si>
  <si>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</si>
  <si>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</si>
  <si>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</si>
  <si>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</si>
  <si>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</si>
  <si>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</si>
  <si>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</si>
  <si>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</si>
  <si>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</si>
  <si>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</si>
  <si>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</si>
  <si>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</si>
  <si>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</si>
  <si>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</si>
  <si>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</si>
  <si>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</si>
  <si>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</si>
  <si>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</si>
  <si>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</si>
  <si>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</si>
  <si>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</si>
  <si>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</si>
  <si>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</si>
  <si>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</si>
  <si>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</si>
  <si>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</si>
  <si>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</si>
  <si>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</si>
  <si>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</si>
  <si>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</si>
  <si>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</si>
  <si>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</si>
  <si>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</si>
  <si>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</si>
  <si>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</si>
  <si>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</si>
  <si>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</si>
  <si>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</si>
  <si>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</si>
  <si>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</si>
  <si>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</si>
  <si>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</si>
  <si>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</si>
  <si>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</si>
  <si>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</si>
  <si>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</si>
  <si>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</si>
  <si>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</si>
  <si>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</si>
  <si>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</si>
  <si>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</si>
  <si>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</si>
  <si>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</si>
  <si>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</si>
  <si>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</si>
  <si>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</si>
  <si>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</si>
  <si>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</si>
  <si>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</si>
  <si>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</si>
  <si>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</si>
  <si>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</si>
  <si>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</si>
  <si>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</si>
  <si>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</si>
  <si>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</si>
  <si>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</si>
  <si>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</si>
  <si>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</si>
  <si>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</si>
  <si>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</si>
  <si>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</si>
  <si>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</si>
  <si>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</si>
  <si>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</si>
  <si>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</si>
  <si>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</si>
  <si>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</si>
  <si>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</si>
  <si>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</si>
  <si>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</si>
  <si>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</si>
  <si>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</si>
  <si>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</si>
  <si>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</si>
  <si>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</si>
  <si>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</si>
  <si>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</si>
  <si>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</si>
  <si>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</si>
  <si>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</si>
  <si>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</si>
  <si>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</si>
  <si>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</si>
  <si>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</si>
  <si>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</si>
  <si>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</si>
  <si>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</si>
  <si>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</si>
  <si>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</si>
  <si>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</si>
  <si>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</si>
  <si>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</si>
  <si>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</si>
  <si>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</si>
  <si>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</si>
  <si>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</si>
  <si>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</si>
  <si>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</si>
  <si>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</si>
  <si>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</si>
  <si>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</si>
  <si>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</si>
  <si>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</si>
  <si>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</si>
  <si>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</si>
  <si>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</si>
  <si>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</si>
  <si>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</si>
  <si>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</si>
  <si>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</si>
  <si>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</si>
  <si>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</si>
  <si>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</si>
  <si>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</si>
  <si>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</si>
  <si>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</si>
  <si>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</si>
  <si>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</si>
  <si>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</si>
  <si>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</si>
  <si>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</si>
  <si>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</si>
  <si>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</si>
  <si>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</si>
  <si>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</si>
  <si>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</si>
  <si>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</si>
  <si>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</si>
  <si>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</si>
  <si>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</si>
  <si>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</si>
  <si>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</si>
  <si>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</si>
  <si>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</si>
  <si>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</si>
  <si>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</si>
  <si>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</si>
  <si>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</si>
  <si>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</si>
  <si>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</si>
  <si>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</si>
  <si>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</si>
  <si>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</si>
  <si>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</si>
  <si>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</si>
  <si>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</si>
  <si>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</si>
  <si>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</si>
  <si>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</si>
  <si>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</si>
  <si>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</si>
  <si>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</si>
  <si>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</si>
  <si>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</si>
  <si>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</si>
  <si>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</si>
  <si>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</si>
  <si>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</si>
  <si>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</si>
  <si>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</si>
  <si>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</si>
  <si>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</si>
  <si>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</si>
  <si>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</si>
  <si>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</si>
  <si>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</si>
  <si>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</si>
  <si>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</si>
  <si>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</si>
  <si>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</si>
  <si>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</si>
  <si>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</si>
  <si>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</si>
  <si>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</si>
  <si>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</si>
  <si>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</si>
  <si>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</si>
  <si>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</si>
  <si>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</si>
  <si>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</si>
  <si>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</si>
  <si>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</si>
  <si>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</si>
  <si>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</si>
  <si>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</si>
  <si>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</si>
  <si>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</si>
  <si>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</si>
  <si>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</si>
  <si>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</si>
  <si>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</si>
  <si>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</si>
  <si>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</si>
  <si>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</si>
  <si>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</si>
  <si>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</si>
  <si>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</si>
  <si>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</si>
  <si>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</si>
  <si>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</si>
  <si>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</si>
  <si>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</si>
  <si>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</si>
  <si>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</si>
  <si>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</si>
  <si>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</si>
  <si>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</si>
  <si>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</si>
  <si>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</si>
  <si>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</si>
  <si>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</si>
  <si>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</si>
  <si>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</si>
  <si>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</si>
  <si>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</si>
  <si>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</si>
  <si>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</si>
  <si>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</si>
  <si>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</si>
  <si>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</si>
  <si>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</si>
  <si>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</si>
  <si>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</si>
  <si>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</si>
  <si>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</si>
  <si>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</si>
  <si>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</si>
  <si>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</si>
  <si>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</si>
  <si>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</si>
  <si>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</si>
  <si>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</si>
  <si>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</si>
  <si>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</si>
  <si>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</si>
  <si>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</si>
  <si>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</si>
  <si>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</si>
  <si>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</si>
  <si>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</si>
  <si>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</si>
  <si>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</si>
  <si>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</si>
  <si>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</si>
  <si>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</si>
  <si>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</si>
  <si>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</si>
  <si>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</si>
  <si>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</si>
  <si>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</si>
  <si>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</si>
  <si>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</si>
  <si>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</si>
  <si>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</si>
  <si>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</si>
  <si>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</si>
  <si>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</si>
  <si>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</si>
  <si>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</si>
  <si>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</si>
  <si>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</si>
  <si>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</si>
  <si>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</si>
  <si>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</si>
  <si>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</si>
  <si>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</si>
  <si>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</si>
  <si>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</si>
  <si>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</si>
  <si>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</si>
  <si>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</si>
  <si>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</si>
  <si>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</si>
  <si>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</si>
  <si>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</si>
  <si>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</si>
  <si>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</si>
  <si>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</si>
  <si>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</si>
  <si>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</si>
  <si>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</si>
  <si>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</si>
  <si>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</si>
  <si>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</si>
  <si>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</si>
  <si>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</si>
  <si>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</si>
  <si>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</si>
  <si>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</si>
  <si>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</si>
  <si>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</si>
  <si>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</si>
  <si>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</si>
  <si>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</si>
  <si>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</si>
  <si>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</si>
  <si>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</si>
  <si>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</si>
  <si>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</si>
  <si>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</si>
  <si>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</si>
  <si>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</si>
  <si>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</si>
  <si>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</si>
  <si>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</si>
  <si>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</si>
  <si>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</si>
  <si>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</si>
  <si>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</si>
  <si>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</si>
  <si>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</si>
  <si>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</si>
  <si>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23096</t>
  </si>
  <si>
    <t>ZEMST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</si>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</sst>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172332.66880897863</c:v>
                </c:pt>
                <c:pt idx="1">
                  <c:v>42701.124380618028</c:v>
                </c:pt>
                <c:pt idx="2">
                  <c:v>1785.3689999999999</c:v>
                </c:pt>
                <c:pt idx="3">
                  <c:v>3742.170667558044</c:v>
                </c:pt>
                <c:pt idx="4">
                  <c:v>5141.7908850329504</c:v>
                </c:pt>
                <c:pt idx="5">
                  <c:v>242388.54776995417</c:v>
                </c:pt>
                <c:pt idx="6">
                  <c:v>2493.1751060490951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85888"/>
        <c:axId val="184099968"/>
      </c:barChart>
      <c:catAx>
        <c:axId val="184085888"/>
        <c:scaling>
          <c:orientation val="minMax"/>
        </c:scaling>
        <c:axPos val="b"/>
        <c:numFmt formatCode="General" sourceLinked="0"/>
        <c:tickLblPos val="nextTo"/>
        <c:crossAx val="184099968"/>
        <c:crosses val="autoZero"/>
        <c:auto val="1"/>
        <c:lblAlgn val="ctr"/>
        <c:lblOffset val="100"/>
      </c:catAx>
      <c:valAx>
        <c:axId val="184099968"/>
        <c:scaling>
          <c:orientation val="minMax"/>
        </c:scaling>
        <c:axPos val="l"/>
        <c:majorGridlines/>
        <c:numFmt formatCode="#,##0" sourceLinked="1"/>
        <c:tickLblPos val="nextTo"/>
        <c:crossAx val="184085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172332.66880897863</c:v>
                </c:pt>
                <c:pt idx="1">
                  <c:v>42701.124380618028</c:v>
                </c:pt>
                <c:pt idx="2">
                  <c:v>1785.3689999999999</c:v>
                </c:pt>
                <c:pt idx="3">
                  <c:v>3742.170667558044</c:v>
                </c:pt>
                <c:pt idx="4">
                  <c:v>5141.7908850329504</c:v>
                </c:pt>
                <c:pt idx="5">
                  <c:v>242388.54776995417</c:v>
                </c:pt>
                <c:pt idx="6">
                  <c:v>2493.1751060490951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34124.906396175291</c:v>
                </c:pt>
                <c:pt idx="1">
                  <c:v>8256.5657072295708</c:v>
                </c:pt>
                <c:pt idx="2">
                  <c:v>347.12198024903716</c:v>
                </c:pt>
                <c:pt idx="3">
                  <c:v>825.12781155417724</c:v>
                </c:pt>
                <c:pt idx="4">
                  <c:v>1009.5790845196429</c:v>
                </c:pt>
                <c:pt idx="5">
                  <c:v>60771.896109558846</c:v>
                </c:pt>
                <c:pt idx="6">
                  <c:v>629.76414025784516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34124.906396175291</c:v>
                </c:pt>
                <c:pt idx="1">
                  <c:v>8256.5657072295708</c:v>
                </c:pt>
                <c:pt idx="2">
                  <c:v>347.12198024903716</c:v>
                </c:pt>
                <c:pt idx="3">
                  <c:v>825.12781155417724</c:v>
                </c:pt>
                <c:pt idx="4">
                  <c:v>1009.5790845196429</c:v>
                </c:pt>
                <c:pt idx="5">
                  <c:v>60771.896109558846</c:v>
                </c:pt>
                <c:pt idx="6">
                  <c:v>629.76414025784516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23096</v>
      </c>
      <c r="B6" s="416"/>
      <c r="C6" s="417"/>
    </row>
    <row r="7" spans="1:7" s="414" customFormat="1" ht="15.75" customHeight="1">
      <c r="A7" s="418" t="str">
        <f>txtMunicipality</f>
        <v>ZEMST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21309.830395999998</v>
      </c>
      <c r="D10" s="719">
        <f ca="1">tertiair!C16</f>
        <v>0</v>
      </c>
      <c r="E10" s="719">
        <f ca="1">tertiair!D16</f>
        <v>18017.614944826251</v>
      </c>
      <c r="F10" s="719">
        <f>tertiair!E16</f>
        <v>195.71969096554795</v>
      </c>
      <c r="G10" s="719">
        <f ca="1">tertiair!F16</f>
        <v>2908.3074098897123</v>
      </c>
      <c r="H10" s="719">
        <f>tertiair!G16</f>
        <v>0</v>
      </c>
      <c r="I10" s="719">
        <f>tertiair!H16</f>
        <v>0</v>
      </c>
      <c r="J10" s="719">
        <f>tertiair!I16</f>
        <v>0</v>
      </c>
      <c r="K10" s="719">
        <f>tertiair!J16</f>
        <v>0</v>
      </c>
      <c r="L10" s="719">
        <f>tertiair!K16</f>
        <v>0</v>
      </c>
      <c r="M10" s="719">
        <f ca="1">tertiair!L16</f>
        <v>0</v>
      </c>
      <c r="N10" s="719">
        <f>tertiair!M16</f>
        <v>0</v>
      </c>
      <c r="O10" s="719">
        <f ca="1">tertiair!N16</f>
        <v>2034.3909389365197</v>
      </c>
      <c r="P10" s="719">
        <f>tertiair!O16</f>
        <v>1.5633333333333335</v>
      </c>
      <c r="Q10" s="720">
        <f>tertiair!P16</f>
        <v>19.066666666666666</v>
      </c>
      <c r="R10" s="722">
        <f ca="1">SUM(C10:Q10)</f>
        <v>44486.493380618027</v>
      </c>
      <c r="S10" s="67"/>
    </row>
    <row r="11" spans="1:19" s="475" customFormat="1">
      <c r="A11" s="871" t="s">
        <v>225</v>
      </c>
      <c r="B11" s="876"/>
      <c r="C11" s="719">
        <f>huishoudens!B8</f>
        <v>43193.852102985125</v>
      </c>
      <c r="D11" s="719">
        <f>huishoudens!C8</f>
        <v>0</v>
      </c>
      <c r="E11" s="719">
        <f>huishoudens!D8</f>
        <v>84600.220774888105</v>
      </c>
      <c r="F11" s="719">
        <f>huishoudens!E8</f>
        <v>3946.2136342382519</v>
      </c>
      <c r="G11" s="719">
        <f>huishoudens!F8</f>
        <v>28995.758800745265</v>
      </c>
      <c r="H11" s="719">
        <f>huishoudens!G8</f>
        <v>0</v>
      </c>
      <c r="I11" s="719">
        <f>huishoudens!H8</f>
        <v>0</v>
      </c>
      <c r="J11" s="719">
        <f>huishoudens!I8</f>
        <v>0</v>
      </c>
      <c r="K11" s="719">
        <f>huishoudens!J8</f>
        <v>0</v>
      </c>
      <c r="L11" s="719">
        <f>huishoudens!K8</f>
        <v>0</v>
      </c>
      <c r="M11" s="719">
        <f>huishoudens!L8</f>
        <v>0</v>
      </c>
      <c r="N11" s="719">
        <f>huishoudens!M8</f>
        <v>0</v>
      </c>
      <c r="O11" s="719">
        <f>huishoudens!N8</f>
        <v>10585.050162788546</v>
      </c>
      <c r="P11" s="719">
        <f>huishoudens!O8</f>
        <v>325.17333333333335</v>
      </c>
      <c r="Q11" s="720">
        <f>huishoudens!P8</f>
        <v>686.4</v>
      </c>
      <c r="R11" s="722">
        <f>SUM(C11:Q11)</f>
        <v>172332.66880897863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1863.3877</v>
      </c>
      <c r="D13" s="719">
        <f>industrie!C18</f>
        <v>0</v>
      </c>
      <c r="E13" s="719">
        <f>industrie!D18</f>
        <v>1298.0850180096036</v>
      </c>
      <c r="F13" s="719">
        <f>industrie!E18</f>
        <v>211.47649189861971</v>
      </c>
      <c r="G13" s="719">
        <f>industrie!F18</f>
        <v>1248.34705260026</v>
      </c>
      <c r="H13" s="719">
        <f>industrie!G18</f>
        <v>0</v>
      </c>
      <c r="I13" s="719">
        <f>industrie!H18</f>
        <v>0</v>
      </c>
      <c r="J13" s="719">
        <f>industrie!I18</f>
        <v>0</v>
      </c>
      <c r="K13" s="719">
        <f>industrie!J18</f>
        <v>10.624993555700733</v>
      </c>
      <c r="L13" s="719">
        <f>industrie!K18</f>
        <v>0</v>
      </c>
      <c r="M13" s="719">
        <f>industrie!L18</f>
        <v>0</v>
      </c>
      <c r="N13" s="719">
        <f>industrie!M18</f>
        <v>0</v>
      </c>
      <c r="O13" s="719">
        <f>industrie!N18</f>
        <v>509.86962896876719</v>
      </c>
      <c r="P13" s="719">
        <f>industrie!O18</f>
        <v>0</v>
      </c>
      <c r="Q13" s="720">
        <f>industrie!P18</f>
        <v>0</v>
      </c>
      <c r="R13" s="722">
        <f>SUM(C13:Q13)</f>
        <v>5141.7908850329504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66367.070198985122</v>
      </c>
      <c r="D15" s="724">
        <f t="shared" ref="D15:Q15" ca="1" si="0">SUM(D9:D14)</f>
        <v>0</v>
      </c>
      <c r="E15" s="724">
        <f t="shared" ca="1" si="0"/>
        <v>103915.92073772395</v>
      </c>
      <c r="F15" s="724">
        <f t="shared" si="0"/>
        <v>4353.4098171024189</v>
      </c>
      <c r="G15" s="724">
        <f t="shared" ca="1" si="0"/>
        <v>33152.413263235234</v>
      </c>
      <c r="H15" s="724">
        <f t="shared" si="0"/>
        <v>0</v>
      </c>
      <c r="I15" s="724">
        <f t="shared" si="0"/>
        <v>0</v>
      </c>
      <c r="J15" s="724">
        <f t="shared" si="0"/>
        <v>0</v>
      </c>
      <c r="K15" s="724">
        <f t="shared" si="0"/>
        <v>10.624993555700733</v>
      </c>
      <c r="L15" s="724">
        <f t="shared" si="0"/>
        <v>0</v>
      </c>
      <c r="M15" s="724">
        <f t="shared" ca="1" si="0"/>
        <v>0</v>
      </c>
      <c r="N15" s="724">
        <f t="shared" si="0"/>
        <v>0</v>
      </c>
      <c r="O15" s="724">
        <f t="shared" ca="1" si="0"/>
        <v>13129.310730693833</v>
      </c>
      <c r="P15" s="724">
        <f t="shared" si="0"/>
        <v>326.73666666666668</v>
      </c>
      <c r="Q15" s="725">
        <f t="shared" si="0"/>
        <v>705.4666666666667</v>
      </c>
      <c r="R15" s="726">
        <f ca="1">SUM(R9:R14)</f>
        <v>221960.95307462959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2358.6671919769478</v>
      </c>
      <c r="I18" s="719">
        <f>transport!H54</f>
        <v>0</v>
      </c>
      <c r="J18" s="719">
        <f>transport!I54</f>
        <v>0</v>
      </c>
      <c r="K18" s="719">
        <f>transport!J54</f>
        <v>0</v>
      </c>
      <c r="L18" s="719">
        <f>transport!K54</f>
        <v>0</v>
      </c>
      <c r="M18" s="719">
        <f>transport!L54</f>
        <v>0</v>
      </c>
      <c r="N18" s="719">
        <f>transport!M54</f>
        <v>134.50791407214709</v>
      </c>
      <c r="O18" s="719">
        <f>transport!N54</f>
        <v>0</v>
      </c>
      <c r="P18" s="719">
        <f>transport!O54</f>
        <v>0</v>
      </c>
      <c r="Q18" s="720">
        <f>transport!P54</f>
        <v>0</v>
      </c>
      <c r="R18" s="722">
        <f>SUM(C18:Q18)</f>
        <v>2493.1751060490951</v>
      </c>
      <c r="S18" s="67"/>
    </row>
    <row r="19" spans="1:19" s="475" customFormat="1" ht="15" thickBot="1">
      <c r="A19" s="871" t="s">
        <v>307</v>
      </c>
      <c r="B19" s="876"/>
      <c r="C19" s="728">
        <f>transport!B14</f>
        <v>34.712260158997431</v>
      </c>
      <c r="D19" s="728">
        <f>transport!C14</f>
        <v>0</v>
      </c>
      <c r="E19" s="728">
        <f>transport!D14</f>
        <v>88.098524856920974</v>
      </c>
      <c r="F19" s="728">
        <f>transport!E14</f>
        <v>657.53871729760408</v>
      </c>
      <c r="G19" s="728">
        <f>transport!F14</f>
        <v>0</v>
      </c>
      <c r="H19" s="728">
        <f>transport!G14</f>
        <v>194916.51107184691</v>
      </c>
      <c r="I19" s="728">
        <f>transport!H14</f>
        <v>34358.961847377082</v>
      </c>
      <c r="J19" s="728">
        <f>transport!I14</f>
        <v>0</v>
      </c>
      <c r="K19" s="728">
        <f>transport!J14</f>
        <v>0</v>
      </c>
      <c r="L19" s="728">
        <f>transport!K14</f>
        <v>0</v>
      </c>
      <c r="M19" s="728">
        <f>transport!L14</f>
        <v>0</v>
      </c>
      <c r="N19" s="728">
        <f>transport!M14</f>
        <v>12332.725348416621</v>
      </c>
      <c r="O19" s="728">
        <f>transport!N14</f>
        <v>0</v>
      </c>
      <c r="P19" s="728">
        <f>transport!O14</f>
        <v>0</v>
      </c>
      <c r="Q19" s="729">
        <f>transport!P14</f>
        <v>0</v>
      </c>
      <c r="R19" s="730">
        <f>SUM(C19:Q19)</f>
        <v>242388.54776995417</v>
      </c>
      <c r="S19" s="67"/>
    </row>
    <row r="20" spans="1:19" s="475" customFormat="1" ht="15.75" thickBot="1">
      <c r="A20" s="731" t="s">
        <v>230</v>
      </c>
      <c r="B20" s="879"/>
      <c r="C20" s="874">
        <f>SUM(C17:C19)</f>
        <v>34.712260158997431</v>
      </c>
      <c r="D20" s="732">
        <f t="shared" ref="D20:R20" si="1">SUM(D17:D19)</f>
        <v>0</v>
      </c>
      <c r="E20" s="732">
        <f t="shared" si="1"/>
        <v>88.098524856920974</v>
      </c>
      <c r="F20" s="732">
        <f t="shared" si="1"/>
        <v>657.53871729760408</v>
      </c>
      <c r="G20" s="732">
        <f t="shared" si="1"/>
        <v>0</v>
      </c>
      <c r="H20" s="732">
        <f t="shared" si="1"/>
        <v>197275.17826382385</v>
      </c>
      <c r="I20" s="732">
        <f t="shared" si="1"/>
        <v>34358.961847377082</v>
      </c>
      <c r="J20" s="732">
        <f t="shared" si="1"/>
        <v>0</v>
      </c>
      <c r="K20" s="732">
        <f t="shared" si="1"/>
        <v>0</v>
      </c>
      <c r="L20" s="732">
        <f t="shared" si="1"/>
        <v>0</v>
      </c>
      <c r="M20" s="732">
        <f t="shared" si="1"/>
        <v>0</v>
      </c>
      <c r="N20" s="732">
        <f t="shared" si="1"/>
        <v>12467.233262488768</v>
      </c>
      <c r="O20" s="732">
        <f t="shared" si="1"/>
        <v>0</v>
      </c>
      <c r="P20" s="732">
        <f t="shared" si="1"/>
        <v>0</v>
      </c>
      <c r="Q20" s="733">
        <f t="shared" si="1"/>
        <v>0</v>
      </c>
      <c r="R20" s="734">
        <f t="shared" si="1"/>
        <v>244881.72287600327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382.62963000000002</v>
      </c>
      <c r="D22" s="728">
        <f>+landbouw!C8</f>
        <v>0</v>
      </c>
      <c r="E22" s="728">
        <f>+landbouw!D8</f>
        <v>2326.531307047117</v>
      </c>
      <c r="F22" s="728">
        <f>+landbouw!E8</f>
        <v>3.5440758930804526</v>
      </c>
      <c r="G22" s="728">
        <f>+landbouw!F8</f>
        <v>970.80426217971296</v>
      </c>
      <c r="H22" s="728">
        <f>+landbouw!G8</f>
        <v>0</v>
      </c>
      <c r="I22" s="728">
        <f>+landbouw!H8</f>
        <v>0</v>
      </c>
      <c r="J22" s="728">
        <f>+landbouw!I8</f>
        <v>0</v>
      </c>
      <c r="K22" s="728">
        <f>+landbouw!J8</f>
        <v>58.661392438133674</v>
      </c>
      <c r="L22" s="728">
        <f>+landbouw!K8</f>
        <v>0</v>
      </c>
      <c r="M22" s="728">
        <f>+landbouw!L8</f>
        <v>0</v>
      </c>
      <c r="N22" s="728">
        <f>+landbouw!M8</f>
        <v>0</v>
      </c>
      <c r="O22" s="728">
        <f>+landbouw!N8</f>
        <v>0</v>
      </c>
      <c r="P22" s="728">
        <f>+landbouw!O8</f>
        <v>0</v>
      </c>
      <c r="Q22" s="729">
        <f>+landbouw!P8</f>
        <v>0</v>
      </c>
      <c r="R22" s="730">
        <f>SUM(C22:Q22)</f>
        <v>3742.170667558044</v>
      </c>
      <c r="S22" s="67"/>
    </row>
    <row r="23" spans="1:19" s="475" customFormat="1" ht="17.25" thickTop="1" thickBot="1">
      <c r="A23" s="735" t="s">
        <v>116</v>
      </c>
      <c r="B23" s="865"/>
      <c r="C23" s="736">
        <f ca="1">C20+C15+C22</f>
        <v>66784.412089144113</v>
      </c>
      <c r="D23" s="736">
        <f t="shared" ref="D23:Q23" ca="1" si="2">D20+D15+D22</f>
        <v>0</v>
      </c>
      <c r="E23" s="736">
        <f t="shared" ca="1" si="2"/>
        <v>106330.55056962799</v>
      </c>
      <c r="F23" s="736">
        <f t="shared" si="2"/>
        <v>5014.492610293104</v>
      </c>
      <c r="G23" s="736">
        <f t="shared" ca="1" si="2"/>
        <v>34123.217525414948</v>
      </c>
      <c r="H23" s="736">
        <f t="shared" si="2"/>
        <v>197275.17826382385</v>
      </c>
      <c r="I23" s="736">
        <f t="shared" si="2"/>
        <v>34358.961847377082</v>
      </c>
      <c r="J23" s="736">
        <f t="shared" si="2"/>
        <v>0</v>
      </c>
      <c r="K23" s="736">
        <f t="shared" si="2"/>
        <v>69.286385993834415</v>
      </c>
      <c r="L23" s="736">
        <f t="shared" si="2"/>
        <v>0</v>
      </c>
      <c r="M23" s="736">
        <f t="shared" ca="1" si="2"/>
        <v>0</v>
      </c>
      <c r="N23" s="736">
        <f t="shared" si="2"/>
        <v>12467.233262488768</v>
      </c>
      <c r="O23" s="736">
        <f t="shared" ca="1" si="2"/>
        <v>13129.310730693833</v>
      </c>
      <c r="P23" s="736">
        <f t="shared" si="2"/>
        <v>326.73666666666668</v>
      </c>
      <c r="Q23" s="737">
        <f t="shared" si="2"/>
        <v>705.4666666666667</v>
      </c>
      <c r="R23" s="738">
        <f ca="1">R20+R15+R22</f>
        <v>470584.84661819093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4143.1830203339723</v>
      </c>
      <c r="D36" s="719">
        <f ca="1">tertiair!C20</f>
        <v>0</v>
      </c>
      <c r="E36" s="719">
        <f ca="1">tertiair!D20</f>
        <v>3639.5582188549029</v>
      </c>
      <c r="F36" s="719">
        <f>tertiair!E20</f>
        <v>44.42836984917939</v>
      </c>
      <c r="G36" s="719">
        <f ca="1">tertiair!F20</f>
        <v>776.51807844055327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8603.6876874786085</v>
      </c>
    </row>
    <row r="37" spans="1:18">
      <c r="A37" s="886" t="s">
        <v>225</v>
      </c>
      <c r="B37" s="893"/>
      <c r="C37" s="719">
        <f ca="1">huishoudens!B12</f>
        <v>8398.0037048768263</v>
      </c>
      <c r="D37" s="719">
        <f ca="1">huishoudens!C12</f>
        <v>0</v>
      </c>
      <c r="E37" s="719">
        <f>huishoudens!D12</f>
        <v>17089.244596527398</v>
      </c>
      <c r="F37" s="719">
        <f>huishoudens!E12</f>
        <v>895.79049497208325</v>
      </c>
      <c r="G37" s="719">
        <f>huishoudens!F12</f>
        <v>7741.8675997989858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34124.906396175291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362.2908364577288</v>
      </c>
      <c r="D39" s="719">
        <f ca="1">industrie!C22</f>
        <v>0</v>
      </c>
      <c r="E39" s="719">
        <f>industrie!D22</f>
        <v>262.21317363793992</v>
      </c>
      <c r="F39" s="719">
        <f>industrie!E22</f>
        <v>48.005163660986675</v>
      </c>
      <c r="G39" s="719">
        <f>industrie!F22</f>
        <v>333.30866304426945</v>
      </c>
      <c r="H39" s="719">
        <f>industrie!G22</f>
        <v>0</v>
      </c>
      <c r="I39" s="719">
        <f>industrie!H22</f>
        <v>0</v>
      </c>
      <c r="J39" s="719">
        <f>industrie!I22</f>
        <v>0</v>
      </c>
      <c r="K39" s="719">
        <f>industrie!J22</f>
        <v>3.7612477187180593</v>
      </c>
      <c r="L39" s="719">
        <f>industrie!K22</f>
        <v>0</v>
      </c>
      <c r="M39" s="719">
        <f>industrie!L22</f>
        <v>0</v>
      </c>
      <c r="N39" s="719">
        <f>industrie!M22</f>
        <v>0</v>
      </c>
      <c r="O39" s="719">
        <f>industrie!N22</f>
        <v>0</v>
      </c>
      <c r="P39" s="719">
        <f>industrie!O22</f>
        <v>0</v>
      </c>
      <c r="Q39" s="829">
        <f>industrie!P22</f>
        <v>0</v>
      </c>
      <c r="R39" s="919">
        <f ca="1">SUM(C39:Q39)</f>
        <v>1009.5790845196429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12903.477561668527</v>
      </c>
      <c r="D41" s="764">
        <f t="shared" ref="D41:R41" ca="1" si="4">SUM(D35:D40)</f>
        <v>0</v>
      </c>
      <c r="E41" s="764">
        <f t="shared" ca="1" si="4"/>
        <v>20991.015989020241</v>
      </c>
      <c r="F41" s="764">
        <f t="shared" si="4"/>
        <v>988.22402848224931</v>
      </c>
      <c r="G41" s="764">
        <f t="shared" ca="1" si="4"/>
        <v>8851.6943412838082</v>
      </c>
      <c r="H41" s="764">
        <f t="shared" si="4"/>
        <v>0</v>
      </c>
      <c r="I41" s="764">
        <f t="shared" si="4"/>
        <v>0</v>
      </c>
      <c r="J41" s="764">
        <f t="shared" si="4"/>
        <v>0</v>
      </c>
      <c r="K41" s="764">
        <f t="shared" si="4"/>
        <v>3.7612477187180593</v>
      </c>
      <c r="L41" s="764">
        <f t="shared" si="4"/>
        <v>0</v>
      </c>
      <c r="M41" s="764">
        <f t="shared" ca="1" si="4"/>
        <v>0</v>
      </c>
      <c r="N41" s="764">
        <f t="shared" si="4"/>
        <v>0</v>
      </c>
      <c r="O41" s="764">
        <f t="shared" ca="1" si="4"/>
        <v>0</v>
      </c>
      <c r="P41" s="764">
        <f t="shared" si="4"/>
        <v>0</v>
      </c>
      <c r="Q41" s="765">
        <f t="shared" si="4"/>
        <v>0</v>
      </c>
      <c r="R41" s="766">
        <f t="shared" ca="1" si="4"/>
        <v>43738.173168173547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629.76414025784516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629.76414025784516</v>
      </c>
    </row>
    <row r="45" spans="1:18" ht="15" thickBot="1">
      <c r="A45" s="889" t="s">
        <v>307</v>
      </c>
      <c r="B45" s="899"/>
      <c r="C45" s="728">
        <f ca="1">transport!B18</f>
        <v>6.7489625311691563</v>
      </c>
      <c r="D45" s="728">
        <f>transport!C18</f>
        <v>0</v>
      </c>
      <c r="E45" s="728">
        <f>transport!D18</f>
        <v>17.795902021098037</v>
      </c>
      <c r="F45" s="728">
        <f>transport!E18</f>
        <v>149.26128882655613</v>
      </c>
      <c r="G45" s="728">
        <f>transport!F18</f>
        <v>0</v>
      </c>
      <c r="H45" s="728">
        <f>transport!G18</f>
        <v>52042.708456183129</v>
      </c>
      <c r="I45" s="728">
        <f>transport!H18</f>
        <v>8555.3814999968927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60771.896109558846</v>
      </c>
    </row>
    <row r="46" spans="1:18" ht="15.75" thickBot="1">
      <c r="A46" s="887" t="s">
        <v>230</v>
      </c>
      <c r="B46" s="900"/>
      <c r="C46" s="764">
        <f t="shared" ref="C46:R46" ca="1" si="5">SUM(C43:C45)</f>
        <v>6.7489625311691563</v>
      </c>
      <c r="D46" s="764">
        <f t="shared" ca="1" si="5"/>
        <v>0</v>
      </c>
      <c r="E46" s="764">
        <f t="shared" si="5"/>
        <v>17.795902021098037</v>
      </c>
      <c r="F46" s="764">
        <f t="shared" si="5"/>
        <v>149.26128882655613</v>
      </c>
      <c r="G46" s="764">
        <f t="shared" si="5"/>
        <v>0</v>
      </c>
      <c r="H46" s="764">
        <f t="shared" si="5"/>
        <v>52672.472596440974</v>
      </c>
      <c r="I46" s="764">
        <f t="shared" si="5"/>
        <v>8555.3814999968927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61401.66024981669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74.393111377847603</v>
      </c>
      <c r="D48" s="719">
        <f ca="1">+landbouw!C12</f>
        <v>0</v>
      </c>
      <c r="E48" s="719">
        <f>+landbouw!D12</f>
        <v>469.95932402351769</v>
      </c>
      <c r="F48" s="719">
        <f>+landbouw!E12</f>
        <v>0.80450522772926281</v>
      </c>
      <c r="G48" s="719">
        <f>+landbouw!F12</f>
        <v>259.2047380019834</v>
      </c>
      <c r="H48" s="719">
        <f>+landbouw!G12</f>
        <v>0</v>
      </c>
      <c r="I48" s="719">
        <f>+landbouw!H12</f>
        <v>0</v>
      </c>
      <c r="J48" s="719">
        <f>+landbouw!I12</f>
        <v>0</v>
      </c>
      <c r="K48" s="719">
        <f>+landbouw!J12</f>
        <v>20.76613292309932</v>
      </c>
      <c r="L48" s="719">
        <f>+landbouw!K12</f>
        <v>0</v>
      </c>
      <c r="M48" s="719">
        <f>+landbouw!L12</f>
        <v>0</v>
      </c>
      <c r="N48" s="719">
        <f>+landbouw!M12</f>
        <v>0</v>
      </c>
      <c r="O48" s="719">
        <f>+landbouw!N12</f>
        <v>0</v>
      </c>
      <c r="P48" s="719">
        <f>+landbouw!O12</f>
        <v>0</v>
      </c>
      <c r="Q48" s="720">
        <f>+landbouw!P12</f>
        <v>0</v>
      </c>
      <c r="R48" s="762">
        <f ca="1">SUM(C48:Q48)</f>
        <v>825.12781155417724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12984.619635577545</v>
      </c>
      <c r="D53" s="774">
        <f t="shared" ref="D53:Q53" ca="1" si="6">D41+D46+D48</f>
        <v>0</v>
      </c>
      <c r="E53" s="774">
        <f t="shared" ca="1" si="6"/>
        <v>21478.771215064859</v>
      </c>
      <c r="F53" s="774">
        <f t="shared" si="6"/>
        <v>1138.2898225365348</v>
      </c>
      <c r="G53" s="774">
        <f t="shared" ca="1" si="6"/>
        <v>9110.8990792857912</v>
      </c>
      <c r="H53" s="774">
        <f t="shared" si="6"/>
        <v>52672.472596440974</v>
      </c>
      <c r="I53" s="774">
        <f t="shared" si="6"/>
        <v>8555.3814999968927</v>
      </c>
      <c r="J53" s="774">
        <f t="shared" si="6"/>
        <v>0</v>
      </c>
      <c r="K53" s="774">
        <f t="shared" si="6"/>
        <v>24.527380641817381</v>
      </c>
      <c r="L53" s="774">
        <f t="shared" si="6"/>
        <v>0</v>
      </c>
      <c r="M53" s="774">
        <f t="shared" ca="1" si="6"/>
        <v>0</v>
      </c>
      <c r="N53" s="774">
        <f t="shared" si="6"/>
        <v>0</v>
      </c>
      <c r="O53" s="774">
        <f t="shared" ca="1" si="6"/>
        <v>0</v>
      </c>
      <c r="P53" s="774">
        <f>P41+P46+P48</f>
        <v>0</v>
      </c>
      <c r="Q53" s="775">
        <f t="shared" si="6"/>
        <v>0</v>
      </c>
      <c r="R53" s="776">
        <f ca="1">R41+R46+R48</f>
        <v>105964.96122954442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0.19442590313209046</v>
      </c>
      <c r="D55" s="837">
        <f t="shared" ca="1" si="7"/>
        <v>0</v>
      </c>
      <c r="E55" s="837">
        <f t="shared" ca="1" si="7"/>
        <v>0.20200000000000004</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8030.4770865307928</v>
      </c>
      <c r="C66" s="796">
        <f>'lokale energieproductie'!B6</f>
        <v>8030.4770865307928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8030.4770865307928</v>
      </c>
      <c r="C69" s="804">
        <f>SUM(C64:C68)</f>
        <v>8030.4770865307928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43193.852102985125</v>
      </c>
      <c r="C4" s="479">
        <f>huishoudens!C8</f>
        <v>0</v>
      </c>
      <c r="D4" s="479">
        <f>huishoudens!D8</f>
        <v>84600.220774888105</v>
      </c>
      <c r="E4" s="479">
        <f>huishoudens!E8</f>
        <v>3946.2136342382519</v>
      </c>
      <c r="F4" s="479">
        <f>huishoudens!F8</f>
        <v>28995.758800745265</v>
      </c>
      <c r="G4" s="479">
        <f>huishoudens!G8</f>
        <v>0</v>
      </c>
      <c r="H4" s="479">
        <f>huishoudens!H8</f>
        <v>0</v>
      </c>
      <c r="I4" s="479">
        <f>huishoudens!I8</f>
        <v>0</v>
      </c>
      <c r="J4" s="479">
        <f>huishoudens!J8</f>
        <v>0</v>
      </c>
      <c r="K4" s="479">
        <f>huishoudens!K8</f>
        <v>0</v>
      </c>
      <c r="L4" s="479">
        <f>huishoudens!L8</f>
        <v>0</v>
      </c>
      <c r="M4" s="479">
        <f>huishoudens!M8</f>
        <v>0</v>
      </c>
      <c r="N4" s="479">
        <f>huishoudens!N8</f>
        <v>10585.050162788546</v>
      </c>
      <c r="O4" s="479">
        <f>huishoudens!O8</f>
        <v>325.17333333333335</v>
      </c>
      <c r="P4" s="480">
        <f>huishoudens!P8</f>
        <v>686.4</v>
      </c>
      <c r="Q4" s="481">
        <f>SUM(B4:P4)</f>
        <v>172332.66880897863</v>
      </c>
    </row>
    <row r="5" spans="1:17">
      <c r="A5" s="478" t="s">
        <v>156</v>
      </c>
      <c r="B5" s="479">
        <f ca="1">tertiair!B16</f>
        <v>19524.461395999999</v>
      </c>
      <c r="C5" s="479">
        <f ca="1">tertiair!C16</f>
        <v>0</v>
      </c>
      <c r="D5" s="479">
        <f ca="1">tertiair!D16</f>
        <v>18017.614944826251</v>
      </c>
      <c r="E5" s="479">
        <f>tertiair!E16</f>
        <v>195.71969096554795</v>
      </c>
      <c r="F5" s="479">
        <f ca="1">tertiair!F16</f>
        <v>2908.3074098897123</v>
      </c>
      <c r="G5" s="479">
        <f>tertiair!G16</f>
        <v>0</v>
      </c>
      <c r="H5" s="479">
        <f>tertiair!H16</f>
        <v>0</v>
      </c>
      <c r="I5" s="479">
        <f>tertiair!I16</f>
        <v>0</v>
      </c>
      <c r="J5" s="479">
        <f>tertiair!J16</f>
        <v>0</v>
      </c>
      <c r="K5" s="479">
        <f>tertiair!K16</f>
        <v>0</v>
      </c>
      <c r="L5" s="479">
        <f ca="1">tertiair!L16</f>
        <v>0</v>
      </c>
      <c r="M5" s="479">
        <f>tertiair!M16</f>
        <v>0</v>
      </c>
      <c r="N5" s="479">
        <f ca="1">tertiair!N16</f>
        <v>2034.3909389365197</v>
      </c>
      <c r="O5" s="479">
        <f>tertiair!O16</f>
        <v>1.5633333333333335</v>
      </c>
      <c r="P5" s="480">
        <f>tertiair!P16</f>
        <v>19.066666666666666</v>
      </c>
      <c r="Q5" s="478">
        <f t="shared" ref="Q5:Q13" ca="1" si="0">SUM(B5:P5)</f>
        <v>42701.124380618028</v>
      </c>
    </row>
    <row r="6" spans="1:17">
      <c r="A6" s="478" t="s">
        <v>194</v>
      </c>
      <c r="B6" s="479">
        <f>'openbare verlichting'!B8</f>
        <v>1785.3689999999999</v>
      </c>
      <c r="C6" s="479"/>
      <c r="D6" s="479"/>
      <c r="E6" s="479"/>
      <c r="F6" s="479"/>
      <c r="G6" s="479"/>
      <c r="H6" s="479"/>
      <c r="I6" s="479"/>
      <c r="J6" s="479"/>
      <c r="K6" s="479"/>
      <c r="L6" s="479"/>
      <c r="M6" s="479"/>
      <c r="N6" s="479"/>
      <c r="O6" s="479"/>
      <c r="P6" s="480"/>
      <c r="Q6" s="478">
        <f t="shared" si="0"/>
        <v>1785.3689999999999</v>
      </c>
    </row>
    <row r="7" spans="1:17">
      <c r="A7" s="478" t="s">
        <v>112</v>
      </c>
      <c r="B7" s="479">
        <f>landbouw!B8</f>
        <v>382.62963000000002</v>
      </c>
      <c r="C7" s="479">
        <f>landbouw!C8</f>
        <v>0</v>
      </c>
      <c r="D7" s="479">
        <f>landbouw!D8</f>
        <v>2326.531307047117</v>
      </c>
      <c r="E7" s="479">
        <f>landbouw!E8</f>
        <v>3.5440758930804526</v>
      </c>
      <c r="F7" s="479">
        <f>landbouw!F8</f>
        <v>970.80426217971296</v>
      </c>
      <c r="G7" s="479">
        <f>landbouw!G8</f>
        <v>0</v>
      </c>
      <c r="H7" s="479">
        <f>landbouw!H8</f>
        <v>0</v>
      </c>
      <c r="I7" s="479">
        <f>landbouw!I8</f>
        <v>0</v>
      </c>
      <c r="J7" s="479">
        <f>landbouw!J8</f>
        <v>58.661392438133674</v>
      </c>
      <c r="K7" s="479">
        <f>landbouw!K8</f>
        <v>0</v>
      </c>
      <c r="L7" s="479">
        <f>landbouw!L8</f>
        <v>0</v>
      </c>
      <c r="M7" s="479">
        <f>landbouw!M8</f>
        <v>0</v>
      </c>
      <c r="N7" s="479">
        <f>landbouw!N8</f>
        <v>0</v>
      </c>
      <c r="O7" s="479">
        <f>landbouw!O8</f>
        <v>0</v>
      </c>
      <c r="P7" s="480">
        <f>landbouw!P8</f>
        <v>0</v>
      </c>
      <c r="Q7" s="478">
        <f t="shared" si="0"/>
        <v>3742.170667558044</v>
      </c>
    </row>
    <row r="8" spans="1:17">
      <c r="A8" s="478" t="s">
        <v>650</v>
      </c>
      <c r="B8" s="479">
        <f>industrie!B18</f>
        <v>1863.3877</v>
      </c>
      <c r="C8" s="479">
        <f>industrie!C18</f>
        <v>0</v>
      </c>
      <c r="D8" s="479">
        <f>industrie!D18</f>
        <v>1298.0850180096036</v>
      </c>
      <c r="E8" s="479">
        <f>industrie!E18</f>
        <v>211.47649189861971</v>
      </c>
      <c r="F8" s="479">
        <f>industrie!F18</f>
        <v>1248.34705260026</v>
      </c>
      <c r="G8" s="479">
        <f>industrie!G18</f>
        <v>0</v>
      </c>
      <c r="H8" s="479">
        <f>industrie!H18</f>
        <v>0</v>
      </c>
      <c r="I8" s="479">
        <f>industrie!I18</f>
        <v>0</v>
      </c>
      <c r="J8" s="479">
        <f>industrie!J18</f>
        <v>10.624993555700733</v>
      </c>
      <c r="K8" s="479">
        <f>industrie!K18</f>
        <v>0</v>
      </c>
      <c r="L8" s="479">
        <f>industrie!L18</f>
        <v>0</v>
      </c>
      <c r="M8" s="479">
        <f>industrie!M18</f>
        <v>0</v>
      </c>
      <c r="N8" s="479">
        <f>industrie!N18</f>
        <v>509.86962896876719</v>
      </c>
      <c r="O8" s="479">
        <f>industrie!O18</f>
        <v>0</v>
      </c>
      <c r="P8" s="480">
        <f>industrie!P18</f>
        <v>0</v>
      </c>
      <c r="Q8" s="478">
        <f t="shared" si="0"/>
        <v>5141.7908850329504</v>
      </c>
    </row>
    <row r="9" spans="1:17" s="484" customFormat="1">
      <c r="A9" s="482" t="s">
        <v>571</v>
      </c>
      <c r="B9" s="483">
        <f>transport!B14</f>
        <v>34.712260158997431</v>
      </c>
      <c r="C9" s="483"/>
      <c r="D9" s="483">
        <f>transport!D14</f>
        <v>88.098524856920974</v>
      </c>
      <c r="E9" s="483">
        <f>transport!E14</f>
        <v>657.53871729760408</v>
      </c>
      <c r="F9" s="483"/>
      <c r="G9" s="483">
        <f>transport!G14</f>
        <v>194916.51107184691</v>
      </c>
      <c r="H9" s="483">
        <f>transport!H14</f>
        <v>34358.961847377082</v>
      </c>
      <c r="I9" s="483"/>
      <c r="J9" s="483"/>
      <c r="K9" s="483"/>
      <c r="L9" s="483"/>
      <c r="M9" s="483">
        <f>transport!M14</f>
        <v>12332.725348416621</v>
      </c>
      <c r="N9" s="483"/>
      <c r="O9" s="483"/>
      <c r="P9" s="483"/>
      <c r="Q9" s="482">
        <f>SUM(B9:P9)</f>
        <v>242388.54776995417</v>
      </c>
    </row>
    <row r="10" spans="1:17">
      <c r="A10" s="478" t="s">
        <v>561</v>
      </c>
      <c r="B10" s="479">
        <f>transport!B54</f>
        <v>0</v>
      </c>
      <c r="C10" s="479"/>
      <c r="D10" s="479">
        <f>transport!D54</f>
        <v>0</v>
      </c>
      <c r="E10" s="479"/>
      <c r="F10" s="479"/>
      <c r="G10" s="479">
        <f>transport!G54</f>
        <v>2358.6671919769478</v>
      </c>
      <c r="H10" s="479"/>
      <c r="I10" s="479"/>
      <c r="J10" s="479"/>
      <c r="K10" s="479"/>
      <c r="L10" s="479"/>
      <c r="M10" s="479">
        <f>transport!M54</f>
        <v>134.50791407214709</v>
      </c>
      <c r="N10" s="479"/>
      <c r="O10" s="479"/>
      <c r="P10" s="480"/>
      <c r="Q10" s="478">
        <f t="shared" si="0"/>
        <v>2493.1751060490951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66784.412089144127</v>
      </c>
      <c r="C14" s="489">
        <f t="shared" ref="C14:Q14" ca="1" si="1">SUM(C4:C13)</f>
        <v>0</v>
      </c>
      <c r="D14" s="489">
        <f t="shared" ca="1" si="1"/>
        <v>106330.55056962799</v>
      </c>
      <c r="E14" s="489">
        <f t="shared" si="1"/>
        <v>5014.492610293104</v>
      </c>
      <c r="F14" s="489">
        <f t="shared" ca="1" si="1"/>
        <v>34123.217525414948</v>
      </c>
      <c r="G14" s="489">
        <f t="shared" si="1"/>
        <v>197275.17826382385</v>
      </c>
      <c r="H14" s="489">
        <f t="shared" si="1"/>
        <v>34358.961847377082</v>
      </c>
      <c r="I14" s="489">
        <f t="shared" si="1"/>
        <v>0</v>
      </c>
      <c r="J14" s="489">
        <f t="shared" si="1"/>
        <v>69.286385993834415</v>
      </c>
      <c r="K14" s="489">
        <f t="shared" si="1"/>
        <v>0</v>
      </c>
      <c r="L14" s="489">
        <f t="shared" ca="1" si="1"/>
        <v>0</v>
      </c>
      <c r="M14" s="489">
        <f t="shared" si="1"/>
        <v>12467.233262488768</v>
      </c>
      <c r="N14" s="489">
        <f t="shared" ca="1" si="1"/>
        <v>13129.310730693833</v>
      </c>
      <c r="O14" s="489">
        <f t="shared" si="1"/>
        <v>326.73666666666668</v>
      </c>
      <c r="P14" s="490">
        <f t="shared" si="1"/>
        <v>705.4666666666667</v>
      </c>
      <c r="Q14" s="490">
        <f t="shared" ca="1" si="1"/>
        <v>470584.84661819093</v>
      </c>
    </row>
    <row r="16" spans="1:17">
      <c r="A16" s="492" t="s">
        <v>566</v>
      </c>
      <c r="B16" s="842">
        <f ca="1">huishoudens!B10</f>
        <v>0.19442590313209043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8398.0037048768263</v>
      </c>
      <c r="C21" s="479">
        <f t="shared" ref="C21:C28" ca="1" si="3">C4*$C$16</f>
        <v>0</v>
      </c>
      <c r="D21" s="479">
        <f t="shared" ref="D21:D30" si="4">D4*$D$16</f>
        <v>17089.244596527398</v>
      </c>
      <c r="E21" s="479">
        <f t="shared" ref="E21:E30" si="5">E4*$E$16</f>
        <v>895.79049497208325</v>
      </c>
      <c r="F21" s="479">
        <f t="shared" ref="F21:F28" si="6">F4*$F$16</f>
        <v>7741.8675997989858</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34124.906396175291</v>
      </c>
    </row>
    <row r="22" spans="1:17">
      <c r="A22" s="478" t="s">
        <v>156</v>
      </c>
      <c r="B22" s="479">
        <f t="shared" ca="1" si="2"/>
        <v>3796.061040084935</v>
      </c>
      <c r="C22" s="479">
        <f t="shared" ca="1" si="3"/>
        <v>0</v>
      </c>
      <c r="D22" s="479">
        <f t="shared" ca="1" si="4"/>
        <v>3639.5582188549029</v>
      </c>
      <c r="E22" s="479">
        <f t="shared" si="5"/>
        <v>44.42836984917939</v>
      </c>
      <c r="F22" s="479">
        <f t="shared" ca="1" si="6"/>
        <v>776.51807844055327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8256.5657072295708</v>
      </c>
    </row>
    <row r="23" spans="1:17">
      <c r="A23" s="478" t="s">
        <v>194</v>
      </c>
      <c r="B23" s="479">
        <f t="shared" ca="1" si="2"/>
        <v>347.12198024903716</v>
      </c>
      <c r="C23" s="479"/>
      <c r="D23" s="479"/>
      <c r="E23" s="479"/>
      <c r="F23" s="479"/>
      <c r="G23" s="479"/>
      <c r="H23" s="479"/>
      <c r="I23" s="479"/>
      <c r="J23" s="479"/>
      <c r="K23" s="479"/>
      <c r="L23" s="479"/>
      <c r="M23" s="479"/>
      <c r="N23" s="479"/>
      <c r="O23" s="479"/>
      <c r="P23" s="480"/>
      <c r="Q23" s="478">
        <f t="shared" ca="1" si="17"/>
        <v>347.12198024903716</v>
      </c>
    </row>
    <row r="24" spans="1:17">
      <c r="A24" s="478" t="s">
        <v>112</v>
      </c>
      <c r="B24" s="479">
        <f t="shared" ca="1" si="2"/>
        <v>74.393111377847603</v>
      </c>
      <c r="C24" s="479">
        <f t="shared" ca="1" si="3"/>
        <v>0</v>
      </c>
      <c r="D24" s="479">
        <f t="shared" si="4"/>
        <v>469.95932402351769</v>
      </c>
      <c r="E24" s="479">
        <f t="shared" si="5"/>
        <v>0.80450522772926281</v>
      </c>
      <c r="F24" s="479">
        <f t="shared" si="6"/>
        <v>259.2047380019834</v>
      </c>
      <c r="G24" s="479">
        <f t="shared" si="7"/>
        <v>0</v>
      </c>
      <c r="H24" s="479">
        <f t="shared" si="8"/>
        <v>0</v>
      </c>
      <c r="I24" s="479">
        <f t="shared" si="9"/>
        <v>0</v>
      </c>
      <c r="J24" s="479">
        <f t="shared" si="10"/>
        <v>20.76613292309932</v>
      </c>
      <c r="K24" s="479">
        <f t="shared" si="11"/>
        <v>0</v>
      </c>
      <c r="L24" s="479">
        <f t="shared" si="12"/>
        <v>0</v>
      </c>
      <c r="M24" s="479">
        <f t="shared" si="13"/>
        <v>0</v>
      </c>
      <c r="N24" s="479">
        <f t="shared" si="14"/>
        <v>0</v>
      </c>
      <c r="O24" s="479">
        <f t="shared" si="15"/>
        <v>0</v>
      </c>
      <c r="P24" s="480">
        <f t="shared" si="16"/>
        <v>0</v>
      </c>
      <c r="Q24" s="478">
        <f t="shared" ca="1" si="17"/>
        <v>825.12781155417724</v>
      </c>
    </row>
    <row r="25" spans="1:17">
      <c r="A25" s="478" t="s">
        <v>650</v>
      </c>
      <c r="B25" s="479">
        <f t="shared" ca="1" si="2"/>
        <v>362.2908364577288</v>
      </c>
      <c r="C25" s="479">
        <f t="shared" ca="1" si="3"/>
        <v>0</v>
      </c>
      <c r="D25" s="479">
        <f t="shared" si="4"/>
        <v>262.21317363793992</v>
      </c>
      <c r="E25" s="479">
        <f t="shared" si="5"/>
        <v>48.005163660986675</v>
      </c>
      <c r="F25" s="479">
        <f t="shared" si="6"/>
        <v>333.30866304426945</v>
      </c>
      <c r="G25" s="479">
        <f t="shared" si="7"/>
        <v>0</v>
      </c>
      <c r="H25" s="479">
        <f t="shared" si="8"/>
        <v>0</v>
      </c>
      <c r="I25" s="479">
        <f t="shared" si="9"/>
        <v>0</v>
      </c>
      <c r="J25" s="479">
        <f t="shared" si="10"/>
        <v>3.7612477187180593</v>
      </c>
      <c r="K25" s="479">
        <f t="shared" si="11"/>
        <v>0</v>
      </c>
      <c r="L25" s="479">
        <f t="shared" si="12"/>
        <v>0</v>
      </c>
      <c r="M25" s="479">
        <f t="shared" si="13"/>
        <v>0</v>
      </c>
      <c r="N25" s="479">
        <f t="shared" si="14"/>
        <v>0</v>
      </c>
      <c r="O25" s="479">
        <f t="shared" si="15"/>
        <v>0</v>
      </c>
      <c r="P25" s="480">
        <f t="shared" si="16"/>
        <v>0</v>
      </c>
      <c r="Q25" s="478">
        <f t="shared" ca="1" si="17"/>
        <v>1009.5790845196429</v>
      </c>
    </row>
    <row r="26" spans="1:17" s="484" customFormat="1">
      <c r="A26" s="482" t="s">
        <v>571</v>
      </c>
      <c r="B26" s="836">
        <f t="shared" ca="1" si="2"/>
        <v>6.7489625311691563</v>
      </c>
      <c r="C26" s="483"/>
      <c r="D26" s="483">
        <f t="shared" si="4"/>
        <v>17.795902021098037</v>
      </c>
      <c r="E26" s="483">
        <f t="shared" si="5"/>
        <v>149.26128882655613</v>
      </c>
      <c r="F26" s="483"/>
      <c r="G26" s="483">
        <f t="shared" si="7"/>
        <v>52042.708456183129</v>
      </c>
      <c r="H26" s="483">
        <f t="shared" si="8"/>
        <v>8555.3814999968927</v>
      </c>
      <c r="I26" s="483"/>
      <c r="J26" s="483"/>
      <c r="K26" s="483"/>
      <c r="L26" s="483"/>
      <c r="M26" s="483">
        <f t="shared" si="13"/>
        <v>0</v>
      </c>
      <c r="N26" s="483"/>
      <c r="O26" s="483"/>
      <c r="P26" s="494"/>
      <c r="Q26" s="482">
        <f t="shared" ca="1" si="17"/>
        <v>60771.896109558846</v>
      </c>
    </row>
    <row r="27" spans="1:17">
      <c r="A27" s="478" t="s">
        <v>561</v>
      </c>
      <c r="B27" s="479">
        <f t="shared" ca="1" si="2"/>
        <v>0</v>
      </c>
      <c r="C27" s="479"/>
      <c r="D27" s="483">
        <f t="shared" si="4"/>
        <v>0</v>
      </c>
      <c r="E27" s="479"/>
      <c r="F27" s="479"/>
      <c r="G27" s="479">
        <f t="shared" si="7"/>
        <v>629.76414025784516</v>
      </c>
      <c r="H27" s="479"/>
      <c r="I27" s="479"/>
      <c r="J27" s="479"/>
      <c r="K27" s="479"/>
      <c r="L27" s="479"/>
      <c r="M27" s="479">
        <f t="shared" si="13"/>
        <v>0</v>
      </c>
      <c r="N27" s="479"/>
      <c r="O27" s="479"/>
      <c r="P27" s="480"/>
      <c r="Q27" s="478">
        <f t="shared" ca="1" si="17"/>
        <v>629.76414025784516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12984.619635577545</v>
      </c>
      <c r="C31" s="489">
        <f t="shared" ca="1" si="18"/>
        <v>0</v>
      </c>
      <c r="D31" s="489">
        <f t="shared" ca="1" si="18"/>
        <v>21478.771215064859</v>
      </c>
      <c r="E31" s="489">
        <f t="shared" si="18"/>
        <v>1138.2898225365348</v>
      </c>
      <c r="F31" s="489">
        <f t="shared" ca="1" si="18"/>
        <v>9110.8990792857912</v>
      </c>
      <c r="G31" s="489">
        <f t="shared" si="18"/>
        <v>52672.472596440974</v>
      </c>
      <c r="H31" s="489">
        <f t="shared" si="18"/>
        <v>8555.3814999968927</v>
      </c>
      <c r="I31" s="489">
        <f t="shared" si="18"/>
        <v>0</v>
      </c>
      <c r="J31" s="489">
        <f t="shared" si="18"/>
        <v>24.527380641817381</v>
      </c>
      <c r="K31" s="489">
        <f t="shared" si="18"/>
        <v>0</v>
      </c>
      <c r="L31" s="489">
        <f t="shared" ca="1" si="18"/>
        <v>0</v>
      </c>
      <c r="M31" s="489">
        <f t="shared" si="18"/>
        <v>0</v>
      </c>
      <c r="N31" s="489">
        <f t="shared" ca="1" si="18"/>
        <v>0</v>
      </c>
      <c r="O31" s="489">
        <f t="shared" si="18"/>
        <v>0</v>
      </c>
      <c r="P31" s="490">
        <f t="shared" si="18"/>
        <v>0</v>
      </c>
      <c r="Q31" s="490">
        <f t="shared" ca="1" si="18"/>
        <v>105964.96122954442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0.19442590313209043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0.19442590313209043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0.19442590313209043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8862</v>
      </c>
      <c r="C9" s="342">
        <v>9417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1769</v>
      </c>
    </row>
    <row r="15" spans="1:6">
      <c r="A15" s="348" t="s">
        <v>184</v>
      </c>
      <c r="B15" s="334">
        <v>4</v>
      </c>
    </row>
    <row r="16" spans="1:6">
      <c r="A16" s="348" t="s">
        <v>6</v>
      </c>
      <c r="B16" s="334">
        <v>210</v>
      </c>
    </row>
    <row r="17" spans="1:6">
      <c r="A17" s="348" t="s">
        <v>7</v>
      </c>
      <c r="B17" s="334">
        <v>343</v>
      </c>
    </row>
    <row r="18" spans="1:6">
      <c r="A18" s="348" t="s">
        <v>8</v>
      </c>
      <c r="B18" s="334">
        <v>430</v>
      </c>
    </row>
    <row r="19" spans="1:6">
      <c r="A19" s="348" t="s">
        <v>9</v>
      </c>
      <c r="B19" s="334">
        <v>447</v>
      </c>
    </row>
    <row r="20" spans="1:6">
      <c r="A20" s="348" t="s">
        <v>10</v>
      </c>
      <c r="B20" s="334">
        <v>401</v>
      </c>
    </row>
    <row r="21" spans="1:6">
      <c r="A21" s="348" t="s">
        <v>11</v>
      </c>
      <c r="B21" s="334">
        <v>0</v>
      </c>
    </row>
    <row r="22" spans="1:6">
      <c r="A22" s="348" t="s">
        <v>12</v>
      </c>
      <c r="B22" s="334">
        <v>162</v>
      </c>
    </row>
    <row r="23" spans="1:6">
      <c r="A23" s="348" t="s">
        <v>13</v>
      </c>
      <c r="B23" s="334">
        <v>0</v>
      </c>
    </row>
    <row r="24" spans="1:6">
      <c r="A24" s="348" t="s">
        <v>14</v>
      </c>
      <c r="B24" s="334">
        <v>0</v>
      </c>
    </row>
    <row r="25" spans="1:6">
      <c r="A25" s="348" t="s">
        <v>15</v>
      </c>
      <c r="B25" s="334">
        <v>0</v>
      </c>
    </row>
    <row r="26" spans="1:6">
      <c r="A26" s="348" t="s">
        <v>16</v>
      </c>
      <c r="B26" s="334">
        <v>114</v>
      </c>
    </row>
    <row r="27" spans="1:6">
      <c r="A27" s="348" t="s">
        <v>17</v>
      </c>
      <c r="B27" s="334">
        <v>0</v>
      </c>
    </row>
    <row r="28" spans="1:6" s="356" customFormat="1">
      <c r="A28" s="355" t="s">
        <v>18</v>
      </c>
      <c r="B28" s="355">
        <v>0</v>
      </c>
    </row>
    <row r="29" spans="1:6">
      <c r="A29" s="355" t="s">
        <v>865</v>
      </c>
      <c r="B29" s="355">
        <v>222</v>
      </c>
      <c r="C29" s="356"/>
      <c r="D29" s="356"/>
      <c r="E29" s="356"/>
      <c r="F29" s="356"/>
    </row>
    <row r="30" spans="1:6">
      <c r="A30" s="341" t="s">
        <v>866</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22631.99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447684.817287574</v>
      </c>
      <c r="E38" s="334">
        <v>1</v>
      </c>
      <c r="F38" s="334">
        <v>7139.2479999999996</v>
      </c>
    </row>
    <row r="39" spans="1:6">
      <c r="A39" s="348" t="s">
        <v>30</v>
      </c>
      <c r="B39" s="348" t="s">
        <v>31</v>
      </c>
      <c r="C39" s="334">
        <v>5629</v>
      </c>
      <c r="D39" s="334">
        <v>93791819.040895909</v>
      </c>
      <c r="E39" s="334">
        <v>8833</v>
      </c>
      <c r="F39" s="334">
        <v>39189039</v>
      </c>
    </row>
    <row r="40" spans="1:6">
      <c r="A40" s="348" t="s">
        <v>30</v>
      </c>
      <c r="B40" s="348" t="s">
        <v>29</v>
      </c>
      <c r="C40" s="334">
        <v>0</v>
      </c>
      <c r="D40" s="334">
        <v>0</v>
      </c>
      <c r="E40" s="334">
        <v>0</v>
      </c>
      <c r="F40" s="334">
        <v>0</v>
      </c>
    </row>
    <row r="41" spans="1:6">
      <c r="A41" s="348" t="s">
        <v>32</v>
      </c>
      <c r="B41" s="348" t="s">
        <v>33</v>
      </c>
      <c r="C41" s="334">
        <v>30</v>
      </c>
      <c r="D41" s="334">
        <v>526526.10079291603</v>
      </c>
      <c r="E41" s="334">
        <v>87</v>
      </c>
      <c r="F41" s="334">
        <v>587117.19999999995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116606.39999999999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716020.53523974796</v>
      </c>
      <c r="E48" s="334">
        <v>49</v>
      </c>
      <c r="F48" s="334">
        <v>867849.5</v>
      </c>
    </row>
    <row r="49" spans="1:6">
      <c r="A49" s="348" t="s">
        <v>32</v>
      </c>
      <c r="B49" s="348" t="s">
        <v>40</v>
      </c>
      <c r="C49" s="334">
        <v>0</v>
      </c>
      <c r="D49" s="334">
        <v>0</v>
      </c>
      <c r="E49" s="334">
        <v>0</v>
      </c>
      <c r="F49" s="334">
        <v>0</v>
      </c>
    </row>
    <row r="50" spans="1:6">
      <c r="A50" s="348" t="s">
        <v>32</v>
      </c>
      <c r="B50" s="348" t="s">
        <v>41</v>
      </c>
      <c r="C50" s="334">
        <v>3</v>
      </c>
      <c r="D50" s="334">
        <v>196572.00921079901</v>
      </c>
      <c r="E50" s="334">
        <v>6</v>
      </c>
      <c r="F50" s="334">
        <v>291814.59999999998</v>
      </c>
    </row>
    <row r="51" spans="1:6">
      <c r="A51" s="348" t="s">
        <v>42</v>
      </c>
      <c r="B51" s="348" t="s">
        <v>43</v>
      </c>
      <c r="C51" s="334">
        <v>4</v>
      </c>
      <c r="D51" s="334">
        <v>85216.679747882299</v>
      </c>
      <c r="E51" s="334">
        <v>35</v>
      </c>
      <c r="F51" s="334">
        <v>317303.40000000002</v>
      </c>
    </row>
    <row r="52" spans="1:6">
      <c r="A52" s="348" t="s">
        <v>42</v>
      </c>
      <c r="B52" s="348" t="s">
        <v>29</v>
      </c>
      <c r="C52" s="334">
        <v>5</v>
      </c>
      <c r="D52" s="334">
        <v>190896.115954251</v>
      </c>
      <c r="E52" s="334">
        <v>6</v>
      </c>
      <c r="F52" s="334">
        <v>65326.23</v>
      </c>
    </row>
    <row r="53" spans="1:6">
      <c r="A53" s="348" t="s">
        <v>44</v>
      </c>
      <c r="B53" s="348" t="s">
        <v>45</v>
      </c>
      <c r="C53" s="334">
        <v>106</v>
      </c>
      <c r="D53" s="334">
        <v>2303190.20545875</v>
      </c>
      <c r="E53" s="334">
        <v>193</v>
      </c>
      <c r="F53" s="334">
        <v>975561.2</v>
      </c>
    </row>
    <row r="54" spans="1:6">
      <c r="A54" s="348" t="s">
        <v>46</v>
      </c>
      <c r="B54" s="348" t="s">
        <v>47</v>
      </c>
      <c r="C54" s="334">
        <v>0</v>
      </c>
      <c r="D54" s="334">
        <v>0</v>
      </c>
      <c r="E54" s="334">
        <v>1</v>
      </c>
      <c r="F54" s="334">
        <v>1785369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1900116.6794742299</v>
      </c>
      <c r="E57" s="334">
        <v>88</v>
      </c>
      <c r="F57" s="334">
        <v>1690136</v>
      </c>
    </row>
    <row r="58" spans="1:6">
      <c r="A58" s="348" t="s">
        <v>49</v>
      </c>
      <c r="B58" s="348" t="s">
        <v>51</v>
      </c>
      <c r="C58" s="334">
        <v>6</v>
      </c>
      <c r="D58" s="334">
        <v>188172.40698720099</v>
      </c>
      <c r="E58" s="334">
        <v>23</v>
      </c>
      <c r="F58" s="334">
        <v>206189</v>
      </c>
    </row>
    <row r="59" spans="1:6">
      <c r="A59" s="348" t="s">
        <v>49</v>
      </c>
      <c r="B59" s="348" t="s">
        <v>52</v>
      </c>
      <c r="C59" s="334">
        <v>29</v>
      </c>
      <c r="D59" s="334">
        <v>934591.69142188597</v>
      </c>
      <c r="E59" s="334">
        <v>98</v>
      </c>
      <c r="F59" s="334">
        <v>4008416</v>
      </c>
    </row>
    <row r="60" spans="1:6">
      <c r="A60" s="348" t="s">
        <v>49</v>
      </c>
      <c r="B60" s="348" t="s">
        <v>53</v>
      </c>
      <c r="C60" s="334">
        <v>51</v>
      </c>
      <c r="D60" s="334">
        <v>2041704.55450135</v>
      </c>
      <c r="E60" s="334">
        <v>66</v>
      </c>
      <c r="F60" s="334">
        <v>1311420</v>
      </c>
    </row>
    <row r="61" spans="1:6">
      <c r="A61" s="348" t="s">
        <v>49</v>
      </c>
      <c r="B61" s="348" t="s">
        <v>54</v>
      </c>
      <c r="C61" s="334">
        <v>76</v>
      </c>
      <c r="D61" s="334">
        <v>5906177.7993994597</v>
      </c>
      <c r="E61" s="334">
        <v>207</v>
      </c>
      <c r="F61" s="334">
        <v>3193569</v>
      </c>
    </row>
    <row r="62" spans="1:6">
      <c r="A62" s="348" t="s">
        <v>49</v>
      </c>
      <c r="B62" s="348" t="s">
        <v>55</v>
      </c>
      <c r="C62" s="334">
        <v>0</v>
      </c>
      <c r="D62" s="334">
        <v>0</v>
      </c>
      <c r="E62" s="334">
        <v>0</v>
      </c>
      <c r="F62" s="334">
        <v>0</v>
      </c>
    </row>
    <row r="63" spans="1:6">
      <c r="A63" s="348" t="s">
        <v>49</v>
      </c>
      <c r="B63" s="348" t="s">
        <v>29</v>
      </c>
      <c r="C63" s="334">
        <v>184</v>
      </c>
      <c r="D63" s="334">
        <v>9004419.7338769026</v>
      </c>
      <c r="E63" s="334">
        <v>219</v>
      </c>
      <c r="F63" s="334">
        <v>9114731.3959999997</v>
      </c>
    </row>
    <row r="64" spans="1:6">
      <c r="A64" s="348" t="s">
        <v>56</v>
      </c>
      <c r="B64" s="348" t="s">
        <v>57</v>
      </c>
      <c r="C64" s="334">
        <v>0</v>
      </c>
      <c r="D64" s="334">
        <v>0</v>
      </c>
      <c r="E64" s="334">
        <v>0</v>
      </c>
      <c r="F64" s="334">
        <v>0</v>
      </c>
    </row>
    <row r="65" spans="1:6">
      <c r="A65" s="348" t="s">
        <v>56</v>
      </c>
      <c r="B65" s="348" t="s">
        <v>29</v>
      </c>
      <c r="C65" s="334">
        <v>2</v>
      </c>
      <c r="D65" s="334">
        <v>181803.07575754201</v>
      </c>
      <c r="E65" s="334">
        <v>2</v>
      </c>
      <c r="F65" s="334">
        <v>55140.52</v>
      </c>
    </row>
    <row r="66" spans="1:6">
      <c r="A66" s="348" t="s">
        <v>56</v>
      </c>
      <c r="B66" s="348" t="s">
        <v>58</v>
      </c>
      <c r="C66" s="334">
        <v>0</v>
      </c>
      <c r="D66" s="334">
        <v>0</v>
      </c>
      <c r="E66" s="334">
        <v>16</v>
      </c>
      <c r="F66" s="334">
        <v>593350</v>
      </c>
    </row>
    <row r="67" spans="1:6">
      <c r="A67" s="355" t="s">
        <v>56</v>
      </c>
      <c r="B67" s="355" t="s">
        <v>59</v>
      </c>
      <c r="C67" s="334">
        <v>0</v>
      </c>
      <c r="D67" s="334">
        <v>0</v>
      </c>
      <c r="E67" s="334">
        <v>0</v>
      </c>
      <c r="F67" s="334">
        <v>0</v>
      </c>
    </row>
    <row r="68" spans="1:6">
      <c r="A68" s="341" t="s">
        <v>56</v>
      </c>
      <c r="B68" s="341" t="s">
        <v>60</v>
      </c>
      <c r="C68" s="334">
        <v>3</v>
      </c>
      <c r="D68" s="334">
        <v>44666.547632404203</v>
      </c>
      <c r="E68" s="334">
        <v>20</v>
      </c>
      <c r="F68" s="334">
        <v>460072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63495528</v>
      </c>
      <c r="E73" s="477">
        <v>86673469.377184808</v>
      </c>
    </row>
    <row r="74" spans="1:6">
      <c r="A74" s="348" t="s">
        <v>64</v>
      </c>
      <c r="B74" s="348" t="s">
        <v>714</v>
      </c>
      <c r="C74" s="1288" t="s">
        <v>716</v>
      </c>
      <c r="D74" s="477">
        <v>4365112.0441180607</v>
      </c>
      <c r="E74" s="477">
        <v>5655540.0218653874</v>
      </c>
    </row>
    <row r="75" spans="1:6">
      <c r="A75" s="348" t="s">
        <v>65</v>
      </c>
      <c r="B75" s="348" t="s">
        <v>713</v>
      </c>
      <c r="C75" s="1288" t="s">
        <v>717</v>
      </c>
      <c r="D75" s="477">
        <v>21404635</v>
      </c>
      <c r="E75" s="477">
        <v>29627922.900965042</v>
      </c>
    </row>
    <row r="76" spans="1:6">
      <c r="A76" s="348" t="s">
        <v>65</v>
      </c>
      <c r="B76" s="348" t="s">
        <v>714</v>
      </c>
      <c r="C76" s="1288" t="s">
        <v>718</v>
      </c>
      <c r="D76" s="477">
        <v>948500.04411806096</v>
      </c>
      <c r="E76" s="477">
        <v>1284712.8698444942</v>
      </c>
    </row>
    <row r="77" spans="1:6">
      <c r="A77" s="348" t="s">
        <v>66</v>
      </c>
      <c r="B77" s="348" t="s">
        <v>713</v>
      </c>
      <c r="C77" s="1288" t="s">
        <v>719</v>
      </c>
      <c r="D77" s="477">
        <v>168375053</v>
      </c>
      <c r="E77" s="477">
        <v>177176236.44675717</v>
      </c>
    </row>
    <row r="78" spans="1:6">
      <c r="A78" s="341" t="s">
        <v>66</v>
      </c>
      <c r="B78" s="341" t="s">
        <v>714</v>
      </c>
      <c r="C78" s="341" t="s">
        <v>720</v>
      </c>
      <c r="D78" s="1284">
        <v>21926006</v>
      </c>
      <c r="E78" s="1284">
        <v>22543177.293795493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666235.91176387796</v>
      </c>
      <c r="C83" s="477">
        <v>662253.56129585998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4004.8131029851261</v>
      </c>
    </row>
    <row r="92" spans="1:6">
      <c r="A92" s="341" t="s">
        <v>69</v>
      </c>
      <c r="B92" s="342">
        <v>4025.6639835456663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3060</v>
      </c>
    </row>
    <row r="98" spans="1:6">
      <c r="A98" s="348" t="s">
        <v>72</v>
      </c>
      <c r="B98" s="334">
        <v>13</v>
      </c>
    </row>
    <row r="99" spans="1:6">
      <c r="A99" s="348" t="s">
        <v>73</v>
      </c>
      <c r="B99" s="334">
        <v>123</v>
      </c>
    </row>
    <row r="100" spans="1:6">
      <c r="A100" s="348" t="s">
        <v>74</v>
      </c>
      <c r="B100" s="334">
        <v>729</v>
      </c>
    </row>
    <row r="101" spans="1:6">
      <c r="A101" s="348" t="s">
        <v>75</v>
      </c>
      <c r="B101" s="334">
        <v>87</v>
      </c>
    </row>
    <row r="102" spans="1:6">
      <c r="A102" s="348" t="s">
        <v>76</v>
      </c>
      <c r="B102" s="334">
        <v>90</v>
      </c>
    </row>
    <row r="103" spans="1:6">
      <c r="A103" s="348" t="s">
        <v>77</v>
      </c>
      <c r="B103" s="334">
        <v>198</v>
      </c>
    </row>
    <row r="104" spans="1:6">
      <c r="A104" s="348" t="s">
        <v>78</v>
      </c>
      <c r="B104" s="334">
        <v>3490</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58</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66784.412089144113</v>
      </c>
      <c r="C3" s="43" t="s">
        <v>170</v>
      </c>
      <c r="D3" s="43"/>
      <c r="E3" s="154"/>
      <c r="F3" s="43"/>
      <c r="G3" s="43"/>
      <c r="H3" s="43"/>
      <c r="I3" s="43"/>
      <c r="J3" s="43"/>
      <c r="K3" s="96"/>
    </row>
    <row r="4" spans="1:11">
      <c r="A4" s="384" t="s">
        <v>171</v>
      </c>
      <c r="B4" s="49">
        <f>IF(ISERROR('SEAP template'!B69),0,'SEAP template'!B69)</f>
        <v>8030.4770865307928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0.19442590313209043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1785.3689999999999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1785.3689999999999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0.19442590313209043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347.12198024903716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39189.038999999997</v>
      </c>
      <c r="C5" s="17">
        <f>IF(ISERROR('Eigen informatie GS &amp; warmtenet'!B57),0,'Eigen informatie GS &amp; warmtenet'!B57)</f>
        <v>0</v>
      </c>
      <c r="D5" s="30">
        <f>(SUM(HH_hh_gas_kWh,HH_rest_gas_kWh)/1000)*0.902</f>
        <v>84600.220774888105</v>
      </c>
      <c r="E5" s="17">
        <f>B46*B57</f>
        <v>3946.2136342382519</v>
      </c>
      <c r="F5" s="17">
        <f>B51*B62</f>
        <v>28995.758800745265</v>
      </c>
      <c r="G5" s="18"/>
      <c r="H5" s="17"/>
      <c r="I5" s="17"/>
      <c r="J5" s="17">
        <f>B50*B61+C50*C61</f>
        <v>0</v>
      </c>
      <c r="K5" s="17"/>
      <c r="L5" s="17"/>
      <c r="M5" s="17"/>
      <c r="N5" s="17">
        <f>B48*B59+C48*C59</f>
        <v>10585.050162788546</v>
      </c>
      <c r="O5" s="17">
        <f>B69*B70*B71</f>
        <v>325.17333333333335</v>
      </c>
      <c r="P5" s="17">
        <f>B77*B78*B79/1000-B77*B78*B79/1000/B80</f>
        <v>686.4</v>
      </c>
    </row>
    <row r="6" spans="1:16">
      <c r="A6" s="16" t="s">
        <v>631</v>
      </c>
      <c r="B6" s="844">
        <f>kWh_PV_kleiner_dan_10kW</f>
        <v>4004.8131029851261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43193.852102985125</v>
      </c>
      <c r="C8" s="21">
        <f>C5</f>
        <v>0</v>
      </c>
      <c r="D8" s="21">
        <f>D5</f>
        <v>84600.220774888105</v>
      </c>
      <c r="E8" s="21">
        <f>E5</f>
        <v>3946.2136342382519</v>
      </c>
      <c r="F8" s="21">
        <f>F5</f>
        <v>28995.758800745265</v>
      </c>
      <c r="G8" s="21"/>
      <c r="H8" s="21"/>
      <c r="I8" s="21"/>
      <c r="J8" s="21">
        <f>J5</f>
        <v>0</v>
      </c>
      <c r="K8" s="21"/>
      <c r="L8" s="21">
        <f>L5</f>
        <v>0</v>
      </c>
      <c r="M8" s="21">
        <f>M5</f>
        <v>0</v>
      </c>
      <c r="N8" s="21">
        <f>N5</f>
        <v>10585.050162788546</v>
      </c>
      <c r="O8" s="21">
        <f>O5</f>
        <v>325.17333333333335</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0.19442590313209043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8398.0037048768263</v>
      </c>
      <c r="C12" s="23">
        <f ca="1">C10*C8</f>
        <v>0</v>
      </c>
      <c r="D12" s="23">
        <f>D8*D10</f>
        <v>17089.244596527398</v>
      </c>
      <c r="E12" s="23">
        <f>E10*E8</f>
        <v>895.79049497208325</v>
      </c>
      <c r="F12" s="23">
        <f>F10*F8</f>
        <v>7741.8675997989858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3060</v>
      </c>
      <c r="C18" s="166" t="s">
        <v>111</v>
      </c>
      <c r="D18" s="228"/>
      <c r="E18" s="15"/>
    </row>
    <row r="19" spans="1:7">
      <c r="A19" s="171" t="s">
        <v>72</v>
      </c>
      <c r="B19" s="37">
        <f>aantalw2001_ander</f>
        <v>13</v>
      </c>
      <c r="C19" s="166" t="s">
        <v>111</v>
      </c>
      <c r="D19" s="229"/>
      <c r="E19" s="15"/>
    </row>
    <row r="20" spans="1:7">
      <c r="A20" s="171" t="s">
        <v>73</v>
      </c>
      <c r="B20" s="37">
        <f>aantalw2001_propaan</f>
        <v>123</v>
      </c>
      <c r="C20" s="167">
        <f>IF(ISERROR(B20/SUM($B$20,$B$21,$B$22)*100),0,B20/SUM($B$20,$B$21,$B$22)*100)</f>
        <v>13.099041533546327</v>
      </c>
      <c r="D20" s="229"/>
      <c r="E20" s="15"/>
    </row>
    <row r="21" spans="1:7">
      <c r="A21" s="171" t="s">
        <v>74</v>
      </c>
      <c r="B21" s="37">
        <f>aantalw2001_elektriciteit</f>
        <v>729</v>
      </c>
      <c r="C21" s="167">
        <f>IF(ISERROR(B21/SUM($B$20,$B$21,$B$22)*100),0,B21/SUM($B$20,$B$21,$B$22)*100)</f>
        <v>77.635782747603827</v>
      </c>
      <c r="D21" s="229"/>
      <c r="E21" s="15"/>
    </row>
    <row r="22" spans="1:7">
      <c r="A22" s="171" t="s">
        <v>75</v>
      </c>
      <c r="B22" s="37">
        <f>aantalw2001_hout</f>
        <v>87</v>
      </c>
      <c r="C22" s="167">
        <f>IF(ISERROR(B22/SUM($B$20,$B$21,$B$22)*100),0,B22/SUM($B$20,$B$21,$B$22)*100)</f>
        <v>9.2651757188498394</v>
      </c>
      <c r="D22" s="229"/>
      <c r="E22" s="15"/>
    </row>
    <row r="23" spans="1:7">
      <c r="A23" s="171" t="s">
        <v>76</v>
      </c>
      <c r="B23" s="37">
        <f>aantalw2001_niet_gespec</f>
        <v>90</v>
      </c>
      <c r="C23" s="166" t="s">
        <v>111</v>
      </c>
      <c r="D23" s="228"/>
      <c r="E23" s="15"/>
    </row>
    <row r="24" spans="1:7">
      <c r="A24" s="171" t="s">
        <v>77</v>
      </c>
      <c r="B24" s="37">
        <f>aantalw2001_steenkool</f>
        <v>198</v>
      </c>
      <c r="C24" s="166" t="s">
        <v>111</v>
      </c>
      <c r="D24" s="229"/>
      <c r="E24" s="15"/>
    </row>
    <row r="25" spans="1:7">
      <c r="A25" s="171" t="s">
        <v>78</v>
      </c>
      <c r="B25" s="37">
        <f>aantalw2001_stookolie</f>
        <v>3490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8862</v>
      </c>
      <c r="C28" s="36"/>
      <c r="D28" s="228"/>
    </row>
    <row r="29" spans="1:7" s="15" customFormat="1">
      <c r="A29" s="230" t="s">
        <v>741</v>
      </c>
      <c r="B29" s="37">
        <f>SUM(HH_hh_gas_aantal,HH_rest_gas_aantal)</f>
        <v>5629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5629</v>
      </c>
      <c r="C32" s="167">
        <f>IF(ISERROR(B32/SUM($B$32,$B$34,$B$35,$B$36,$B$38,$B$39)*100),0,B32/SUM($B$32,$B$34,$B$35,$B$36,$B$38,$B$39)*100)</f>
        <v>63.777475640154094</v>
      </c>
      <c r="D32" s="233"/>
      <c r="G32" s="15"/>
    </row>
    <row r="33" spans="1:7">
      <c r="A33" s="171" t="s">
        <v>72</v>
      </c>
      <c r="B33" s="34" t="s">
        <v>111</v>
      </c>
      <c r="C33" s="167"/>
      <c r="D33" s="233"/>
      <c r="G33" s="15"/>
    </row>
    <row r="34" spans="1:7">
      <c r="A34" s="171" t="s">
        <v>73</v>
      </c>
      <c r="B34" s="33">
        <f>IF((($B$28-$B$32-$B$39-$B$77-$B$38)*C20/100)&lt;0,0,($B$28-$B$32-$B$39-$B$77-$B$38)*C20/100)</f>
        <v>264.4827476038339</v>
      </c>
      <c r="C34" s="167">
        <f>IF(ISERROR(B34/SUM($B$32,$B$34,$B$35,$B$36,$B$38,$B$39)*100),0,B34/SUM($B$32,$B$34,$B$35,$B$36,$B$38,$B$39)*100)</f>
        <v>2.9966320825270101</v>
      </c>
      <c r="D34" s="233"/>
      <c r="G34" s="15"/>
    </row>
    <row r="35" spans="1:7">
      <c r="A35" s="171" t="s">
        <v>74</v>
      </c>
      <c r="B35" s="33">
        <f>IF((($B$28-$B$32-$B$39-$B$77-$B$38)*C21/100)&lt;0,0,($B$28-$B$32-$B$39-$B$77-$B$38)*C21/100)</f>
        <v>1567.5440894568687</v>
      </c>
      <c r="C35" s="167">
        <f>IF(ISERROR(B35/SUM($B$32,$B$34,$B$35,$B$36,$B$38,$B$39)*100),0,B35/SUM($B$32,$B$34,$B$35,$B$36,$B$38,$B$39)*100)</f>
        <v>17.76052673302593</v>
      </c>
      <c r="D35" s="233"/>
      <c r="G35" s="15"/>
    </row>
    <row r="36" spans="1:7">
      <c r="A36" s="171" t="s">
        <v>75</v>
      </c>
      <c r="B36" s="33">
        <f>IF((($B$28-$B$32-$B$39-$B$77-$B$38)*C22/100)&lt;0,0,($B$28-$B$32-$B$39-$B$77-$B$38)*C22/100)</f>
        <v>187.07316293929711</v>
      </c>
      <c r="C36" s="167">
        <f>IF(ISERROR(B36/SUM($B$32,$B$34,$B$35,$B$36,$B$38,$B$39)*100),0,B36/SUM($B$32,$B$34,$B$35,$B$36,$B$38,$B$39)*100)</f>
        <v>2.1195690339825188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1177.9000000000001</v>
      </c>
      <c r="C39" s="167">
        <f>IF(ISERROR(B39/SUM($B$32,$B$34,$B$35,$B$36,$B$38,$B$39)*100),0,B39/SUM($B$32,$B$34,$B$35,$B$36,$B$38,$B$39)*100)</f>
        <v>13.345796510310448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5629</v>
      </c>
      <c r="C44" s="34" t="s">
        <v>111</v>
      </c>
      <c r="D44" s="174"/>
    </row>
    <row r="45" spans="1:7">
      <c r="A45" s="171" t="s">
        <v>72</v>
      </c>
      <c r="B45" s="33" t="str">
        <f t="shared" si="0"/>
        <v>-</v>
      </c>
      <c r="C45" s="34" t="s">
        <v>111</v>
      </c>
      <c r="D45" s="174"/>
    </row>
    <row r="46" spans="1:7">
      <c r="A46" s="171" t="s">
        <v>73</v>
      </c>
      <c r="B46" s="33">
        <f t="shared" si="0"/>
        <v>264.4827476038339</v>
      </c>
      <c r="C46" s="34" t="s">
        <v>111</v>
      </c>
      <c r="D46" s="174"/>
    </row>
    <row r="47" spans="1:7">
      <c r="A47" s="171" t="s">
        <v>74</v>
      </c>
      <c r="B47" s="33">
        <f t="shared" si="0"/>
        <v>1567.5440894568687</v>
      </c>
      <c r="C47" s="34" t="s">
        <v>111</v>
      </c>
      <c r="D47" s="174"/>
    </row>
    <row r="48" spans="1:7">
      <c r="A48" s="171" t="s">
        <v>75</v>
      </c>
      <c r="B48" s="33">
        <f t="shared" si="0"/>
        <v>187.07316293929711</v>
      </c>
      <c r="C48" s="33">
        <f>B48*10</f>
        <v>1870.7316293929712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1177.9000000000001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19524.461395999999</v>
      </c>
      <c r="C5" s="17">
        <f>IF(ISERROR('Eigen informatie GS &amp; warmtenet'!B58),0,'Eigen informatie GS &amp; warmtenet'!B58)</f>
        <v>0</v>
      </c>
      <c r="D5" s="30">
        <f>SUM(D6:D12)</f>
        <v>18017.614944826251</v>
      </c>
      <c r="E5" s="17">
        <f>SUM(E6:E12)</f>
        <v>195.71969096554795</v>
      </c>
      <c r="F5" s="17">
        <f>SUM(F6:F12)</f>
        <v>2908.3074098897123</v>
      </c>
      <c r="G5" s="18"/>
      <c r="H5" s="17"/>
      <c r="I5" s="17"/>
      <c r="J5" s="17">
        <f>SUM(J6:J12)</f>
        <v>0</v>
      </c>
      <c r="K5" s="17"/>
      <c r="L5" s="17"/>
      <c r="M5" s="17"/>
      <c r="N5" s="17">
        <f>SUM(N6:N12)</f>
        <v>2034.3909389365197</v>
      </c>
      <c r="O5" s="17">
        <f>B38*B39*B40</f>
        <v>1.5633333333333335</v>
      </c>
      <c r="P5" s="17">
        <f>B46*B47*B48/1000-B46*B47*B48/1000/B49</f>
        <v>19.066666666666666</v>
      </c>
      <c r="R5" s="32"/>
    </row>
    <row r="6" spans="1:18">
      <c r="A6" s="32" t="s">
        <v>54</v>
      </c>
      <c r="B6" s="37">
        <f>B26</f>
        <v>3193.569</v>
      </c>
      <c r="C6" s="33"/>
      <c r="D6" s="37">
        <f>IF(ISERROR(TER_kantoor_gas_kWh/1000),0,TER_kantoor_gas_kWh/1000)*0.902</f>
        <v>5327.3723750583131</v>
      </c>
      <c r="E6" s="33">
        <f>$C$26*'E Balans VL '!I12/100/3.6*1000000</f>
        <v>9.2522379560110668</v>
      </c>
      <c r="F6" s="33">
        <f>$C$26*('E Balans VL '!L12+'E Balans VL '!N12)/100/3.6*1000000</f>
        <v>361.44165101977126</v>
      </c>
      <c r="G6" s="34"/>
      <c r="H6" s="33"/>
      <c r="I6" s="33"/>
      <c r="J6" s="33">
        <f>$C$26*('E Balans VL '!D12+'E Balans VL '!E12)/100/3.6*1000000</f>
        <v>0</v>
      </c>
      <c r="K6" s="33"/>
      <c r="L6" s="33"/>
      <c r="M6" s="33"/>
      <c r="N6" s="33">
        <f>$C$26*'E Balans VL '!Y12/100/3.6*1000000</f>
        <v>31.96527256329659</v>
      </c>
      <c r="O6" s="33"/>
      <c r="P6" s="33"/>
      <c r="R6" s="32"/>
    </row>
    <row r="7" spans="1:18">
      <c r="A7" s="32" t="s">
        <v>53</v>
      </c>
      <c r="B7" s="37">
        <f t="shared" ref="B7:B12" si="0">B27</f>
        <v>1311.42</v>
      </c>
      <c r="C7" s="33"/>
      <c r="D7" s="37">
        <f>IF(ISERROR(TER_horeca_gas_kWh/1000),0,TER_horeca_gas_kWh/1000)*0.902</f>
        <v>1841.6175081602178</v>
      </c>
      <c r="E7" s="33">
        <f>$C$27*'E Balans VL '!I9/100/3.6*1000000</f>
        <v>55.049747564935366</v>
      </c>
      <c r="F7" s="33">
        <f>$C$27*('E Balans VL '!L9+'E Balans VL '!N9)/100/3.6*1000000</f>
        <v>281.78548019998084</v>
      </c>
      <c r="G7" s="34"/>
      <c r="H7" s="33"/>
      <c r="I7" s="33"/>
      <c r="J7" s="33">
        <f>$C$27*('E Balans VL '!D9+'E Balans VL '!E9)/100/3.6*1000000</f>
        <v>0</v>
      </c>
      <c r="K7" s="33"/>
      <c r="L7" s="33"/>
      <c r="M7" s="33"/>
      <c r="N7" s="33">
        <f>$C$27*'E Balans VL '!Y9/100/3.6*1000000</f>
        <v>0.33794146521604329</v>
      </c>
      <c r="O7" s="33"/>
      <c r="P7" s="33"/>
      <c r="R7" s="32"/>
    </row>
    <row r="8" spans="1:18">
      <c r="A8" s="6" t="s">
        <v>52</v>
      </c>
      <c r="B8" s="37">
        <f t="shared" si="0"/>
        <v>4008.4160000000002</v>
      </c>
      <c r="C8" s="33"/>
      <c r="D8" s="37">
        <f>IF(ISERROR(TER_handel_gas_kWh/1000),0,TER_handel_gas_kWh/1000)*0.902</f>
        <v>843.00170566254121</v>
      </c>
      <c r="E8" s="33">
        <f>$C$28*'E Balans VL '!I13/100/3.6*1000000</f>
        <v>43.053723949802574</v>
      </c>
      <c r="F8" s="33">
        <f>$C$28*('E Balans VL '!L13+'E Balans VL '!N13)/100/3.6*1000000</f>
        <v>518.92255201696139</v>
      </c>
      <c r="G8" s="34"/>
      <c r="H8" s="33"/>
      <c r="I8" s="33"/>
      <c r="J8" s="33">
        <f>$C$28*('E Balans VL '!D13+'E Balans VL '!E13)/100/3.6*1000000</f>
        <v>0</v>
      </c>
      <c r="K8" s="33"/>
      <c r="L8" s="33"/>
      <c r="M8" s="33"/>
      <c r="N8" s="33">
        <f>$C$28*'E Balans VL '!Y13/100/3.6*1000000</f>
        <v>32.516489461029927</v>
      </c>
      <c r="O8" s="33"/>
      <c r="P8" s="33"/>
      <c r="R8" s="32"/>
    </row>
    <row r="9" spans="1:18">
      <c r="A9" s="32" t="s">
        <v>51</v>
      </c>
      <c r="B9" s="37">
        <f t="shared" si="0"/>
        <v>206.18899999999999</v>
      </c>
      <c r="C9" s="33"/>
      <c r="D9" s="37">
        <f>IF(ISERROR(TER_gezond_gas_kWh/1000),0,TER_gezond_gas_kWh/1000)*0.902</f>
        <v>169.7315111024553</v>
      </c>
      <c r="E9" s="33">
        <f>$C$29*'E Balans VL '!I10/100/3.6*1000000</f>
        <v>0.16413977994723944</v>
      </c>
      <c r="F9" s="33">
        <f>$C$29*('E Balans VL '!L10+'E Balans VL '!N10)/100/3.6*1000000</f>
        <v>25.065252649432733</v>
      </c>
      <c r="G9" s="34"/>
      <c r="H9" s="33"/>
      <c r="I9" s="33"/>
      <c r="J9" s="33">
        <f>$C$29*('E Balans VL '!D10+'E Balans VL '!E10)/100/3.6*1000000</f>
        <v>0</v>
      </c>
      <c r="K9" s="33"/>
      <c r="L9" s="33"/>
      <c r="M9" s="33"/>
      <c r="N9" s="33">
        <f>$C$29*'E Balans VL '!Y10/100/3.6*1000000</f>
        <v>1.665540115813593</v>
      </c>
      <c r="O9" s="33"/>
      <c r="P9" s="33"/>
      <c r="R9" s="32"/>
    </row>
    <row r="10" spans="1:18">
      <c r="A10" s="32" t="s">
        <v>50</v>
      </c>
      <c r="B10" s="37">
        <f t="shared" si="0"/>
        <v>1690.136</v>
      </c>
      <c r="C10" s="33"/>
      <c r="D10" s="37">
        <f>IF(ISERROR(TER_ander_gas_kWh/1000),0,TER_ander_gas_kWh/1000)*0.902</f>
        <v>1713.9052448857553</v>
      </c>
      <c r="E10" s="33">
        <f>$C$30*'E Balans VL '!I14/100/3.6*1000000</f>
        <v>5.7921848603640189</v>
      </c>
      <c r="F10" s="33">
        <f>$C$30*('E Balans VL '!L14+'E Balans VL '!N14)/100/3.6*1000000</f>
        <v>377.50770336311035</v>
      </c>
      <c r="G10" s="34"/>
      <c r="H10" s="33"/>
      <c r="I10" s="33"/>
      <c r="J10" s="33">
        <f>$C$30*('E Balans VL '!D14+'E Balans VL '!E14)/100/3.6*1000000</f>
        <v>0</v>
      </c>
      <c r="K10" s="33"/>
      <c r="L10" s="33"/>
      <c r="M10" s="33"/>
      <c r="N10" s="33">
        <f>$C$30*'E Balans VL '!Y14/100/3.6*1000000</f>
        <v>1190.5410314324872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9114.7313959999992</v>
      </c>
      <c r="C12" s="33"/>
      <c r="D12" s="37">
        <f>IF(ISERROR(TER_rest_gas_kWh/1000),0,TER_rest_gas_kWh/1000)*0.902</f>
        <v>8121.9865999569665</v>
      </c>
      <c r="E12" s="33">
        <f>$C$32*'E Balans VL '!I8/100/3.6*1000000</f>
        <v>82.407656854487684</v>
      </c>
      <c r="F12" s="33">
        <f>$C$32*('E Balans VL '!L8+'E Balans VL '!N8)/100/3.6*1000000</f>
        <v>1343.5847706404559</v>
      </c>
      <c r="G12" s="34"/>
      <c r="H12" s="33"/>
      <c r="I12" s="33"/>
      <c r="J12" s="33">
        <f>$C$32*('E Balans VL '!D8+'E Balans VL '!E8)/100/3.6*1000000</f>
        <v>0</v>
      </c>
      <c r="K12" s="33"/>
      <c r="L12" s="33"/>
      <c r="M12" s="33"/>
      <c r="N12" s="33">
        <f>$C$32*'E Balans VL '!Y8/100/3.6*1000000</f>
        <v>777.36466389867633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19524.461395999999</v>
      </c>
      <c r="C16" s="21">
        <f t="shared" ca="1" si="1"/>
        <v>0</v>
      </c>
      <c r="D16" s="21">
        <f t="shared" ca="1" si="1"/>
        <v>18017.614944826251</v>
      </c>
      <c r="E16" s="21">
        <f t="shared" si="1"/>
        <v>195.71969096554795</v>
      </c>
      <c r="F16" s="21">
        <f t="shared" ca="1" si="1"/>
        <v>2908.3074098897123</v>
      </c>
      <c r="G16" s="21">
        <f t="shared" si="1"/>
        <v>0</v>
      </c>
      <c r="H16" s="21">
        <f t="shared" si="1"/>
        <v>0</v>
      </c>
      <c r="I16" s="21">
        <f t="shared" si="1"/>
        <v>0</v>
      </c>
      <c r="J16" s="21">
        <f t="shared" si="1"/>
        <v>0</v>
      </c>
      <c r="K16" s="21">
        <f t="shared" si="1"/>
        <v>0</v>
      </c>
      <c r="L16" s="21">
        <f t="shared" ca="1" si="1"/>
        <v>0</v>
      </c>
      <c r="M16" s="21">
        <f t="shared" si="1"/>
        <v>0</v>
      </c>
      <c r="N16" s="21">
        <f t="shared" ca="1" si="1"/>
        <v>2034.3909389365197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0.19442590313209043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3796.061040084935</v>
      </c>
      <c r="C20" s="23">
        <f t="shared" ref="C20:P20" ca="1" si="2">C16*C18</f>
        <v>0</v>
      </c>
      <c r="D20" s="23">
        <f t="shared" ca="1" si="2"/>
        <v>3639.5582188549029</v>
      </c>
      <c r="E20" s="23">
        <f t="shared" si="2"/>
        <v>44.42836984917939</v>
      </c>
      <c r="F20" s="23">
        <f t="shared" ca="1" si="2"/>
        <v>776.51807844055327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3193.569</v>
      </c>
      <c r="C26" s="39">
        <f>IF(ISERROR(B26*3.6/1000000/'E Balans VL '!Z12*100),0,B26*3.6/1000000/'E Balans VL '!Z12*100)</f>
        <v>7.0150435220484267E-2</v>
      </c>
      <c r="D26" s="237" t="s">
        <v>692</v>
      </c>
      <c r="F26" s="6"/>
    </row>
    <row r="27" spans="1:18">
      <c r="A27" s="231" t="s">
        <v>53</v>
      </c>
      <c r="B27" s="33">
        <f>IF(ISERROR(TER_horeca_ele_kWh/1000),0,TER_horeca_ele_kWh/1000)</f>
        <v>1311.42</v>
      </c>
      <c r="C27" s="39">
        <f>IF(ISERROR(B27*3.6/1000000/'E Balans VL '!Z9*100),0,B27*3.6/1000000/'E Balans VL '!Z9*100)</f>
        <v>0.10538566938895902</v>
      </c>
      <c r="D27" s="237" t="s">
        <v>692</v>
      </c>
      <c r="F27" s="6"/>
    </row>
    <row r="28" spans="1:18">
      <c r="A28" s="171" t="s">
        <v>52</v>
      </c>
      <c r="B28" s="33">
        <f>IF(ISERROR(TER_handel_ele_kWh/1000),0,TER_handel_ele_kWh/1000)</f>
        <v>4008.4160000000002</v>
      </c>
      <c r="C28" s="39">
        <f>IF(ISERROR(B28*3.6/1000000/'E Balans VL '!Z13*100),0,B28*3.6/1000000/'E Balans VL '!Z13*100)</f>
        <v>0.1185260607817849</v>
      </c>
      <c r="D28" s="237" t="s">
        <v>692</v>
      </c>
      <c r="F28" s="6"/>
    </row>
    <row r="29" spans="1:18">
      <c r="A29" s="231" t="s">
        <v>51</v>
      </c>
      <c r="B29" s="33">
        <f>IF(ISERROR(TER_gezond_ele_kWh/1000),0,TER_gezond_ele_kWh/1000)</f>
        <v>206.18899999999999</v>
      </c>
      <c r="C29" s="39">
        <f>IF(ISERROR(B29*3.6/1000000/'E Balans VL '!Z10*100),0,B29*3.6/1000000/'E Balans VL '!Z10*100)</f>
        <v>2.3232176969272791E-2</v>
      </c>
      <c r="D29" s="237" t="s">
        <v>692</v>
      </c>
      <c r="F29" s="6"/>
    </row>
    <row r="30" spans="1:18">
      <c r="A30" s="231" t="s">
        <v>50</v>
      </c>
      <c r="B30" s="33">
        <f>IF(ISERROR(TER_ander_ele_kWh/1000),0,TER_ander_ele_kWh/1000)</f>
        <v>1690.136</v>
      </c>
      <c r="C30" s="39">
        <f>IF(ISERROR(B30*3.6/1000000/'E Balans VL '!Z14*100),0,B30*3.6/1000000/'E Balans VL '!Z14*100)</f>
        <v>0.12782209652301141</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9114.7313959999992</v>
      </c>
      <c r="C32" s="39">
        <f>IF(ISERROR(B32*3.6/1000000/'E Balans VL '!Z8*100),0,B32*3.6/1000000/'E Balans VL '!Z8*100)</f>
        <v>7.6786249996402448E-2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1863.3877</v>
      </c>
      <c r="C5" s="17">
        <f>IF(ISERROR('Eigen informatie GS &amp; warmtenet'!B59),0,'Eigen informatie GS &amp; warmtenet'!B59)</f>
        <v>0</v>
      </c>
      <c r="D5" s="30">
        <f>SUM(D6:D15)</f>
        <v>1298.0850180096036</v>
      </c>
      <c r="E5" s="17">
        <f>SUM(E6:E15)</f>
        <v>211.47649189861971</v>
      </c>
      <c r="F5" s="17">
        <f>SUM(F6:F15)</f>
        <v>1248.34705260026</v>
      </c>
      <c r="G5" s="18"/>
      <c r="H5" s="17"/>
      <c r="I5" s="17"/>
      <c r="J5" s="17">
        <f>SUM(J6:J15)</f>
        <v>10.624993555700733</v>
      </c>
      <c r="K5" s="17"/>
      <c r="L5" s="17"/>
      <c r="M5" s="17"/>
      <c r="N5" s="17">
        <f>SUM(N6:N15)</f>
        <v>509.86962896876719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116.60639999999999</v>
      </c>
      <c r="C8" s="33"/>
      <c r="D8" s="37">
        <f>IF( ISERROR(IND_metaal_Gas_kWH/1000),0,IND_metaal_Gas_kWH/1000)*0.902</f>
        <v>0</v>
      </c>
      <c r="E8" s="33">
        <f>C30*'E Balans VL '!I18/100/3.6*1000000</f>
        <v>2.9182500783432639</v>
      </c>
      <c r="F8" s="33">
        <f>C30*'E Balans VL '!L18/100/3.6*1000000+C30*'E Balans VL '!N18/100/3.6*1000000</f>
        <v>36.545025790063356</v>
      </c>
      <c r="G8" s="34"/>
      <c r="H8" s="33"/>
      <c r="I8" s="33"/>
      <c r="J8" s="40">
        <f>C30*'E Balans VL '!D18/100/3.6*1000000+C30*'E Balans VL '!E18/100/3.6*1000000</f>
        <v>0</v>
      </c>
      <c r="K8" s="33"/>
      <c r="L8" s="33"/>
      <c r="M8" s="33"/>
      <c r="N8" s="33">
        <f>C30*'E Balans VL '!Y18/100/3.6*1000000</f>
        <v>2.9294553879966672</v>
      </c>
      <c r="O8" s="33"/>
      <c r="P8" s="33"/>
      <c r="R8" s="32"/>
    </row>
    <row r="9" spans="1:18">
      <c r="A9" s="6" t="s">
        <v>33</v>
      </c>
      <c r="B9" s="37">
        <f t="shared" si="0"/>
        <v>587.11719999999991</v>
      </c>
      <c r="C9" s="33"/>
      <c r="D9" s="37">
        <f>IF( ISERROR(IND_andere_gas_kWh/1000),0,IND_andere_gas_kWh/1000)*0.902</f>
        <v>474.92654291521029</v>
      </c>
      <c r="E9" s="33">
        <f>C31*'E Balans VL '!I19/100/3.6*1000000</f>
        <v>161.43314935540167</v>
      </c>
      <c r="F9" s="33">
        <f>C31*'E Balans VL '!L19/100/3.6*1000000+C31*'E Balans VL '!N19/100/3.6*1000000</f>
        <v>462.75051932809072</v>
      </c>
      <c r="G9" s="34"/>
      <c r="H9" s="33"/>
      <c r="I9" s="33"/>
      <c r="J9" s="40">
        <f>C31*'E Balans VL '!D19/100/3.6*1000000+C31*'E Balans VL '!E19/100/3.6*1000000</f>
        <v>0</v>
      </c>
      <c r="K9" s="33"/>
      <c r="L9" s="33"/>
      <c r="M9" s="33"/>
      <c r="N9" s="33">
        <f>C31*'E Balans VL '!Y19/100/3.6*1000000</f>
        <v>190.06533494077487</v>
      </c>
      <c r="O9" s="33"/>
      <c r="P9" s="33"/>
      <c r="R9" s="32"/>
    </row>
    <row r="10" spans="1:18">
      <c r="A10" s="6" t="s">
        <v>41</v>
      </c>
      <c r="B10" s="37">
        <f t="shared" si="0"/>
        <v>291.81459999999998</v>
      </c>
      <c r="C10" s="33"/>
      <c r="D10" s="37">
        <f>IF( ISERROR(IND_voed_gas_kWh/1000),0,IND_voed_gas_kWh/1000)*0.902</f>
        <v>177.3079523081407</v>
      </c>
      <c r="E10" s="33">
        <f>C32*'E Balans VL '!I20/100/3.6*1000000</f>
        <v>2.9748890854195502</v>
      </c>
      <c r="F10" s="33">
        <f>C32*'E Balans VL '!L20/100/3.6*1000000+C32*'E Balans VL '!N20/100/3.6*1000000</f>
        <v>551.23595427585781</v>
      </c>
      <c r="G10" s="34"/>
      <c r="H10" s="33"/>
      <c r="I10" s="33"/>
      <c r="J10" s="40">
        <f>C32*'E Balans VL '!D20/100/3.6*1000000+C32*'E Balans VL '!E20/100/3.6*1000000</f>
        <v>6.9840781996940553</v>
      </c>
      <c r="K10" s="33"/>
      <c r="L10" s="33"/>
      <c r="M10" s="33"/>
      <c r="N10" s="33">
        <f>C32*'E Balans VL '!Y20/100/3.6*1000000</f>
        <v>153.81990712018384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867.84950000000003</v>
      </c>
      <c r="C15" s="33"/>
      <c r="D15" s="37">
        <f>IF( ISERROR(IND_rest_gas_kWh/1000),0,IND_rest_gas_kWh/1000)*0.902</f>
        <v>645.85052278625267</v>
      </c>
      <c r="E15" s="33">
        <f>C37*'E Balans VL '!I15/100/3.6*1000000</f>
        <v>44.150203379455206</v>
      </c>
      <c r="F15" s="33">
        <f>C37*'E Balans VL '!L15/100/3.6*1000000+C37*'E Balans VL '!N15/100/3.6*1000000</f>
        <v>197.81555320624807</v>
      </c>
      <c r="G15" s="34"/>
      <c r="H15" s="33"/>
      <c r="I15" s="33"/>
      <c r="J15" s="40">
        <f>C37*'E Balans VL '!D15/100/3.6*1000000+C37*'E Balans VL '!E15/100/3.6*1000000</f>
        <v>3.6409153560066772</v>
      </c>
      <c r="K15" s="33"/>
      <c r="L15" s="33"/>
      <c r="M15" s="33"/>
      <c r="N15" s="33">
        <f>C37*'E Balans VL '!Y15/100/3.6*1000000</f>
        <v>163.05493151981184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1863.3877</v>
      </c>
      <c r="C18" s="21">
        <f>C5+C16</f>
        <v>0</v>
      </c>
      <c r="D18" s="21">
        <f>MAX((D5+D16),0)</f>
        <v>1298.0850180096036</v>
      </c>
      <c r="E18" s="21">
        <f>MAX((E5+E16),0)</f>
        <v>211.47649189861971</v>
      </c>
      <c r="F18" s="21">
        <f>MAX((F5+F16),0)</f>
        <v>1248.34705260026</v>
      </c>
      <c r="G18" s="21"/>
      <c r="H18" s="21"/>
      <c r="I18" s="21"/>
      <c r="J18" s="21">
        <f>MAX((J5+J16),0)</f>
        <v>10.624993555700733</v>
      </c>
      <c r="K18" s="21"/>
      <c r="L18" s="21">
        <f>MAX((L5+L16),0)</f>
        <v>0</v>
      </c>
      <c r="M18" s="21"/>
      <c r="N18" s="21">
        <f>MAX((N5+N16),0)</f>
        <v>509.86962896876719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0.19442590313209043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362.2908364577288</v>
      </c>
      <c r="C22" s="23">
        <f ca="1">C18*C20</f>
        <v>0</v>
      </c>
      <c r="D22" s="23">
        <f>D18*D20</f>
        <v>262.21317363793992</v>
      </c>
      <c r="E22" s="23">
        <f>E18*E20</f>
        <v>48.005163660986675</v>
      </c>
      <c r="F22" s="23">
        <f>F18*F20</f>
        <v>333.30866304426945</v>
      </c>
      <c r="G22" s="23"/>
      <c r="H22" s="23"/>
      <c r="I22" s="23"/>
      <c r="J22" s="23">
        <f>J18*J20</f>
        <v>3.7612477187180593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116.60639999999999</v>
      </c>
      <c r="C30" s="39">
        <f>IF(ISERROR(B30*3.6/1000000/'E Balans VL '!Z18*100),0,B30*3.6/1000000/'E Balans VL '!Z18*100)</f>
        <v>1.6321010048790708E-2</v>
      </c>
      <c r="D30" s="237" t="s">
        <v>692</v>
      </c>
    </row>
    <row r="31" spans="1:18">
      <c r="A31" s="6" t="s">
        <v>33</v>
      </c>
      <c r="B31" s="37">
        <f>IF( ISERROR(IND_ander_ele_kWh/1000),0,IND_ander_ele_kWh/1000)</f>
        <v>587.11719999999991</v>
      </c>
      <c r="C31" s="39">
        <f>IF(ISERROR(B31*3.6/1000000/'E Balans VL '!Z19*100),0,B31*3.6/1000000/'E Balans VL '!Z19*100)</f>
        <v>2.5698024600058433E-2</v>
      </c>
      <c r="D31" s="237" t="s">
        <v>692</v>
      </c>
    </row>
    <row r="32" spans="1:18">
      <c r="A32" s="171" t="s">
        <v>41</v>
      </c>
      <c r="B32" s="37">
        <f>IF( ISERROR(IND_voed_ele_kWh/1000),0,IND_voed_ele_kWh/1000)</f>
        <v>291.81459999999998</v>
      </c>
      <c r="C32" s="39">
        <f>IF(ISERROR(B32*3.6/1000000/'E Balans VL '!Z20*100),0,B32*3.6/1000000/'E Balans VL '!Z20*100)</f>
        <v>7.224360427513167E-2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867.84950000000003</v>
      </c>
      <c r="C37" s="39">
        <f>IF(ISERROR(B37*3.6/1000000/'E Balans VL '!Z15*100),0,B37*3.6/1000000/'E Balans VL '!Z15*100)</f>
        <v>6.4349554603781332E-3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382.62963000000002</v>
      </c>
      <c r="C5" s="17">
        <f>'Eigen informatie GS &amp; warmtenet'!B60</f>
        <v>0</v>
      </c>
      <c r="D5" s="30">
        <f>IF(ISERROR(SUM(LB_lb_gas_kWh,LB_rest_gas_kWh,onbekend_gas_kWh)/1000),0,SUM(LB_lb_gas_kWh,LB_rest_gas_kWh,onbekend_gas_kWh)/1000)*0.902</f>
        <v>2326.531307047117</v>
      </c>
      <c r="E5" s="17">
        <f>B17*'E Balans VL '!I25/3.6*1000000/100</f>
        <v>3.5440758930804526</v>
      </c>
      <c r="F5" s="17">
        <f>B17*('E Balans VL '!L25/3.6*1000000+'E Balans VL '!N25/3.6*1000000)/100</f>
        <v>970.80426217971296</v>
      </c>
      <c r="G5" s="18"/>
      <c r="H5" s="17"/>
      <c r="I5" s="17"/>
      <c r="J5" s="17">
        <f>('E Balans VL '!D25+'E Balans VL '!E25)/3.6*1000000*landbouw!B17/100</f>
        <v>58.661392438133674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382.62963000000002</v>
      </c>
      <c r="C8" s="21">
        <f>C5+C6</f>
        <v>0</v>
      </c>
      <c r="D8" s="21">
        <f>MAX((D5+D6),0)</f>
        <v>2326.531307047117</v>
      </c>
      <c r="E8" s="21">
        <f>MAX((E5+E6),0)</f>
        <v>3.5440758930804526</v>
      </c>
      <c r="F8" s="21">
        <f>MAX((F5+F6),0)</f>
        <v>970.80426217971296</v>
      </c>
      <c r="G8" s="21"/>
      <c r="H8" s="21"/>
      <c r="I8" s="21"/>
      <c r="J8" s="21">
        <f>MAX((J5+J6),0)</f>
        <v>58.661392438133674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0.19442590313209043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74.393111377847603</v>
      </c>
      <c r="C12" s="23">
        <f ca="1">C8*C10</f>
        <v>0</v>
      </c>
      <c r="D12" s="23">
        <f>D8*D10</f>
        <v>469.95932402351769</v>
      </c>
      <c r="E12" s="23">
        <f>E8*E10</f>
        <v>0.80450522772926281</v>
      </c>
      <c r="F12" s="23">
        <f>F8*F10</f>
        <v>259.2047380019834</v>
      </c>
      <c r="G12" s="23"/>
      <c r="H12" s="23"/>
      <c r="I12" s="23"/>
      <c r="J12" s="23">
        <f>J8*J10</f>
        <v>20.76613292309932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5.4401820235493482E-2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121.18714422523414</v>
      </c>
      <c r="C26" s="247">
        <f>B26*'GWP N2O_CH4'!B5</f>
        <v>2544.930028729917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16.113785690594302</v>
      </c>
      <c r="C27" s="247">
        <f>B27*'GWP N2O_CH4'!B5</f>
        <v>338.38949950248036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1.6933366269239694</v>
      </c>
      <c r="C28" s="247">
        <f>B28*'GWP N2O_CH4'!B4</f>
        <v>524.9343543464305</v>
      </c>
      <c r="D28" s="50"/>
    </row>
    <row r="29" spans="1:4">
      <c r="A29" s="41" t="s">
        <v>277</v>
      </c>
      <c r="B29" s="247">
        <f>B34*'ha_N2O bodem landbouw'!B4</f>
        <v>11.710403464085609</v>
      </c>
      <c r="C29" s="247">
        <f>B29*'GWP N2O_CH4'!B4</f>
        <v>3630.2250738665384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2.6264371911820599E-3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1.2496413657239074E-4</v>
      </c>
      <c r="C5" s="464" t="s">
        <v>211</v>
      </c>
      <c r="D5" s="449">
        <f>SUM(D6:D11)</f>
        <v>3.171546894849155E-4</v>
      </c>
      <c r="E5" s="449">
        <f>SUM(E6:E11)</f>
        <v>2.3671393822713746E-3</v>
      </c>
      <c r="F5" s="462" t="s">
        <v>211</v>
      </c>
      <c r="G5" s="449">
        <f>SUM(G6:G11)</f>
        <v>0.70169943985864891</v>
      </c>
      <c r="H5" s="449">
        <f>SUM(H6:H11)</f>
        <v>0.12369226265055751</v>
      </c>
      <c r="I5" s="464" t="s">
        <v>211</v>
      </c>
      <c r="J5" s="464" t="s">
        <v>211</v>
      </c>
      <c r="K5" s="464" t="s">
        <v>211</v>
      </c>
      <c r="L5" s="464" t="s">
        <v>211</v>
      </c>
      <c r="M5" s="449">
        <f>SUM(M6:M11)</f>
        <v>4.4397811254299833E-2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3.1328228470361115E-5</v>
      </c>
      <c r="C6" s="450"/>
      <c r="D6" s="963">
        <f>vkm_2011_GW_PW*SUMIFS(TableVerdeelsleutelVkm[CNG],TableVerdeelsleutelVkm[Voertuigtype],"Lichte voertuigen")*SUMIFS(TableECFTransport[EnergieConsumptieFactor (PJ per km)],TableECFTransport[Index],CONCATENATE($A6,"_CNG_CNG"))</f>
        <v>7.2465641547022149E-5</v>
      </c>
      <c r="E6" s="963">
        <f>vkm_2011_GW_PW*SUMIFS(TableVerdeelsleutelVkm[LPG],TableVerdeelsleutelVkm[Voertuigtype],"Lichte voertuigen")*SUMIFS(TableECFTransport[EnergieConsumptieFactor (PJ per km)],TableECFTransport[Index],CONCATENATE($A6,"_LPG_LPG"))</f>
        <v>4.7185249697904741E-4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9.8023865355265943E-2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2.7630901919948728E-2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6.520831035839318E-3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4.0721451352742404E-2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1.3925996826632058E-5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2.3559667804173207E-3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1.0560890140242442E-5</v>
      </c>
      <c r="C8" s="450"/>
      <c r="D8" s="452">
        <f>vkm_2011_NGW_PW*SUMIFS(TableVerdeelsleutelVkm[CNG],TableVerdeelsleutelVkm[Voertuigtype],"Lichte voertuigen")*SUMIFS(TableECFTransport[EnergieConsumptieFactor (PJ per km)],TableECFTransport[Index],CONCATENATE($A8,"_CNG_CNG"))</f>
        <v>4.3206880249102429E-5</v>
      </c>
      <c r="E8" s="452">
        <f>vkm_2011_NGW_PW*SUMIFS(TableVerdeelsleutelVkm[LPG],TableVerdeelsleutelVkm[Voertuigtype],"Lichte voertuigen")*SUMIFS(TableECFTransport[EnergieConsumptieFactor (PJ per km)],TableECFTransport[Index],CONCATENATE($A8,"_LPG_LPG"))</f>
        <v>2.5964488489968902E-4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5.0422655212430355E-2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1.5929810371389644E-2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3.4071102409015033E-3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1.1288244242426096E-2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3.6527443436508112E-6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6.5308252212997709E-4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8.3075017961787182E-5</v>
      </c>
      <c r="C10" s="450"/>
      <c r="D10" s="452">
        <f>vkm_2011_SW_PW*SUMIFS(TableVerdeelsleutelVkm[CNG],TableVerdeelsleutelVkm[Voertuigtype],"Lichte voertuigen")*SUMIFS(TableECFTransport[EnergieConsumptieFactor (PJ per km)],TableECFTransport[Index],CONCATENATE($A10,"_CNG_CNG"))</f>
        <v>2.0148216768879089E-4</v>
      </c>
      <c r="E10" s="452">
        <f>vkm_2011_SW_PW*SUMIFS(TableVerdeelsleutelVkm[LPG],TableVerdeelsleutelVkm[Voertuigtype],"Lichte voertuigen")*SUMIFS(TableECFTransport[EnergieConsumptieFactor (PJ per km)],TableECFTransport[Index],CONCATENATE($A10,"_LPG_LPG"))</f>
        <v>1.6356420003926383E-3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0.305912017419675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8.00419799066934E-2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2.0159643367339254E-2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0.19533120627610906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7.1991711355447551E-5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1.1301177307672461E-2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34.712260158997431</v>
      </c>
      <c r="C14" s="21"/>
      <c r="D14" s="21">
        <f t="shared" ref="D14:M14" si="0">((D5)*10^9/3600)+D12</f>
        <v>88.098524856920974</v>
      </c>
      <c r="E14" s="21">
        <f t="shared" si="0"/>
        <v>657.53871729760408</v>
      </c>
      <c r="F14" s="21"/>
      <c r="G14" s="21">
        <f t="shared" si="0"/>
        <v>194916.51107184691</v>
      </c>
      <c r="H14" s="21">
        <f t="shared" si="0"/>
        <v>34358.961847377082</v>
      </c>
      <c r="I14" s="21"/>
      <c r="J14" s="21"/>
      <c r="K14" s="21"/>
      <c r="L14" s="21"/>
      <c r="M14" s="21">
        <f t="shared" si="0"/>
        <v>12332.725348416621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0.19442590313209043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6.7489625311691563</v>
      </c>
      <c r="C18" s="23"/>
      <c r="D18" s="23">
        <f t="shared" ref="D18:M18" si="1">D14*D16</f>
        <v>17.795902021098037</v>
      </c>
      <c r="E18" s="23">
        <f t="shared" si="1"/>
        <v>149.26128882655613</v>
      </c>
      <c r="F18" s="23"/>
      <c r="G18" s="23">
        <f t="shared" si="1"/>
        <v>52042.708456183129</v>
      </c>
      <c r="H18" s="23">
        <f t="shared" si="1"/>
        <v>8555.3814999968927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8.4912018911170121E-3</v>
      </c>
      <c r="H50" s="321">
        <f t="shared" si="2"/>
        <v>0</v>
      </c>
      <c r="I50" s="321">
        <f t="shared" si="2"/>
        <v>0</v>
      </c>
      <c r="J50" s="321">
        <f t="shared" si="2"/>
        <v>0</v>
      </c>
      <c r="K50" s="321">
        <f t="shared" si="2"/>
        <v>0</v>
      </c>
      <c r="L50" s="321">
        <f t="shared" si="2"/>
        <v>0</v>
      </c>
      <c r="M50" s="321">
        <f t="shared" si="2"/>
        <v>4.8422849065972949E-4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8.4912018911170121E-3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4.8422849065972949E-4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2358.6671919769478</v>
      </c>
      <c r="H54" s="21">
        <f t="shared" si="3"/>
        <v>0</v>
      </c>
      <c r="I54" s="21">
        <f t="shared" si="3"/>
        <v>0</v>
      </c>
      <c r="J54" s="21">
        <f t="shared" si="3"/>
        <v>0</v>
      </c>
      <c r="K54" s="21">
        <f t="shared" si="3"/>
        <v>0</v>
      </c>
      <c r="L54" s="21">
        <f t="shared" si="3"/>
        <v>0</v>
      </c>
      <c r="M54" s="21">
        <f t="shared" si="3"/>
        <v>134.50791407214709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0.19442590313209043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629.76414025784516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8030.4770865307928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8030.4770865307928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2019-01-01T21:31:19Z</dcterms:modified>
</cp:coreProperties>
</file>