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<sst xmlns="http://schemas.openxmlformats.org/spreadsheetml/2006/main" count="2137" uniqueCount="871">
  <si>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</si>
  <si>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</si>
  <si>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</si>
  <si>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</si>
  <si>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</si>
  <si>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</si>
  <si>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</si>
  <si>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</si>
  <si>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</si>
  <si>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</si>
  <si>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</si>
  <si>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</si>
  <si>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</si>
  <si>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</si>
  <si>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</si>
  <si>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</si>
  <si>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</si>
  <si>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</si>
  <si>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</si>
  <si>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</si>
  <si>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</si>
  <si>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</si>
  <si>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</si>
  <si>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</si>
  <si>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</si>
  <si>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</si>
  <si>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</si>
  <si>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</si>
  <si>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</si>
  <si>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</si>
  <si>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</si>
  <si>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</si>
  <si>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</si>
  <si>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</si>
  <si>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</si>
  <si>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</si>
  <si>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</si>
  <si>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</si>
  <si>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</si>
  <si>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</si>
  <si>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</si>
  <si>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</si>
  <si>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</si>
  <si>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</si>
  <si>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</si>
  <si>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</si>
  <si>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</si>
  <si>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</si>
  <si>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</si>
  <si>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</si>
  <si>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</si>
  <si>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</si>
  <si>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</si>
  <si>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</si>
  <si>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</si>
  <si>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</si>
  <si>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</si>
  <si>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</si>
  <si>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</si>
  <si>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</si>
  <si>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</si>
  <si>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</si>
  <si>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</si>
  <si>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</si>
  <si>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</si>
  <si>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</si>
  <si>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</si>
  <si>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</si>
  <si>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</si>
  <si>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</si>
  <si>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</si>
  <si>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</si>
  <si>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</si>
  <si>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</si>
  <si>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</si>
  <si>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</si>
  <si>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</si>
  <si>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</si>
  <si>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</si>
  <si>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</si>
  <si>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</si>
  <si>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</si>
  <si>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</si>
  <si>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</si>
  <si>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</si>
  <si>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</si>
  <si>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</si>
  <si>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</si>
  <si>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</si>
  <si>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</si>
  <si>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</si>
  <si>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</si>
  <si>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</si>
  <si>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</si>
  <si>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</si>
  <si>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</si>
  <si>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</si>
  <si>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</si>
  <si>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</si>
  <si>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</si>
  <si>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</si>
  <si>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</si>
  <si>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</si>
  <si>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</si>
  <si>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</si>
  <si>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</si>
  <si>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</si>
  <si>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</si>
  <si>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</si>
  <si>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</si>
  <si>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</si>
  <si>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</si>
  <si>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</si>
  <si>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</si>
  <si>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</si>
  <si>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</si>
  <si>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</si>
  <si>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</si>
  <si>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</si>
  <si>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</si>
  <si>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</si>
  <si>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</si>
  <si>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</si>
  <si>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</si>
  <si>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</si>
  <si>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</si>
  <si>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</si>
  <si>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</si>
  <si>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</si>
  <si>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</si>
  <si>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</si>
  <si>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</si>
  <si>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</si>
  <si>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</si>
  <si>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</si>
  <si>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</si>
  <si>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</si>
  <si>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</si>
  <si>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</si>
  <si>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</si>
  <si>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</si>
  <si>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</si>
  <si>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</si>
  <si>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</si>
  <si>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</si>
  <si>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</si>
  <si>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</si>
  <si>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</si>
  <si>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</si>
  <si>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</si>
  <si>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</si>
  <si>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</si>
  <si>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</si>
  <si>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</si>
  <si>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</si>
  <si>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</si>
  <si>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</si>
  <si>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</si>
  <si>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</si>
  <si>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</si>
  <si>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</si>
  <si>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</si>
  <si>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</si>
  <si>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</si>
  <si>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</si>
  <si>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</si>
  <si>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</si>
  <si>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</si>
  <si>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</si>
  <si>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</si>
  <si>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</si>
  <si>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</si>
  <si>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</si>
  <si>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</si>
  <si>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</si>
  <si>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</si>
  <si>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</si>
  <si>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</si>
  <si>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</si>
  <si>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</si>
  <si>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</si>
  <si>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</si>
  <si>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</si>
  <si>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</si>
  <si>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</si>
  <si>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</si>
  <si>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</si>
  <si>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</si>
  <si>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</si>
  <si>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</si>
  <si>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</si>
  <si>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</si>
  <si>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</si>
  <si>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</si>
  <si>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</si>
  <si>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</si>
  <si>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</si>
  <si>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</si>
  <si>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</si>
  <si>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</si>
  <si>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</si>
  <si>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</si>
  <si>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</si>
  <si>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</si>
  <si>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</si>
  <si>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</si>
  <si>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</si>
  <si>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</si>
  <si>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</si>
  <si>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</si>
  <si>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</si>
  <si>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</si>
  <si>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</si>
  <si>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</si>
  <si>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</si>
  <si>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</si>
  <si>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</si>
  <si>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</si>
  <si>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</si>
  <si>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</si>
  <si>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</si>
  <si>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</si>
  <si>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</si>
  <si>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</si>
  <si>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</si>
  <si>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</si>
  <si>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</si>
  <si>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</si>
  <si>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</si>
  <si>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</si>
  <si>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</si>
  <si>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</si>
  <si>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</si>
  <si>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</si>
  <si>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</si>
  <si>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</si>
  <si>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</si>
  <si>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</si>
  <si>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</si>
  <si>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</si>
  <si>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</si>
  <si>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</si>
  <si>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</si>
  <si>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</si>
  <si>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</si>
  <si>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</si>
  <si>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</si>
  <si>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</si>
  <si>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</si>
  <si>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</si>
  <si>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</si>
  <si>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</si>
  <si>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</si>
  <si>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</si>
  <si>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</si>
  <si>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</si>
  <si>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</si>
  <si>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</si>
  <si>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</si>
  <si>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</si>
  <si>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</si>
  <si>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</si>
  <si>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</si>
  <si>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</si>
  <si>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</si>
  <si>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</si>
  <si>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</si>
  <si>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</si>
  <si>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</si>
  <si>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</si>
  <si>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</si>
  <si>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</si>
  <si>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</si>
  <si>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</si>
  <si>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</si>
  <si>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</si>
  <si>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</si>
  <si>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</si>
  <si>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</si>
  <si>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</si>
  <si>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</si>
  <si>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</si>
  <si>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</si>
  <si>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</si>
  <si>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</si>
  <si>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</si>
  <si>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</si>
  <si>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</si>
  <si>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</si>
  <si>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</si>
  <si>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</si>
  <si>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</si>
  <si>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</si>
  <si>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</si>
  <si>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</si>
  <si>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</si>
  <si>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</si>
  <si>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</si>
  <si>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</si>
  <si>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</si>
  <si>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</si>
  <si>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</si>
  <si>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</si>
  <si>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</si>
  <si>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</si>
  <si>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</si>
  <si>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</si>
  <si>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</si>
  <si>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</si>
  <si>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</si>
  <si>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</si>
  <si>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</si>
  <si>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</si>
  <si>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</si>
  <si>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</si>
  <si>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</si>
  <si>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</si>
  <si>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</si>
  <si>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</si>
  <si>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</si>
  <si>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</si>
  <si>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</si>
  <si>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</si>
  <si>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</si>
  <si>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</si>
  <si>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</si>
  <si>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</si>
  <si>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</si>
  <si>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</si>
  <si>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</si>
  <si>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</si>
  <si>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</si>
  <si>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</si>
  <si>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</si>
  <si>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</si>
  <si>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</si>
  <si>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</si>
  <si>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</si>
  <si>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</si>
  <si>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</si>
  <si>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</si>
  <si>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</si>
  <si>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</si>
  <si>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</si>
  <si>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</si>
  <si>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</si>
  <si>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</si>
  <si>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</si>
  <si>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</si>
  <si>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</si>
  <si>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</si>
  <si>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</si>
  <si>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</si>
  <si>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</si>
  <si>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</si>
  <si>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</si>
  <si>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</si>
  <si>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</si>
  <si>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</si>
  <si>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</si>
  <si>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</si>
  <si>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</si>
  <si>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</si>
  <si>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</si>
  <si>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</si>
  <si>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</si>
  <si>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</si>
  <si>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</si>
  <si>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</si>
  <si>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</si>
  <si>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</si>
  <si>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</si>
  <si>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</si>
  <si>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</si>
  <si>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</si>
  <si>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</si>
  <si>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</si>
  <si>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</si>
  <si>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</si>
  <si>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</si>
  <si>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</si>
  <si>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</si>
  <si>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</si>
  <si>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</si>
  <si>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</si>
  <si>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</si>
  <si>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</si>
  <si>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</si>
  <si>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</si>
  <si>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</si>
  <si>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</si>
  <si>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</si>
  <si>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</si>
  <si>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</si>
  <si>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</si>
  <si>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</si>
  <si>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</si>
  <si>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</si>
  <si>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</si>
  <si>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</si>
  <si>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</si>
  <si>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</si>
  <si>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</si>
  <si>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</si>
  <si>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</si>
  <si>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</si>
  <si>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</si>
  <si>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</si>
  <si>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</si>
  <si>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</si>
  <si>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</si>
  <si>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</si>
  <si>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</si>
  <si>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</si>
  <si>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</si>
  <si>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</si>
  <si>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</si>
  <si>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</si>
  <si>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</si>
  <si>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</si>
  <si>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</si>
  <si>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</si>
  <si>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</si>
  <si>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</si>
  <si>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</si>
  <si>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</si>
  <si>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</si>
  <si>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</si>
  <si>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</si>
  <si>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</si>
  <si>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</si>
  <si>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</si>
  <si>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</si>
  <si>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</si>
  <si>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</si>
  <si>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</si>
  <si>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</si>
  <si>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</si>
  <si>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</si>
  <si>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</si>
  <si>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</si>
  <si>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</si>
  <si>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</si>
  <si>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</si>
  <si>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</si>
  <si>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</si>
  <si>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</si>
  <si>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</si>
  <si>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</si>
  <si>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</si>
  <si>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</si>
  <si>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</si>
  <si>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</si>
  <si>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</si>
  <si>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</si>
  <si>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</si>
  <si>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</si>
  <si>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</si>
  <si>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</si>
  <si>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</si>
  <si>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</si>
  <si>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</si>
  <si>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</si>
  <si>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</si>
  <si>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</si>
  <si>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</si>
  <si>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</si>
  <si>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</si>
  <si>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</si>
  <si>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</si>
  <si>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</si>
  <si>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</si>
  <si>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</si>
  <si>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</si>
  <si>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</si>
  <si>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</si>
  <si>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</si>
  <si>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</si>
  <si>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</si>
  <si>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</si>
  <si>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</si>
  <si>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</si>
  <si>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</si>
  <si>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</si>
  <si>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</si>
  <si>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</si>
  <si>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</si>
  <si>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</si>
  <si>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</si>
  <si>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</si>
  <si>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</si>
  <si>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</si>
  <si>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</si>
  <si>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</si>
  <si>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</si>
  <si>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</si>
  <si>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</si>
  <si>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</si>
  <si>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</si>
  <si>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</si>
  <si>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</si>
  <si>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</si>
  <si>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</si>
  <si>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</si>
  <si>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</si>
  <si>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</si>
  <si>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</si>
  <si>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</si>
  <si>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</si>
  <si>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</si>
  <si>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</si>
  <si>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</si>
  <si>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</si>
  <si>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</si>
  <si>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</si>
  <si>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</si>
  <si>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</si>
  <si>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</si>
  <si>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</si>
  <si>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</si>
  <si>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</si>
  <si>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</si>
  <si>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</si>
  <si>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</si>
  <si>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</si>
  <si>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</si>
  <si>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</si>
  <si>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</si>
  <si>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</si>
  <si>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</si>
  <si>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</si>
  <si>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</si>
  <si>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</si>
  <si>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</si>
  <si>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</si>
  <si>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</si>
  <si>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</si>
  <si>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</si>
  <si>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</si>
  <si>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</si>
  <si>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</si>
  <si>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</si>
  <si>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</si>
  <si>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</si>
  <si>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</si>
  <si>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</si>
  <si>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</si>
  <si>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</si>
  <si>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</si>
  <si>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</si>
  <si>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</si>
  <si>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</si>
  <si>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</si>
  <si>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</si>
  <si>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</si>
  <si>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</si>
  <si>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</si>
  <si>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</si>
  <si>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</si>
  <si>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</si>
  <si>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</si>
  <si>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</si>
  <si>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</si>
  <si>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</si>
  <si>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</si>
  <si>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</si>
  <si>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</si>
  <si>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</si>
  <si>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</si>
  <si>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</si>
  <si>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</si>
  <si>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</si>
  <si>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</si>
  <si>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</si>
  <si>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</si>
  <si>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</si>
  <si>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</si>
  <si>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</si>
  <si>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</si>
  <si>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</si>
  <si>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</si>
  <si>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</si>
  <si>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</si>
  <si>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</si>
  <si>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</si>
  <si>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</si>
  <si>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</si>
  <si>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</si>
  <si>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</si>
  <si>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</si>
  <si>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</si>
  <si>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</si>
  <si>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</si>
  <si>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</si>
  <si>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</si>
  <si>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</si>
  <si>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</si>
  <si>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</si>
  <si>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</si>
  <si>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</si>
  <si>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</si>
  <si>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</si>
  <si>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</si>
  <si>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</si>
  <si>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</si>
  <si>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</si>
  <si>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</si>
  <si>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</si>
  <si>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</si>
  <si>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</si>
  <si>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</si>
  <si>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</si>
  <si>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</si>
  <si>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</si>
  <si>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</si>
  <si>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</si>
  <si>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</si>
  <si>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</si>
  <si>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</si>
  <si>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</si>
  <si>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</si>
  <si>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</si>
  <si>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</si>
  <si>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</si>
  <si>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</si>
  <si>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</si>
  <si>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</si>
  <si>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</si>
  <si>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</si>
  <si>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</si>
  <si>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</si>
  <si>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</si>
  <si>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</si>
  <si>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</si>
  <si>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</si>
  <si>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</si>
  <si>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</si>
  <si>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</si>
  <si>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</si>
  <si>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</si>
  <si>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</si>
  <si>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</si>
  <si>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</si>
  <si>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</si>
  <si>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</si>
  <si>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</si>
  <si>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</si>
  <si>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</si>
  <si>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</si>
  <si>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</si>
  <si>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</si>
  <si>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</si>
  <si>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</si>
  <si>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</si>
  <si>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</si>
  <si>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</si>
  <si>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</si>
  <si>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</si>
  <si>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</si>
  <si>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</si>
  <si>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</si>
  <si>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</si>
  <si>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</si>
  <si>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</si>
  <si>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</si>
  <si>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</si>
  <si>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</si>
  <si>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</si>
  <si>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</si>
  <si>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</si>
  <si>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</si>
  <si>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</si>
  <si>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</si>
  <si>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</si>
  <si>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</si>
  <si>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</si>
  <si>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</si>
  <si>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</si>
  <si>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</si>
  <si>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</si>
  <si>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</si>
  <si>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</si>
  <si>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</si>
  <si>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</si>
  <si>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</si>
  <si>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</si>
  <si>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</si>
  <si>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</si>
  <si>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</si>
  <si>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</si>
  <si>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</si>
  <si>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</si>
  <si>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</si>
  <si>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</si>
  <si>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</si>
  <si>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</si>
  <si>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</si>
  <si>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</si>
  <si>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</si>
  <si>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</si>
  <si>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</si>
  <si>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</si>
  <si>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</si>
  <si>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</si>
  <si>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</si>
  <si>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</si>
  <si>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</si>
  <si>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</si>
  <si>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</si>
  <si>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</si>
  <si>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</si>
  <si>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</si>
  <si>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</si>
  <si>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</si>
  <si>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</si>
  <si>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</si>
  <si>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</si>
  <si>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</si>
  <si>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</si>
  <si>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</si>
  <si>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</si>
  <si>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</si>
  <si>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</si>
  <si>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</si>
  <si>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</si>
  <si>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</si>
  <si>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</si>
  <si>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</si>
  <si>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</si>
  <si>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</si>
  <si>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</si>
  <si>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</si>
  <si>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</si>
  <si>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</si>
  <si>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</si>
  <si>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</si>
  <si>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</si>
  <si>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</si>
  <si>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</si>
  <si>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</si>
  <si>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</si>
  <si>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</si>
  <si>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</si>
  <si>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</si>
  <si>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</si>
  <si>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</si>
  <si>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</si>
  <si>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</si>
  <si>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</si>
  <si>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</si>
  <si>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</si>
  <si>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</si>
  <si>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</si>
  <si>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</si>
  <si>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</si>
  <si>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</si>
  <si>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</si>
  <si>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</si>
  <si>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</si>
  <si>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</si>
  <si>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</si>
  <si>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</si>
  <si>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</si>
  <si>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</si>
  <si>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</si>
  <si>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</si>
  <si>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</si>
  <si>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</si>
  <si>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</si>
  <si>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</si>
  <si>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</si>
  <si>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</si>
  <si>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</si>
  <si>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</si>
  <si>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</si>
  <si>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</si>
  <si>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</si>
  <si>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</si>
  <si>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</si>
  <si>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</si>
  <si>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</si>
  <si>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</si>
  <si>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</si>
  <si>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</si>
  <si>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</si>
  <si>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</si>
  <si>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</si>
  <si>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</si>
  <si>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</si>
  <si>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</si>
  <si>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</si>
  <si>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</si>
  <si>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</si>
  <si>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</si>
  <si>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</si>
  <si>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</si>
  <si>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</si>
  <si>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</si>
  <si>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</si>
  <si>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</si>
  <si>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</si>
  <si>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</si>
  <si>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</si>
  <si>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</si>
  <si>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</si>
  <si>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</si>
  <si>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</si>
  <si>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</si>
  <si>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</si>
  <si>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</si>
  <si>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</si>
  <si>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</si>
  <si>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</si>
  <si>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</si>
  <si>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</si>
  <si>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</si>
  <si>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</si>
  <si>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</si>
  <si>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</si>
  <si>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</si>
  <si>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</si>
  <si>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</si>
  <si>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</si>
  <si>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</si>
  <si>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</si>
  <si>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</si>
  <si>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</si>
  <si>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</si>
  <si>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</si>
  <si>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</si>
  <si>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</si>
  <si>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</si>
  <si>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</si>
  <si>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</si>
  <si>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</si>
  <si>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</si>
  <si>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</si>
  <si>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</si>
  <si>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</si>
  <si>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</si>
  <si>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</si>
  <si>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</si>
  <si>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</si>
  <si>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</si>
  <si>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</si>
  <si>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</si>
  <si>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</si>
  <si>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</si>
  <si>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</si>
  <si>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</si>
  <si>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</si>
  <si>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</si>
  <si>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</si>
  <si>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</si>
  <si>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</si>
  <si>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</si>
  <si>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</si>
  <si>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</si>
  <si>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</si>
  <si>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</si>
  <si>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</si>
  <si>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</si>
  <si>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</si>
  <si>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23047</t>
  </si>
  <si>
    <t>MACHELEN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</si>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</sst>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82447.865778653766</c:v>
                </c:pt>
                <c:pt idx="1">
                  <c:v>257769.52006851468</c:v>
                </c:pt>
                <c:pt idx="2">
                  <c:v>1435.8889999999999</c:v>
                </c:pt>
                <c:pt idx="3">
                  <c:v>3401.8443259010314</c:v>
                </c:pt>
                <c:pt idx="4">
                  <c:v>27813.111561142621</c:v>
                </c:pt>
                <c:pt idx="5">
                  <c:v>450618.05490848597</c:v>
                </c:pt>
                <c:pt idx="6">
                  <c:v>4310.8592856472333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83584"/>
      </c:barChart>
      <c:catAx>
        <c:axId val="184044928"/>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82447.865778653766</c:v>
                </c:pt>
                <c:pt idx="1">
                  <c:v>257769.52006851468</c:v>
                </c:pt>
                <c:pt idx="2">
                  <c:v>1435.8889999999999</c:v>
                </c:pt>
                <c:pt idx="3">
                  <c:v>3401.8443259010314</c:v>
                </c:pt>
                <c:pt idx="4">
                  <c:v>27813.111561142621</c:v>
                </c:pt>
                <c:pt idx="5">
                  <c:v>450618.05490848597</c:v>
                </c:pt>
                <c:pt idx="6">
                  <c:v>4310.8592856472333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16516.300347829128</c:v>
                </c:pt>
                <c:pt idx="1">
                  <c:v>55476.291975214262</c:v>
                </c:pt>
                <c:pt idx="2">
                  <c:v>315.46082407379674</c:v>
                </c:pt>
                <c:pt idx="3">
                  <c:v>691.2829287676019</c:v>
                </c:pt>
                <c:pt idx="4">
                  <c:v>5682.5469551825672</c:v>
                </c:pt>
                <c:pt idx="5">
                  <c:v>112967.79799041594</c:v>
                </c:pt>
                <c:pt idx="6">
                  <c:v>1088.9024943379643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16516.300347829128</c:v>
                </c:pt>
                <c:pt idx="1">
                  <c:v>55476.291975214262</c:v>
                </c:pt>
                <c:pt idx="2">
                  <c:v>315.46082407379674</c:v>
                </c:pt>
                <c:pt idx="3">
                  <c:v>691.2829287676019</c:v>
                </c:pt>
                <c:pt idx="4">
                  <c:v>5682.5469551825672</c:v>
                </c:pt>
                <c:pt idx="5">
                  <c:v>112967.79799041594</c:v>
                </c:pt>
                <c:pt idx="6">
                  <c:v>1088.9024943379643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23047</v>
      </c>
      <c r="B6" s="416"/>
      <c r="C6" s="417"/>
    </row>
    <row r="7" spans="1:7" s="414" customFormat="1" ht="15.75" customHeight="1">
      <c r="A7" s="418" t="str">
        <f>txtMunicipality</f>
        <v>MACHELEN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5450</v>
      </c>
      <c r="C9" s="342">
        <v>6055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22</v>
      </c>
      <c r="D36" s="334">
        <v>3580693.69856029</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10359916</v>
      </c>
    </row>
    <row r="39" spans="1:6">
      <c r="A39" s="348" t="s">
        <v>30</v>
      </c>
      <c r="B39" s="348" t="s">
        <v>31</v>
      </c>
      <c r="C39" s="334">
        <v>4752</v>
      </c>
      <c r="D39" s="334">
        <v>66069979.9272843</v>
      </c>
      <c r="E39" s="334">
        <v>5560</v>
      </c>
      <c r="F39" s="334">
        <v>19154687</v>
      </c>
    </row>
    <row r="40" spans="1:6">
      <c r="A40" s="348" t="s">
        <v>30</v>
      </c>
      <c r="B40" s="348" t="s">
        <v>29</v>
      </c>
      <c r="C40" s="334">
        <v>0</v>
      </c>
      <c r="D40" s="334">
        <v>0</v>
      </c>
      <c r="E40" s="334">
        <v>0</v>
      </c>
      <c r="F40" s="334">
        <v>0</v>
      </c>
    </row>
    <row r="41" spans="1:6">
      <c r="A41" s="348" t="s">
        <v>32</v>
      </c>
      <c r="B41" s="348" t="s">
        <v>33</v>
      </c>
      <c r="C41" s="334">
        <v>24</v>
      </c>
      <c r="D41" s="334">
        <v>4061537.8132931599</v>
      </c>
      <c r="E41" s="334">
        <v>44</v>
      </c>
      <c r="F41" s="334">
        <v>3488363</v>
      </c>
    </row>
    <row r="42" spans="1:6">
      <c r="A42" s="348" t="s">
        <v>32</v>
      </c>
      <c r="B42" s="348" t="s">
        <v>34</v>
      </c>
      <c r="C42" s="334">
        <v>0</v>
      </c>
      <c r="D42" s="334">
        <v>0</v>
      </c>
      <c r="E42" s="334">
        <v>4</v>
      </c>
      <c r="F42" s="334">
        <v>3461031</v>
      </c>
    </row>
    <row r="43" spans="1:6">
      <c r="A43" s="348" t="s">
        <v>32</v>
      </c>
      <c r="B43" s="348" t="s">
        <v>35</v>
      </c>
      <c r="C43" s="334">
        <v>0</v>
      </c>
      <c r="D43" s="334">
        <v>0</v>
      </c>
      <c r="E43" s="334">
        <v>0</v>
      </c>
      <c r="F43" s="334">
        <v>0</v>
      </c>
    </row>
    <row r="44" spans="1:6">
      <c r="A44" s="348" t="s">
        <v>32</v>
      </c>
      <c r="B44" s="348" t="s">
        <v>36</v>
      </c>
      <c r="C44" s="334">
        <v>0</v>
      </c>
      <c r="D44" s="334">
        <v>0</v>
      </c>
      <c r="E44" s="334">
        <v>10</v>
      </c>
      <c r="F44" s="334">
        <v>107841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58902.04</v>
      </c>
    </row>
    <row r="48" spans="1:6">
      <c r="A48" s="348" t="s">
        <v>32</v>
      </c>
      <c r="B48" s="348" t="s">
        <v>29</v>
      </c>
      <c r="C48" s="334">
        <v>26</v>
      </c>
      <c r="D48" s="334">
        <v>2242869.36736929</v>
      </c>
      <c r="E48" s="334">
        <v>31</v>
      </c>
      <c r="F48" s="334">
        <v>6795064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16012.0310191272</v>
      </c>
      <c r="E52" s="334">
        <v>5</v>
      </c>
      <c r="F52" s="334">
        <v>19938.810000000001</v>
      </c>
    </row>
    <row r="53" spans="1:6">
      <c r="A53" s="348" t="s">
        <v>44</v>
      </c>
      <c r="B53" s="348" t="s">
        <v>45</v>
      </c>
      <c r="C53" s="334">
        <v>109</v>
      </c>
      <c r="D53" s="334">
        <v>3673650.3114326401</v>
      </c>
      <c r="E53" s="334">
        <v>211</v>
      </c>
      <c r="F53" s="334">
        <v>1668152</v>
      </c>
    </row>
    <row r="54" spans="1:6">
      <c r="A54" s="348" t="s">
        <v>46</v>
      </c>
      <c r="B54" s="348" t="s">
        <v>47</v>
      </c>
      <c r="C54" s="334">
        <v>0</v>
      </c>
      <c r="D54" s="334">
        <v>0</v>
      </c>
      <c r="E54" s="334">
        <v>2</v>
      </c>
      <c r="F54" s="334">
        <v>1435889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1194727.9705839399</v>
      </c>
      <c r="E57" s="334">
        <v>42</v>
      </c>
      <c r="F57" s="334">
        <v>1108177</v>
      </c>
    </row>
    <row r="58" spans="1:6">
      <c r="A58" s="348" t="s">
        <v>49</v>
      </c>
      <c r="B58" s="348" t="s">
        <v>51</v>
      </c>
      <c r="C58" s="334">
        <v>0</v>
      </c>
      <c r="D58" s="334">
        <v>0</v>
      </c>
      <c r="E58" s="334">
        <v>3</v>
      </c>
      <c r="F58" s="334">
        <v>12263.22</v>
      </c>
    </row>
    <row r="59" spans="1:6">
      <c r="A59" s="348" t="s">
        <v>49</v>
      </c>
      <c r="B59" s="348" t="s">
        <v>52</v>
      </c>
      <c r="C59" s="334">
        <v>19</v>
      </c>
      <c r="D59" s="334">
        <v>2823717.7468572599</v>
      </c>
      <c r="E59" s="334">
        <v>73</v>
      </c>
      <c r="F59" s="334">
        <v>14638538</v>
      </c>
    </row>
    <row r="60" spans="1:6">
      <c r="A60" s="348" t="s">
        <v>49</v>
      </c>
      <c r="B60" s="348" t="s">
        <v>53</v>
      </c>
      <c r="C60" s="334">
        <v>55</v>
      </c>
      <c r="D60" s="334">
        <v>10079136.7419923</v>
      </c>
      <c r="E60" s="334">
        <v>65</v>
      </c>
      <c r="F60" s="334">
        <v>10936367</v>
      </c>
    </row>
    <row r="61" spans="1:6">
      <c r="A61" s="348" t="s">
        <v>49</v>
      </c>
      <c r="B61" s="348" t="s">
        <v>54</v>
      </c>
      <c r="C61" s="334">
        <v>166</v>
      </c>
      <c r="D61" s="334">
        <v>49088817.0421362</v>
      </c>
      <c r="E61" s="334">
        <v>546</v>
      </c>
      <c r="F61" s="334">
        <v>117000000</v>
      </c>
    </row>
    <row r="62" spans="1:6">
      <c r="A62" s="348" t="s">
        <v>49</v>
      </c>
      <c r="B62" s="348" t="s">
        <v>55</v>
      </c>
      <c r="C62" s="334">
        <v>0</v>
      </c>
      <c r="D62" s="334">
        <v>0</v>
      </c>
      <c r="E62" s="334">
        <v>5</v>
      </c>
      <c r="F62" s="334">
        <v>3314.4789999999998</v>
      </c>
    </row>
    <row r="63" spans="1:6">
      <c r="A63" s="348" t="s">
        <v>49</v>
      </c>
      <c r="B63" s="348" t="s">
        <v>29</v>
      </c>
      <c r="C63" s="334">
        <v>150</v>
      </c>
      <c r="D63" s="334">
        <v>16913874.030427799</v>
      </c>
      <c r="E63" s="334">
        <v>167</v>
      </c>
      <c r="F63" s="334">
        <v>16690820</v>
      </c>
    </row>
    <row r="64" spans="1:6">
      <c r="A64" s="348" t="s">
        <v>56</v>
      </c>
      <c r="B64" s="348" t="s">
        <v>57</v>
      </c>
      <c r="C64" s="334">
        <v>0</v>
      </c>
      <c r="D64" s="334">
        <v>0</v>
      </c>
      <c r="E64" s="334">
        <v>0</v>
      </c>
      <c r="F64" s="334">
        <v>0</v>
      </c>
    </row>
    <row r="65" spans="1:6">
      <c r="A65" s="348" t="s">
        <v>56</v>
      </c>
      <c r="B65" s="348" t="s">
        <v>29</v>
      </c>
      <c r="C65" s="334">
        <v>5</v>
      </c>
      <c r="D65" s="334">
        <v>563970.30750913196</v>
      </c>
      <c r="E65" s="334">
        <v>6</v>
      </c>
      <c r="F65" s="334">
        <v>537418.4</v>
      </c>
    </row>
    <row r="66" spans="1:6">
      <c r="A66" s="348" t="s">
        <v>56</v>
      </c>
      <c r="B66" s="348" t="s">
        <v>58</v>
      </c>
      <c r="C66" s="334">
        <v>0</v>
      </c>
      <c r="D66" s="334">
        <v>0</v>
      </c>
      <c r="E66" s="334">
        <v>20</v>
      </c>
      <c r="F66" s="334">
        <v>1670340</v>
      </c>
    </row>
    <row r="67" spans="1:6">
      <c r="A67" s="355" t="s">
        <v>56</v>
      </c>
      <c r="B67" s="355" t="s">
        <v>59</v>
      </c>
      <c r="C67" s="334">
        <v>0</v>
      </c>
      <c r="D67" s="334">
        <v>0</v>
      </c>
      <c r="E67" s="334">
        <v>0</v>
      </c>
      <c r="F67" s="334">
        <v>0</v>
      </c>
    </row>
    <row r="68" spans="1:6">
      <c r="A68" s="341" t="s">
        <v>56</v>
      </c>
      <c r="B68" s="341" t="s">
        <v>60</v>
      </c>
      <c r="C68" s="334">
        <v>9</v>
      </c>
      <c r="D68" s="334">
        <v>860920.90111865802</v>
      </c>
      <c r="E68" s="334">
        <v>10</v>
      </c>
      <c r="F68" s="334">
        <v>289041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63065453</v>
      </c>
      <c r="E73" s="477">
        <v>82650346.676154256</v>
      </c>
    </row>
    <row r="74" spans="1:6">
      <c r="A74" s="348" t="s">
        <v>64</v>
      </c>
      <c r="B74" s="348" t="s">
        <v>714</v>
      </c>
      <c r="C74" s="1288" t="s">
        <v>716</v>
      </c>
      <c r="D74" s="477">
        <v>4467892.7395300828</v>
      </c>
      <c r="E74" s="477">
        <v>5943563.3857237352</v>
      </c>
    </row>
    <row r="75" spans="1:6">
      <c r="A75" s="348" t="s">
        <v>65</v>
      </c>
      <c r="B75" s="348" t="s">
        <v>713</v>
      </c>
      <c r="C75" s="1288" t="s">
        <v>717</v>
      </c>
      <c r="D75" s="477">
        <v>31560599</v>
      </c>
      <c r="E75" s="477">
        <v>40432015.064862676</v>
      </c>
    </row>
    <row r="76" spans="1:6">
      <c r="A76" s="348" t="s">
        <v>65</v>
      </c>
      <c r="B76" s="348" t="s">
        <v>714</v>
      </c>
      <c r="C76" s="1288" t="s">
        <v>718</v>
      </c>
      <c r="D76" s="477">
        <v>1559382.7395300833</v>
      </c>
      <c r="E76" s="477">
        <v>2151995.0143781668</v>
      </c>
    </row>
    <row r="77" spans="1:6">
      <c r="A77" s="348" t="s">
        <v>66</v>
      </c>
      <c r="B77" s="348" t="s">
        <v>713</v>
      </c>
      <c r="C77" s="1288" t="s">
        <v>719</v>
      </c>
      <c r="D77" s="477">
        <v>384270844</v>
      </c>
      <c r="E77" s="477">
        <v>431016176.88835114</v>
      </c>
    </row>
    <row r="78" spans="1:6">
      <c r="A78" s="341" t="s">
        <v>66</v>
      </c>
      <c r="B78" s="341" t="s">
        <v>714</v>
      </c>
      <c r="C78" s="341" t="s">
        <v>720</v>
      </c>
      <c r="D78" s="1284">
        <v>41589608</v>
      </c>
      <c r="E78" s="1284">
        <v>44298504.344331749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1151964.5209398335</v>
      </c>
      <c r="C83" s="477">
        <v>1145078.782167573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866.32628861997455</v>
      </c>
    </row>
    <row r="92" spans="1:6">
      <c r="A92" s="341" t="s">
        <v>69</v>
      </c>
      <c r="B92" s="342">
        <v>288.15425470590611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3462</v>
      </c>
    </row>
    <row r="98" spans="1:6">
      <c r="A98" s="348" t="s">
        <v>72</v>
      </c>
      <c r="B98" s="334">
        <v>6</v>
      </c>
    </row>
    <row r="99" spans="1:6">
      <c r="A99" s="348" t="s">
        <v>73</v>
      </c>
      <c r="B99" s="334">
        <v>10</v>
      </c>
    </row>
    <row r="100" spans="1:6">
      <c r="A100" s="348" t="s">
        <v>74</v>
      </c>
      <c r="B100" s="334">
        <v>268</v>
      </c>
    </row>
    <row r="101" spans="1:6">
      <c r="A101" s="348" t="s">
        <v>75</v>
      </c>
      <c r="B101" s="334">
        <v>18</v>
      </c>
    </row>
    <row r="102" spans="1:6">
      <c r="A102" s="348" t="s">
        <v>76</v>
      </c>
      <c r="B102" s="334">
        <v>86</v>
      </c>
    </row>
    <row r="103" spans="1:6">
      <c r="A103" s="348" t="s">
        <v>77</v>
      </c>
      <c r="B103" s="334">
        <v>66</v>
      </c>
    </row>
    <row r="104" spans="1:6">
      <c r="A104" s="348" t="s">
        <v>78</v>
      </c>
      <c r="B104" s="334">
        <v>830</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v>
      </c>
    </row>
    <row r="130" spans="1:6">
      <c r="A130" s="348" t="s">
        <v>295</v>
      </c>
      <c r="B130" s="334">
        <v>1</v>
      </c>
    </row>
    <row r="131" spans="1:6">
      <c r="A131" s="348" t="s">
        <v>296</v>
      </c>
      <c r="B131" s="334">
        <v>17</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195843.15634345842</v>
      </c>
      <c r="C3" s="43" t="s">
        <v>170</v>
      </c>
      <c r="D3" s="43"/>
      <c r="E3" s="154"/>
      <c r="F3" s="43"/>
      <c r="G3" s="43"/>
      <c r="H3" s="43"/>
      <c r="I3" s="43"/>
      <c r="J3" s="43"/>
      <c r="K3" s="96"/>
    </row>
    <row r="4" spans="1:11">
      <c r="A4" s="384" t="s">
        <v>171</v>
      </c>
      <c r="B4" s="49">
        <f>IF(ISERROR('SEAP template'!B69),0,'SEAP template'!B69)</f>
        <v>1154.4805433258807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0.21969722177257209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1435.8889999999999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1435.8889999999999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0.21969722177257209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315.46082407379674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19154.687000000002</v>
      </c>
      <c r="C5" s="17">
        <f>IF(ISERROR('Eigen informatie GS &amp; warmtenet'!B57),0,'Eigen informatie GS &amp; warmtenet'!B57)</f>
        <v>0</v>
      </c>
      <c r="D5" s="30">
        <f>(SUM(HH_hh_gas_kWh,HH_rest_gas_kWh)/1000)*0.902</f>
        <v>59595.121894410433</v>
      </c>
      <c r="E5" s="17">
        <f>B46*B57</f>
        <v>350.3292007782573</v>
      </c>
      <c r="F5" s="17">
        <f>B51*B62</f>
        <v>0</v>
      </c>
      <c r="G5" s="18"/>
      <c r="H5" s="17"/>
      <c r="I5" s="17"/>
      <c r="J5" s="17">
        <f>B50*B61+C50*C61</f>
        <v>0</v>
      </c>
      <c r="K5" s="17"/>
      <c r="L5" s="17"/>
      <c r="M5" s="17"/>
      <c r="N5" s="17">
        <f>B48*B59+C48*C59</f>
        <v>2391.3713948451027</v>
      </c>
      <c r="O5" s="17">
        <f>B69*B70*B71</f>
        <v>32.830000000000005</v>
      </c>
      <c r="P5" s="17">
        <f>B77*B78*B79/1000-B77*B78*B79/1000/B80</f>
        <v>57.2</v>
      </c>
    </row>
    <row r="6" spans="1:16">
      <c r="A6" s="16" t="s">
        <v>631</v>
      </c>
      <c r="B6" s="844">
        <f>kWh_PV_kleiner_dan_10kW</f>
        <v>866.32628861997455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20021.013288619975</v>
      </c>
      <c r="C8" s="21">
        <f>C5</f>
        <v>0</v>
      </c>
      <c r="D8" s="21">
        <f>D5</f>
        <v>59595.121894410433</v>
      </c>
      <c r="E8" s="21">
        <f>E5</f>
        <v>350.3292007782573</v>
      </c>
      <c r="F8" s="21">
        <f>F5</f>
        <v>0</v>
      </c>
      <c r="G8" s="21"/>
      <c r="H8" s="21"/>
      <c r="I8" s="21"/>
      <c r="J8" s="21">
        <f>J5</f>
        <v>0</v>
      </c>
      <c r="K8" s="21"/>
      <c r="L8" s="21">
        <f>L5</f>
        <v>0</v>
      </c>
      <c r="M8" s="21">
        <f>M5</f>
        <v>0</v>
      </c>
      <c r="N8" s="21">
        <f>N5</f>
        <v>2391.3713948451027</v>
      </c>
      <c r="O8" s="21">
        <f>O5</f>
        <v>32.830000000000005</v>
      </c>
      <c r="P8" s="21">
        <f>P5</f>
        <v>57.2</v>
      </c>
    </row>
    <row r="9" spans="1:16">
      <c r="B9" s="19"/>
      <c r="C9" s="19"/>
      <c r="D9" s="258"/>
      <c r="E9" s="19"/>
      <c r="F9" s="19"/>
      <c r="G9" s="19"/>
      <c r="H9" s="19"/>
      <c r="I9" s="19"/>
      <c r="J9" s="19"/>
      <c r="K9" s="19"/>
      <c r="L9" s="19"/>
      <c r="M9" s="19"/>
      <c r="N9" s="19"/>
      <c r="O9" s="19"/>
      <c r="P9" s="19"/>
    </row>
    <row r="10" spans="1:16">
      <c r="A10" s="24" t="s">
        <v>214</v>
      </c>
      <c r="B10" s="25">
        <f ca="1">'EF ele_warmte'!B12</f>
        <v>0.21969722177257209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4398.5609965815556</v>
      </c>
      <c r="C12" s="23">
        <f ca="1">C10*C8</f>
        <v>0</v>
      </c>
      <c r="D12" s="23">
        <f>D8*D10</f>
        <v>12038.214622670908</v>
      </c>
      <c r="E12" s="23">
        <f>E10*E8</f>
        <v>79.524728576664415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3462</v>
      </c>
      <c r="C18" s="166" t="s">
        <v>111</v>
      </c>
      <c r="D18" s="228"/>
      <c r="E18" s="15"/>
    </row>
    <row r="19" spans="1:7">
      <c r="A19" s="171" t="s">
        <v>72</v>
      </c>
      <c r="B19" s="37">
        <f>aantalw2001_ander</f>
        <v>6</v>
      </c>
      <c r="C19" s="166" t="s">
        <v>111</v>
      </c>
      <c r="D19" s="229"/>
      <c r="E19" s="15"/>
    </row>
    <row r="20" spans="1:7">
      <c r="A20" s="171" t="s">
        <v>73</v>
      </c>
      <c r="B20" s="37">
        <f>aantalw2001_propaan</f>
        <v>10</v>
      </c>
      <c r="C20" s="167">
        <f>IF(ISERROR(B20/SUM($B$20,$B$21,$B$22)*100),0,B20/SUM($B$20,$B$21,$B$22)*100)</f>
        <v>3.3783783783783785</v>
      </c>
      <c r="D20" s="229"/>
      <c r="E20" s="15"/>
    </row>
    <row r="21" spans="1:7">
      <c r="A21" s="171" t="s">
        <v>74</v>
      </c>
      <c r="B21" s="37">
        <f>aantalw2001_elektriciteit</f>
        <v>268</v>
      </c>
      <c r="C21" s="167">
        <f>IF(ISERROR(B21/SUM($B$20,$B$21,$B$22)*100),0,B21/SUM($B$20,$B$21,$B$22)*100)</f>
        <v>90.540540540540533</v>
      </c>
      <c r="D21" s="229"/>
      <c r="E21" s="15"/>
    </row>
    <row r="22" spans="1:7">
      <c r="A22" s="171" t="s">
        <v>75</v>
      </c>
      <c r="B22" s="37">
        <f>aantalw2001_hout</f>
        <v>18</v>
      </c>
      <c r="C22" s="167">
        <f>IF(ISERROR(B22/SUM($B$20,$B$21,$B$22)*100),0,B22/SUM($B$20,$B$21,$B$22)*100)</f>
        <v>6.0810810810810816</v>
      </c>
      <c r="D22" s="229"/>
      <c r="E22" s="15"/>
    </row>
    <row r="23" spans="1:7">
      <c r="A23" s="171" t="s">
        <v>76</v>
      </c>
      <c r="B23" s="37">
        <f>aantalw2001_niet_gespec</f>
        <v>86</v>
      </c>
      <c r="C23" s="166" t="s">
        <v>111</v>
      </c>
      <c r="D23" s="228"/>
      <c r="E23" s="15"/>
    </row>
    <row r="24" spans="1:7">
      <c r="A24" s="171" t="s">
        <v>77</v>
      </c>
      <c r="B24" s="37">
        <f>aantalw2001_steenkool</f>
        <v>66</v>
      </c>
      <c r="C24" s="166" t="s">
        <v>111</v>
      </c>
      <c r="D24" s="229"/>
      <c r="E24" s="15"/>
    </row>
    <row r="25" spans="1:7">
      <c r="A25" s="171" t="s">
        <v>78</v>
      </c>
      <c r="B25" s="37">
        <f>aantalw2001_stookolie</f>
        <v>830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5450</v>
      </c>
      <c r="C28" s="36"/>
      <c r="D28" s="228"/>
    </row>
    <row r="29" spans="1:7" s="15" customFormat="1">
      <c r="A29" s="230" t="s">
        <v>741</v>
      </c>
      <c r="B29" s="37">
        <f>SUM(HH_hh_gas_aantal,HH_rest_gas_aantal)</f>
        <v>4752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4752</v>
      </c>
      <c r="C32" s="167">
        <f>IF(ISERROR(B32/SUM($B$32,$B$34,$B$35,$B$36,$B$38,$B$39)*100),0,B32/SUM($B$32,$B$34,$B$35,$B$36,$B$38,$B$39)*100)</f>
        <v>87.240682944740229</v>
      </c>
      <c r="D32" s="233"/>
      <c r="G32" s="15"/>
    </row>
    <row r="33" spans="1:7">
      <c r="A33" s="171" t="s">
        <v>72</v>
      </c>
      <c r="B33" s="34" t="s">
        <v>111</v>
      </c>
      <c r="C33" s="167"/>
      <c r="D33" s="233"/>
      <c r="G33" s="15"/>
    </row>
    <row r="34" spans="1:7">
      <c r="A34" s="171" t="s">
        <v>73</v>
      </c>
      <c r="B34" s="33">
        <f>IF((($B$28-$B$32-$B$39-$B$77-$B$38)*C20/100)&lt;0,0,($B$28-$B$32-$B$39-$B$77-$B$38)*C20/100)</f>
        <v>23.47972972972973</v>
      </c>
      <c r="C34" s="167">
        <f>IF(ISERROR(B34/SUM($B$32,$B$34,$B$35,$B$36,$B$38,$B$39)*100),0,B34/SUM($B$32,$B$34,$B$35,$B$36,$B$38,$B$39)*100)</f>
        <v>0.43105800862364108</v>
      </c>
      <c r="D34" s="233"/>
      <c r="G34" s="15"/>
    </row>
    <row r="35" spans="1:7">
      <c r="A35" s="171" t="s">
        <v>74</v>
      </c>
      <c r="B35" s="33">
        <f>IF((($B$28-$B$32-$B$39-$B$77-$B$38)*C21/100)&lt;0,0,($B$28-$B$32-$B$39-$B$77-$B$38)*C21/100)</f>
        <v>629.25675675675677</v>
      </c>
      <c r="C35" s="167">
        <f>IF(ISERROR(B35/SUM($B$32,$B$34,$B$35,$B$36,$B$38,$B$39)*100),0,B35/SUM($B$32,$B$34,$B$35,$B$36,$B$38,$B$39)*100)</f>
        <v>11.552354631113582</v>
      </c>
      <c r="D35" s="233"/>
      <c r="G35" s="15"/>
    </row>
    <row r="36" spans="1:7">
      <c r="A36" s="171" t="s">
        <v>75</v>
      </c>
      <c r="B36" s="33">
        <f>IF((($B$28-$B$32-$B$39-$B$77-$B$38)*C22/100)&lt;0,0,($B$28-$B$32-$B$39-$B$77-$B$38)*C22/100)</f>
        <v>42.263513513513516</v>
      </c>
      <c r="C36" s="167">
        <f>IF(ISERROR(B36/SUM($B$32,$B$34,$B$35,$B$36,$B$38,$B$39)*100),0,B36/SUM($B$32,$B$34,$B$35,$B$36,$B$38,$B$39)*100)</f>
        <v>0.77590441552255396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4752</v>
      </c>
      <c r="C44" s="34" t="s">
        <v>111</v>
      </c>
      <c r="D44" s="174"/>
    </row>
    <row r="45" spans="1:7">
      <c r="A45" s="171" t="s">
        <v>72</v>
      </c>
      <c r="B45" s="33" t="str">
        <f t="shared" si="0"/>
        <v>-</v>
      </c>
      <c r="C45" s="34" t="s">
        <v>111</v>
      </c>
      <c r="D45" s="174"/>
    </row>
    <row r="46" spans="1:7">
      <c r="A46" s="171" t="s">
        <v>73</v>
      </c>
      <c r="B46" s="33">
        <f t="shared" si="0"/>
        <v>23.47972972972973</v>
      </c>
      <c r="C46" s="34" t="s">
        <v>111</v>
      </c>
      <c r="D46" s="174"/>
    </row>
    <row r="47" spans="1:7">
      <c r="A47" s="171" t="s">
        <v>74</v>
      </c>
      <c r="B47" s="33">
        <f t="shared" si="0"/>
        <v>629.25675675675677</v>
      </c>
      <c r="C47" s="34" t="s">
        <v>111</v>
      </c>
      <c r="D47" s="174"/>
    </row>
    <row r="48" spans="1:7">
      <c r="A48" s="171" t="s">
        <v>75</v>
      </c>
      <c r="B48" s="33">
        <f t="shared" si="0"/>
        <v>42.263513513513516</v>
      </c>
      <c r="C48" s="33">
        <f>B48*10</f>
        <v>422.63513513513516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160389.47969899999</v>
      </c>
      <c r="C5" s="17">
        <f>IF(ISERROR('Eigen informatie GS &amp; warmtenet'!B58),0,'Eigen informatie GS &amp; warmtenet'!B58)</f>
        <v>0</v>
      </c>
      <c r="D5" s="30">
        <f>SUM(D6:D12)</f>
        <v>72250.446725861751</v>
      </c>
      <c r="E5" s="17">
        <f>SUM(E6:E12)</f>
        <v>1109.9884260339691</v>
      </c>
      <c r="F5" s="17">
        <f>SUM(F6:F12)</f>
        <v>20197.045964276505</v>
      </c>
      <c r="G5" s="18"/>
      <c r="H5" s="17"/>
      <c r="I5" s="17"/>
      <c r="J5" s="17">
        <f>SUM(J6:J12)</f>
        <v>0</v>
      </c>
      <c r="K5" s="17"/>
      <c r="L5" s="17"/>
      <c r="M5" s="17"/>
      <c r="N5" s="17">
        <f>SUM(N6:N12)</f>
        <v>3496.8625866758202</v>
      </c>
      <c r="O5" s="17">
        <f>B38*B39*B40</f>
        <v>1.5633333333333335</v>
      </c>
      <c r="P5" s="17">
        <f>B46*B47*B48/1000-B46*B47*B48/1000/B49</f>
        <v>324.13333333333333</v>
      </c>
      <c r="R5" s="32"/>
    </row>
    <row r="6" spans="1:18">
      <c r="A6" s="32" t="s">
        <v>54</v>
      </c>
      <c r="B6" s="37">
        <f>B26</f>
        <v>117000</v>
      </c>
      <c r="C6" s="33"/>
      <c r="D6" s="37">
        <f>IF(ISERROR(TER_kantoor_gas_kWh/1000),0,TER_kantoor_gas_kWh/1000)*0.902</f>
        <v>44278.112972006857</v>
      </c>
      <c r="E6" s="33">
        <f>$C$26*'E Balans VL '!I12/100/3.6*1000000</f>
        <v>338.9661663340591</v>
      </c>
      <c r="F6" s="33">
        <f>$C$26*('E Balans VL '!L12+'E Balans VL '!N12)/100/3.6*1000000</f>
        <v>13241.82229014411</v>
      </c>
      <c r="G6" s="34"/>
      <c r="H6" s="33"/>
      <c r="I6" s="33"/>
      <c r="J6" s="33">
        <f>$C$26*('E Balans VL '!D12+'E Balans VL '!E12)/100/3.6*1000000</f>
        <v>0</v>
      </c>
      <c r="K6" s="33"/>
      <c r="L6" s="33"/>
      <c r="M6" s="33"/>
      <c r="N6" s="33">
        <f>$C$26*'E Balans VL '!Y12/100/3.6*1000000</f>
        <v>1171.0837905508542</v>
      </c>
      <c r="O6" s="33"/>
      <c r="P6" s="33"/>
      <c r="R6" s="32"/>
    </row>
    <row r="7" spans="1:18">
      <c r="A7" s="32" t="s">
        <v>53</v>
      </c>
      <c r="B7" s="37">
        <f t="shared" ref="B7:B12" si="0">B27</f>
        <v>10936.367</v>
      </c>
      <c r="C7" s="33"/>
      <c r="D7" s="37">
        <f>IF(ISERROR(TER_horeca_gas_kWh/1000),0,TER_horeca_gas_kWh/1000)*0.902</f>
        <v>9091.381341277056</v>
      </c>
      <c r="E7" s="33">
        <f>$C$27*'E Balans VL '!I9/100/3.6*1000000</f>
        <v>459.07813105449799</v>
      </c>
      <c r="F7" s="33">
        <f>$C$27*('E Balans VL '!L9+'E Balans VL '!N9)/100/3.6*1000000</f>
        <v>2349.9027212778701</v>
      </c>
      <c r="G7" s="34"/>
      <c r="H7" s="33"/>
      <c r="I7" s="33"/>
      <c r="J7" s="33">
        <f>$C$27*('E Balans VL '!D9+'E Balans VL '!E9)/100/3.6*1000000</f>
        <v>0</v>
      </c>
      <c r="K7" s="33"/>
      <c r="L7" s="33"/>
      <c r="M7" s="33"/>
      <c r="N7" s="33">
        <f>$C$27*'E Balans VL '!Y9/100/3.6*1000000</f>
        <v>2.8182061339009512</v>
      </c>
      <c r="O7" s="33"/>
      <c r="P7" s="33"/>
      <c r="R7" s="32"/>
    </row>
    <row r="8" spans="1:18">
      <c r="A8" s="6" t="s">
        <v>52</v>
      </c>
      <c r="B8" s="37">
        <f t="shared" si="0"/>
        <v>14638.538</v>
      </c>
      <c r="C8" s="33"/>
      <c r="D8" s="37">
        <f>IF(ISERROR(TER_handel_gas_kWh/1000),0,TER_handel_gas_kWh/1000)*0.902</f>
        <v>2546.9934076652485</v>
      </c>
      <c r="E8" s="33">
        <f>$C$28*'E Balans VL '!I13/100/3.6*1000000</f>
        <v>157.23008142884748</v>
      </c>
      <c r="F8" s="33">
        <f>$C$28*('E Balans VL '!L13+'E Balans VL '!N13)/100/3.6*1000000</f>
        <v>1895.0796266548352</v>
      </c>
      <c r="G8" s="34"/>
      <c r="H8" s="33"/>
      <c r="I8" s="33"/>
      <c r="J8" s="33">
        <f>$C$28*('E Balans VL '!D13+'E Balans VL '!E13)/100/3.6*1000000</f>
        <v>0</v>
      </c>
      <c r="K8" s="33"/>
      <c r="L8" s="33"/>
      <c r="M8" s="33"/>
      <c r="N8" s="33">
        <f>$C$28*'E Balans VL '!Y13/100/3.6*1000000</f>
        <v>118.74861955492794</v>
      </c>
      <c r="O8" s="33"/>
      <c r="P8" s="33"/>
      <c r="R8" s="32"/>
    </row>
    <row r="9" spans="1:18">
      <c r="A9" s="32" t="s">
        <v>51</v>
      </c>
      <c r="B9" s="37">
        <f t="shared" si="0"/>
        <v>12.263219999999999</v>
      </c>
      <c r="C9" s="33"/>
      <c r="D9" s="37">
        <f>IF(ISERROR(TER_gezond_gas_kWh/1000),0,TER_gezond_gas_kWh/1000)*0.902</f>
        <v>0</v>
      </c>
      <c r="E9" s="33">
        <f>$C$29*'E Balans VL '!I10/100/3.6*1000000</f>
        <v>9.7623162838201098E-3</v>
      </c>
      <c r="F9" s="33">
        <f>$C$29*('E Balans VL '!L10+'E Balans VL '!N10)/100/3.6*1000000</f>
        <v>1.490771610491231</v>
      </c>
      <c r="G9" s="34"/>
      <c r="H9" s="33"/>
      <c r="I9" s="33"/>
      <c r="J9" s="33">
        <f>$C$29*('E Balans VL '!D10+'E Balans VL '!E10)/100/3.6*1000000</f>
        <v>0</v>
      </c>
      <c r="K9" s="33"/>
      <c r="L9" s="33"/>
      <c r="M9" s="33"/>
      <c r="N9" s="33">
        <f>$C$29*'E Balans VL '!Y10/100/3.6*1000000</f>
        <v>9.905904223332751E-2</v>
      </c>
      <c r="O9" s="33"/>
      <c r="P9" s="33"/>
      <c r="R9" s="32"/>
    </row>
    <row r="10" spans="1:18">
      <c r="A10" s="32" t="s">
        <v>50</v>
      </c>
      <c r="B10" s="37">
        <f t="shared" si="0"/>
        <v>1108.1769999999999</v>
      </c>
      <c r="C10" s="33"/>
      <c r="D10" s="37">
        <f>IF(ISERROR(TER_ander_gas_kWh/1000),0,TER_ander_gas_kWh/1000)*0.902</f>
        <v>1077.6446294667137</v>
      </c>
      <c r="E10" s="33">
        <f>$C$30*'E Balans VL '!I14/100/3.6*1000000</f>
        <v>3.7977807951570868</v>
      </c>
      <c r="F10" s="33">
        <f>$C$30*('E Balans VL '!L14+'E Balans VL '!N14)/100/3.6*1000000</f>
        <v>247.52171079121527</v>
      </c>
      <c r="G10" s="34"/>
      <c r="H10" s="33"/>
      <c r="I10" s="33"/>
      <c r="J10" s="33">
        <f>$C$30*('E Balans VL '!D14+'E Balans VL '!E14)/100/3.6*1000000</f>
        <v>0</v>
      </c>
      <c r="K10" s="33"/>
      <c r="L10" s="33"/>
      <c r="M10" s="33"/>
      <c r="N10" s="33">
        <f>$C$30*'E Balans VL '!Y14/100/3.6*1000000</f>
        <v>780.60593265261468</v>
      </c>
      <c r="O10" s="33"/>
      <c r="P10" s="33"/>
      <c r="R10" s="32"/>
    </row>
    <row r="11" spans="1:18">
      <c r="A11" s="32" t="s">
        <v>55</v>
      </c>
      <c r="B11" s="37">
        <f t="shared" si="0"/>
        <v>3.314479</v>
      </c>
      <c r="C11" s="33"/>
      <c r="D11" s="37">
        <f>IF(ISERROR(TER_onderwijs_gas_kWh/1000),0,TER_onderwijs_gas_kWh/1000)*0.902</f>
        <v>0</v>
      </c>
      <c r="E11" s="33">
        <f>$C$31*'E Balans VL '!I11/100/3.6*1000000</f>
        <v>2.2911972547804593E-3</v>
      </c>
      <c r="F11" s="33">
        <f>$C$31*('E Balans VL '!L11+'E Balans VL '!N11)/100/3.6*1000000</f>
        <v>0.86763432311774258</v>
      </c>
      <c r="G11" s="34"/>
      <c r="H11" s="33"/>
      <c r="I11" s="33"/>
      <c r="J11" s="33">
        <f>$C$31*('E Balans VL '!D11+'E Balans VL '!E11)/100/3.6*1000000</f>
        <v>0</v>
      </c>
      <c r="K11" s="33"/>
      <c r="L11" s="33"/>
      <c r="M11" s="33"/>
      <c r="N11" s="33">
        <f>$C$31*'E Balans VL '!Y11/100/3.6*1000000</f>
        <v>3.2992815392009259E-3</v>
      </c>
      <c r="O11" s="33"/>
      <c r="P11" s="33"/>
      <c r="R11" s="32"/>
    </row>
    <row r="12" spans="1:18">
      <c r="A12" s="32" t="s">
        <v>260</v>
      </c>
      <c r="B12" s="37">
        <f t="shared" si="0"/>
        <v>16690.82</v>
      </c>
      <c r="C12" s="33"/>
      <c r="D12" s="37">
        <f>IF(ISERROR(TER_rest_gas_kWh/1000),0,TER_rest_gas_kWh/1000)*0.902</f>
        <v>15256.314375445876</v>
      </c>
      <c r="E12" s="33">
        <f>$C$32*'E Balans VL '!I8/100/3.6*1000000</f>
        <v>150.90421290786881</v>
      </c>
      <c r="F12" s="33">
        <f>$C$32*('E Balans VL '!L8+'E Balans VL '!N8)/100/3.6*1000000</f>
        <v>2460.3612094748705</v>
      </c>
      <c r="G12" s="34"/>
      <c r="H12" s="33"/>
      <c r="I12" s="33"/>
      <c r="J12" s="33">
        <f>$C$32*('E Balans VL '!D8+'E Balans VL '!E8)/100/3.6*1000000</f>
        <v>0</v>
      </c>
      <c r="K12" s="33"/>
      <c r="L12" s="33"/>
      <c r="M12" s="33"/>
      <c r="N12" s="33">
        <f>$C$32*'E Balans VL '!Y8/100/3.6*1000000</f>
        <v>1423.5036794597502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160389.47969899999</v>
      </c>
      <c r="C16" s="21">
        <f t="shared" ca="1" si="1"/>
        <v>0</v>
      </c>
      <c r="D16" s="21">
        <f t="shared" ca="1" si="1"/>
        <v>72250.446725861751</v>
      </c>
      <c r="E16" s="21">
        <f t="shared" si="1"/>
        <v>1109.9884260339691</v>
      </c>
      <c r="F16" s="21">
        <f t="shared" ca="1" si="1"/>
        <v>20197.045964276505</v>
      </c>
      <c r="G16" s="21">
        <f t="shared" si="1"/>
        <v>0</v>
      </c>
      <c r="H16" s="21">
        <f t="shared" si="1"/>
        <v>0</v>
      </c>
      <c r="I16" s="21">
        <f t="shared" si="1"/>
        <v>0</v>
      </c>
      <c r="J16" s="21">
        <f t="shared" si="1"/>
        <v>0</v>
      </c>
      <c r="K16" s="21">
        <f t="shared" si="1"/>
        <v>0</v>
      </c>
      <c r="L16" s="21">
        <f t="shared" ca="1" si="1"/>
        <v>0</v>
      </c>
      <c r="M16" s="21">
        <f t="shared" si="1"/>
        <v>0</v>
      </c>
      <c r="N16" s="21">
        <f t="shared" ca="1" si="1"/>
        <v>3496.8625866758202</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0.21969722177257209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35237.123091418653</v>
      </c>
      <c r="C20" s="23">
        <f t="shared" ref="C20:P20" ca="1" si="2">C16*C18</f>
        <v>0</v>
      </c>
      <c r="D20" s="23">
        <f t="shared" ca="1" si="2"/>
        <v>14594.590238624074</v>
      </c>
      <c r="E20" s="23">
        <f t="shared" si="2"/>
        <v>251.96737270971099</v>
      </c>
      <c r="F20" s="23">
        <f t="shared" ca="1" si="2"/>
        <v>5392.611272461827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117000</v>
      </c>
      <c r="C26" s="39">
        <f>IF(ISERROR(B26*3.6/1000000/'E Balans VL '!Z12*100),0,B26*3.6/1000000/'E Balans VL '!Z12*100)</f>
        <v>2.5700402655451189</v>
      </c>
      <c r="D26" s="237" t="s">
        <v>692</v>
      </c>
      <c r="F26" s="6"/>
    </row>
    <row r="27" spans="1:18">
      <c r="A27" s="231" t="s">
        <v>53</v>
      </c>
      <c r="B27" s="33">
        <f>IF(ISERROR(TER_horeca_ele_kWh/1000),0,TER_horeca_ele_kWh/1000)</f>
        <v>10936.367</v>
      </c>
      <c r="C27" s="39">
        <f>IF(ISERROR(B27*3.6/1000000/'E Balans VL '!Z9*100),0,B27*3.6/1000000/'E Balans VL '!Z9*100)</f>
        <v>0.87884610344384095</v>
      </c>
      <c r="D27" s="237" t="s">
        <v>692</v>
      </c>
      <c r="F27" s="6"/>
    </row>
    <row r="28" spans="1:18">
      <c r="A28" s="171" t="s">
        <v>52</v>
      </c>
      <c r="B28" s="33">
        <f>IF(ISERROR(TER_handel_ele_kWh/1000),0,TER_handel_ele_kWh/1000)</f>
        <v>14638.538</v>
      </c>
      <c r="C28" s="39">
        <f>IF(ISERROR(B28*3.6/1000000/'E Balans VL '!Z13*100),0,B28*3.6/1000000/'E Balans VL '!Z13*100)</f>
        <v>0.43285134196262764</v>
      </c>
      <c r="D28" s="237" t="s">
        <v>692</v>
      </c>
      <c r="F28" s="6"/>
    </row>
    <row r="29" spans="1:18">
      <c r="A29" s="231" t="s">
        <v>51</v>
      </c>
      <c r="B29" s="33">
        <f>IF(ISERROR(TER_gezond_ele_kWh/1000),0,TER_gezond_ele_kWh/1000)</f>
        <v>12.263219999999999</v>
      </c>
      <c r="C29" s="39">
        <f>IF(ISERROR(B29*3.6/1000000/'E Balans VL '!Z10*100),0,B29*3.6/1000000/'E Balans VL '!Z10*100)</f>
        <v>1.3817482855687036E-3</v>
      </c>
      <c r="D29" s="237" t="s">
        <v>692</v>
      </c>
      <c r="F29" s="6"/>
    </row>
    <row r="30" spans="1:18">
      <c r="A30" s="231" t="s">
        <v>50</v>
      </c>
      <c r="B30" s="33">
        <f>IF(ISERROR(TER_ander_ele_kWh/1000),0,TER_ander_ele_kWh/1000)</f>
        <v>1108.1769999999999</v>
      </c>
      <c r="C30" s="39">
        <f>IF(ISERROR(B30*3.6/1000000/'E Balans VL '!Z14*100),0,B30*3.6/1000000/'E Balans VL '!Z14*100)</f>
        <v>8.3809532166986098E-2</v>
      </c>
      <c r="D30" s="237" t="s">
        <v>692</v>
      </c>
      <c r="F30" s="6"/>
    </row>
    <row r="31" spans="1:18">
      <c r="A31" s="231" t="s">
        <v>55</v>
      </c>
      <c r="B31" s="33">
        <f>IF(ISERROR(TER_onderwijs_ele_kWh/1000),0,TER_onderwijs_ele_kWh/1000)</f>
        <v>3.314479</v>
      </c>
      <c r="C31" s="39">
        <f>IF(ISERROR(B31*3.6/1000000/'E Balans VL '!Z11*100),0,B31*3.6/1000000/'E Balans VL '!Z11*100)</f>
        <v>6.8800889807318173E-4</v>
      </c>
      <c r="D31" s="237" t="s">
        <v>692</v>
      </c>
    </row>
    <row r="32" spans="1:18">
      <c r="A32" s="231" t="s">
        <v>260</v>
      </c>
      <c r="B32" s="33">
        <f>IF(ISERROR(TER_rest_ele_kWh/1000),0,TER_rest_ele_kWh/1000)</f>
        <v>16690.82</v>
      </c>
      <c r="C32" s="39">
        <f>IF(ISERROR(B32*3.6/1000000/'E Balans VL '!Z8*100),0,B32*3.6/1000000/'E Balans VL '!Z8*100)</f>
        <v>0.14061033962310676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13911.20104</v>
      </c>
      <c r="C5" s="17">
        <f>IF(ISERROR('Eigen informatie GS &amp; warmtenet'!B59),0,'Eigen informatie GS &amp; warmtenet'!B59)</f>
        <v>0</v>
      </c>
      <c r="D5" s="30">
        <f>SUM(D6:D15)</f>
        <v>5686.5752769575301</v>
      </c>
      <c r="E5" s="17">
        <f>SUM(E6:E15)</f>
        <v>1320.639637206418</v>
      </c>
      <c r="F5" s="17">
        <f>SUM(F6:F15)</f>
        <v>4373.5193371694641</v>
      </c>
      <c r="G5" s="18"/>
      <c r="H5" s="17"/>
      <c r="I5" s="17"/>
      <c r="J5" s="17">
        <f>SUM(J6:J15)</f>
        <v>28.50753830318293</v>
      </c>
      <c r="K5" s="17"/>
      <c r="L5" s="17"/>
      <c r="M5" s="17"/>
      <c r="N5" s="17">
        <f>SUM(N6:N15)</f>
        <v>2492.6687315060208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107.84099999999999</v>
      </c>
      <c r="C8" s="33"/>
      <c r="D8" s="37">
        <f>IF( ISERROR(IND_metaal_Gas_kWH/1000),0,IND_metaal_Gas_kWH/1000)*0.902</f>
        <v>0</v>
      </c>
      <c r="E8" s="33">
        <f>C30*'E Balans VL '!I18/100/3.6*1000000</f>
        <v>2.6988827945860265</v>
      </c>
      <c r="F8" s="33">
        <f>C30*'E Balans VL '!L18/100/3.6*1000000+C30*'E Balans VL '!N18/100/3.6*1000000</f>
        <v>33.79790582872144</v>
      </c>
      <c r="G8" s="34"/>
      <c r="H8" s="33"/>
      <c r="I8" s="33"/>
      <c r="J8" s="40">
        <f>C30*'E Balans VL '!D18/100/3.6*1000000+C30*'E Balans VL '!E18/100/3.6*1000000</f>
        <v>0</v>
      </c>
      <c r="K8" s="33"/>
      <c r="L8" s="33"/>
      <c r="M8" s="33"/>
      <c r="N8" s="33">
        <f>C30*'E Balans VL '!Y18/100/3.6*1000000</f>
        <v>2.7092457918000092</v>
      </c>
      <c r="O8" s="33"/>
      <c r="P8" s="33"/>
      <c r="R8" s="32"/>
    </row>
    <row r="9" spans="1:18">
      <c r="A9" s="6" t="s">
        <v>33</v>
      </c>
      <c r="B9" s="37">
        <f t="shared" si="0"/>
        <v>3488.3629999999998</v>
      </c>
      <c r="C9" s="33"/>
      <c r="D9" s="37">
        <f>IF( ISERROR(IND_andere_gas_kWh/1000),0,IND_andere_gas_kWh/1000)*0.902</f>
        <v>3663.5071075904307</v>
      </c>
      <c r="E9" s="33">
        <f>C31*'E Balans VL '!I19/100/3.6*1000000</f>
        <v>959.15674959762237</v>
      </c>
      <c r="F9" s="33">
        <f>C31*'E Balans VL '!L19/100/3.6*1000000+C31*'E Balans VL '!N19/100/3.6*1000000</f>
        <v>2749.4370627447079</v>
      </c>
      <c r="G9" s="34"/>
      <c r="H9" s="33"/>
      <c r="I9" s="33"/>
      <c r="J9" s="40">
        <f>C31*'E Balans VL '!D19/100/3.6*1000000+C31*'E Balans VL '!E19/100/3.6*1000000</f>
        <v>0</v>
      </c>
      <c r="K9" s="33"/>
      <c r="L9" s="33"/>
      <c r="M9" s="33"/>
      <c r="N9" s="33">
        <f>C31*'E Balans VL '!Y19/100/3.6*1000000</f>
        <v>1129.2751804750508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58.90204</v>
      </c>
      <c r="C13" s="33"/>
      <c r="D13" s="37">
        <f>IF( ISERROR(IND_papier_gas_kWh/1000),0,IND_papier_gas_kWh/1000)*0.902</f>
        <v>0</v>
      </c>
      <c r="E13" s="33">
        <f>C35*'E Balans VL '!I23/100/3.6*1000000</f>
        <v>0.1219901006319646</v>
      </c>
      <c r="F13" s="33">
        <f>C35*'E Balans VL '!L23/100/3.6*1000000+C35*'E Balans VL '!N23/100/3.6*1000000</f>
        <v>1.1681537291372497</v>
      </c>
      <c r="G13" s="34"/>
      <c r="H13" s="33"/>
      <c r="I13" s="33"/>
      <c r="J13" s="40">
        <f>C35*'E Balans VL '!D23/100/3.6*1000000+C35*'E Balans VL '!E23/100/3.6*1000000</f>
        <v>0</v>
      </c>
      <c r="K13" s="33"/>
      <c r="L13" s="33"/>
      <c r="M13" s="33"/>
      <c r="N13" s="33">
        <f>C35*'E Balans VL '!Y23/100/3.6*1000000</f>
        <v>24.871260856809293</v>
      </c>
      <c r="O13" s="33"/>
      <c r="P13" s="33"/>
      <c r="R13" s="32"/>
    </row>
    <row r="14" spans="1:18">
      <c r="A14" s="6" t="s">
        <v>34</v>
      </c>
      <c r="B14" s="37">
        <f t="shared" si="0"/>
        <v>3461.0309999999999</v>
      </c>
      <c r="C14" s="33"/>
      <c r="D14" s="37">
        <f>IF( ISERROR(IND_chemie_gas_kWh/1000),0,IND_chemie_gas_kWh/1000)*0.902</f>
        <v>0</v>
      </c>
      <c r="E14" s="33">
        <f>C36*'E Balans VL '!I24/100/3.6*1000000</f>
        <v>12.975974015951692</v>
      </c>
      <c r="F14" s="33">
        <f>C36*'E Balans VL '!L24/100/3.6*1000000+C36*'E Balans VL '!N24/100/3.6*1000000</f>
        <v>40.26547031745563</v>
      </c>
      <c r="G14" s="34"/>
      <c r="H14" s="33"/>
      <c r="I14" s="33"/>
      <c r="J14" s="40">
        <f>C36*'E Balans VL '!D24/100/3.6*1000000+C36*'E Balans VL '!E24/100/3.6*1000000</f>
        <v>0</v>
      </c>
      <c r="K14" s="33"/>
      <c r="L14" s="33"/>
      <c r="M14" s="33"/>
      <c r="N14" s="33">
        <f>C36*'E Balans VL '!Y24/100/3.6*1000000</f>
        <v>59.1300536187102</v>
      </c>
      <c r="O14" s="33"/>
      <c r="P14" s="33"/>
      <c r="R14" s="32"/>
    </row>
    <row r="15" spans="1:18">
      <c r="A15" s="6" t="s">
        <v>270</v>
      </c>
      <c r="B15" s="37">
        <f t="shared" si="0"/>
        <v>6795.0640000000003</v>
      </c>
      <c r="C15" s="33"/>
      <c r="D15" s="37">
        <f>IF( ISERROR(IND_rest_gas_kWh/1000),0,IND_rest_gas_kWh/1000)*0.902</f>
        <v>2023.0681693670997</v>
      </c>
      <c r="E15" s="33">
        <f>C37*'E Balans VL '!I15/100/3.6*1000000</f>
        <v>345.68604069762597</v>
      </c>
      <c r="F15" s="33">
        <f>C37*'E Balans VL '!L15/100/3.6*1000000+C37*'E Balans VL '!N15/100/3.6*1000000</f>
        <v>1548.8507445494415</v>
      </c>
      <c r="G15" s="34"/>
      <c r="H15" s="33"/>
      <c r="I15" s="33"/>
      <c r="J15" s="40">
        <f>C37*'E Balans VL '!D15/100/3.6*1000000+C37*'E Balans VL '!E15/100/3.6*1000000</f>
        <v>28.50753830318293</v>
      </c>
      <c r="K15" s="33"/>
      <c r="L15" s="33"/>
      <c r="M15" s="33"/>
      <c r="N15" s="33">
        <f>C37*'E Balans VL '!Y15/100/3.6*1000000</f>
        <v>1276.6829907636504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13911.20104</v>
      </c>
      <c r="C18" s="21">
        <f>C5+C16</f>
        <v>0</v>
      </c>
      <c r="D18" s="21">
        <f>MAX((D5+D16),0)</f>
        <v>5686.5752769575301</v>
      </c>
      <c r="E18" s="21">
        <f>MAX((E5+E16),0)</f>
        <v>1320.639637206418</v>
      </c>
      <c r="F18" s="21">
        <f>MAX((F5+F16),0)</f>
        <v>4373.5193371694641</v>
      </c>
      <c r="G18" s="21"/>
      <c r="H18" s="21"/>
      <c r="I18" s="21"/>
      <c r="J18" s="21">
        <f>MAX((J5+J16),0)</f>
        <v>28.50753830318293</v>
      </c>
      <c r="K18" s="21"/>
      <c r="L18" s="21">
        <f>MAX((L5+L16),0)</f>
        <v>0</v>
      </c>
      <c r="M18" s="21"/>
      <c r="N18" s="21">
        <f>MAX((N5+N16),0)</f>
        <v>2492.6687315060208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0.21969722177257209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3056.2522200077156</v>
      </c>
      <c r="C22" s="23">
        <f ca="1">C18*C20</f>
        <v>0</v>
      </c>
      <c r="D22" s="23">
        <f>D18*D20</f>
        <v>1148.6882059454213</v>
      </c>
      <c r="E22" s="23">
        <f>E18*E20</f>
        <v>299.7851976458569</v>
      </c>
      <c r="F22" s="23">
        <f>F18*F20</f>
        <v>1167.729663024247</v>
      </c>
      <c r="G22" s="23"/>
      <c r="H22" s="23"/>
      <c r="I22" s="23"/>
      <c r="J22" s="23">
        <f>J18*J20</f>
        <v>10.091668559326756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107.84099999999999</v>
      </c>
      <c r="C30" s="39">
        <f>IF(ISERROR(B30*3.6/1000000/'E Balans VL '!Z18*100),0,B30*3.6/1000000/'E Balans VL '!Z18*100)</f>
        <v>1.509414615897274E-2</v>
      </c>
      <c r="D30" s="237" t="s">
        <v>692</v>
      </c>
    </row>
    <row r="31" spans="1:18">
      <c r="A31" s="6" t="s">
        <v>33</v>
      </c>
      <c r="B31" s="37">
        <f>IF( ISERROR(IND_ander_ele_kWh/1000),0,IND_ander_ele_kWh/1000)</f>
        <v>3488.3629999999998</v>
      </c>
      <c r="C31" s="39">
        <f>IF(ISERROR(B31*3.6/1000000/'E Balans VL '!Z19*100),0,B31*3.6/1000000/'E Balans VL '!Z19*100)</f>
        <v>0.15268508261712255</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58.90204</v>
      </c>
      <c r="C35" s="39">
        <f>IF(ISERROR(B35*3.6/1000000/'E Balans VL '!Z22*100),0,B35*3.6/1000000/'E Balans VL '!Z22*100)</f>
        <v>1.6713995877919907E-3</v>
      </c>
      <c r="D35" s="237" t="s">
        <v>692</v>
      </c>
    </row>
    <row r="36" spans="1:5">
      <c r="A36" s="171" t="s">
        <v>34</v>
      </c>
      <c r="B36" s="37">
        <f>IF( ISERROR(IND_chemie_ele_kWh/1000),0,IND_chemie_ele_kWh/1000)</f>
        <v>3461.0309999999999</v>
      </c>
      <c r="C36" s="39">
        <f>IF(ISERROR(B36*3.6/1000000/'E Balans VL '!Z24*100),0,B36*3.6/1000000/'E Balans VL '!Z24*100)</f>
        <v>8.8251007800607059E-2</v>
      </c>
      <c r="D36" s="237" t="s">
        <v>692</v>
      </c>
    </row>
    <row r="37" spans="1:5">
      <c r="A37" s="171" t="s">
        <v>270</v>
      </c>
      <c r="B37" s="37">
        <f>IF( ISERROR(IND_rest_ele_kWh/1000),0,IND_rest_ele_kWh/1000)</f>
        <v>6795.0640000000003</v>
      </c>
      <c r="C37" s="39">
        <f>IF(ISERROR(B37*3.6/1000000/'E Balans VL '!Z15*100),0,B37*3.6/1000000/'E Balans VL '!Z15*100)</f>
        <v>5.038423619581376E-2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19.93881</v>
      </c>
      <c r="C5" s="17">
        <f>'Eigen informatie GS &amp; warmtenet'!B60</f>
        <v>0</v>
      </c>
      <c r="D5" s="30">
        <f>IF(ISERROR(SUM(LB_lb_gas_kWh,LB_rest_gas_kWh,onbekend_gas_kWh)/1000),0,SUM(LB_lb_gas_kWh,LB_rest_gas_kWh,onbekend_gas_kWh)/1000)*0.902</f>
        <v>3328.0754328914941</v>
      </c>
      <c r="E5" s="17">
        <f>B17*'E Balans VL '!I25/3.6*1000000/100</f>
        <v>0.18468160936128097</v>
      </c>
      <c r="F5" s="17">
        <f>B17*('E Balans VL '!L25/3.6*1000000+'E Balans VL '!N25/3.6*1000000)/100</f>
        <v>50.588559309407074</v>
      </c>
      <c r="G5" s="18"/>
      <c r="H5" s="17"/>
      <c r="I5" s="17"/>
      <c r="J5" s="17">
        <f>('E Balans VL '!D25+'E Balans VL '!E25)/3.6*1000000*landbouw!B17/100</f>
        <v>3.0568420907690399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19.93881</v>
      </c>
      <c r="C8" s="21">
        <f>C5+C6</f>
        <v>0</v>
      </c>
      <c r="D8" s="21">
        <f>MAX((D5+D6),0)</f>
        <v>3328.0754328914941</v>
      </c>
      <c r="E8" s="21">
        <f>MAX((E5+E6),0)</f>
        <v>0.18468160936128097</v>
      </c>
      <c r="F8" s="21">
        <f>MAX((F5+F6),0)</f>
        <v>50.588559309407074</v>
      </c>
      <c r="G8" s="21"/>
      <c r="H8" s="21"/>
      <c r="I8" s="21"/>
      <c r="J8" s="21">
        <f>MAX((J5+J6),0)</f>
        <v>3.0568420907690399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0.21969722177257209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4.3805011624511785</v>
      </c>
      <c r="C12" s="23">
        <f ca="1">C8*C10</f>
        <v>0</v>
      </c>
      <c r="D12" s="23">
        <f>D8*D10</f>
        <v>672.27123744408186</v>
      </c>
      <c r="E12" s="23">
        <f>E8*E10</f>
        <v>4.1922725325010783E-2</v>
      </c>
      <c r="F12" s="23">
        <f>F8*F10</f>
        <v>13.507145335611689</v>
      </c>
      <c r="G12" s="23"/>
      <c r="H12" s="23"/>
      <c r="I12" s="23"/>
      <c r="J12" s="23">
        <f>J8*J10</f>
        <v>1.0821221001322401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2.834876006151588E-3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0.57592148184027581</v>
      </c>
      <c r="C29" s="247">
        <f>B29*'GWP N2O_CH4'!B4</f>
        <v>178.53565937048549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1.2916904218928163E-4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2.3628422101844342E-4</v>
      </c>
      <c r="C5" s="464" t="s">
        <v>211</v>
      </c>
      <c r="D5" s="449">
        <f>SUM(D6:D11)</f>
        <v>5.9551121642303201E-4</v>
      </c>
      <c r="E5" s="449">
        <f>SUM(E6:E11)</f>
        <v>4.5844100222588828E-3</v>
      </c>
      <c r="F5" s="462" t="s">
        <v>211</v>
      </c>
      <c r="G5" s="449">
        <f>SUM(G6:G11)</f>
        <v>1.300615061929467</v>
      </c>
      <c r="H5" s="449">
        <f>SUM(H6:H11)</f>
        <v>0.23376299559298408</v>
      </c>
      <c r="I5" s="464" t="s">
        <v>211</v>
      </c>
      <c r="J5" s="464" t="s">
        <v>211</v>
      </c>
      <c r="K5" s="464" t="s">
        <v>211</v>
      </c>
      <c r="L5" s="464" t="s">
        <v>211</v>
      </c>
      <c r="M5" s="449">
        <f>SUM(M6:M11)</f>
        <v>8.2430734688397969E-2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3.111603261525474E-5</v>
      </c>
      <c r="C6" s="450"/>
      <c r="D6" s="963">
        <f>vkm_2011_GW_PW*SUMIFS(TableVerdeelsleutelVkm[CNG],TableVerdeelsleutelVkm[Voertuigtype],"Lichte voertuigen")*SUMIFS(TableECFTransport[EnergieConsumptieFactor (PJ per km)],TableECFTransport[Index],CONCATENATE($A6,"_CNG_CNG"))</f>
        <v>7.1974809172365206E-5</v>
      </c>
      <c r="E6" s="963">
        <f>vkm_2011_GW_PW*SUMIFS(TableVerdeelsleutelVkm[LPG],TableVerdeelsleutelVkm[Voertuigtype],"Lichte voertuigen")*SUMIFS(TableECFTransport[EnergieConsumptieFactor (PJ per km)],TableECFTransport[Index],CONCATENATE($A6,"_LPG_LPG"))</f>
        <v>4.6865649296065002E-4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9.7359919165344241E-2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2.7443749209867762E-2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6.476663414967835E-3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4.168027647473703E-2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1.4253897605278862E-5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2.4114402485921429E-3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1.5571768394987606E-5</v>
      </c>
      <c r="C8" s="450"/>
      <c r="D8" s="452">
        <f>vkm_2011_NGW_PW*SUMIFS(TableVerdeelsleutelVkm[CNG],TableVerdeelsleutelVkm[Voertuigtype],"Lichte voertuigen")*SUMIFS(TableECFTransport[EnergieConsumptieFactor (PJ per km)],TableECFTransport[Index],CONCATENATE($A8,"_CNG_CNG"))</f>
        <v>6.37074643684857E-5</v>
      </c>
      <c r="E8" s="452">
        <f>vkm_2011_NGW_PW*SUMIFS(TableVerdeelsleutelVkm[LPG],TableVerdeelsleutelVkm[Voertuigtype],"Lichte voertuigen")*SUMIFS(TableECFTransport[EnergieConsumptieFactor (PJ per km)],TableECFTransport[Index],CONCATENATE($A8,"_LPG_LPG"))</f>
        <v>3.8283988933799805E-4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7.4346944092939418E-2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2.3488107004743113E-2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5.0236988419510888E-3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1.8558452727966416E-2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6.0052991212051289E-6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1.073701175675958E-3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1.8959642000820109E-4</v>
      </c>
      <c r="C10" s="450"/>
      <c r="D10" s="452">
        <f>vkm_2011_SW_PW*SUMIFS(TableVerdeelsleutelVkm[CNG],TableVerdeelsleutelVkm[Voertuigtype],"Lichte voertuigen")*SUMIFS(TableECFTransport[EnergieConsumptieFactor (PJ per km)],TableECFTransport[Index],CONCATENATE($A10,"_CNG_CNG"))</f>
        <v>4.5982894288218104E-4</v>
      </c>
      <c r="E10" s="452">
        <f>vkm_2011_SW_PW*SUMIFS(TableVerdeelsleutelVkm[LPG],TableVerdeelsleutelVkm[Voertuigtype],"Lichte voertuigen")*SUMIFS(TableECFTransport[EnergieConsumptieFactor (PJ per km)],TableECFTransport[Index],CONCATENATE($A10,"_LPG_LPG"))</f>
        <v>3.7329136399602346E-3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0.69816203189911519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0.18267432512211959</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4.6008972430770123E-2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0.37050743756936466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1.3655505952713009E-4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2.1436258576440825E-2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65.634505838456505</v>
      </c>
      <c r="C14" s="21"/>
      <c r="D14" s="21">
        <f t="shared" ref="D14:M14" si="0">((D5)*10^9/3600)+D12</f>
        <v>165.41978233973111</v>
      </c>
      <c r="E14" s="21">
        <f t="shared" si="0"/>
        <v>1273.4472284052451</v>
      </c>
      <c r="F14" s="21"/>
      <c r="G14" s="21">
        <f t="shared" si="0"/>
        <v>361281.96164707415</v>
      </c>
      <c r="H14" s="21">
        <f t="shared" si="0"/>
        <v>64934.165442495578</v>
      </c>
      <c r="I14" s="21"/>
      <c r="J14" s="21"/>
      <c r="K14" s="21"/>
      <c r="L14" s="21"/>
      <c r="M14" s="21">
        <f t="shared" si="0"/>
        <v>22897.426302332769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0.21969722177257209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14.419718585124556</v>
      </c>
      <c r="C18" s="23"/>
      <c r="D18" s="23">
        <f t="shared" ref="D18:M18" si="1">D14*D16</f>
        <v>33.414796032625688</v>
      </c>
      <c r="E18" s="23">
        <f t="shared" si="1"/>
        <v>289.07252084799063</v>
      </c>
      <c r="F18" s="23"/>
      <c r="G18" s="23">
        <f t="shared" si="1"/>
        <v>96462.283759768805</v>
      </c>
      <c r="H18" s="23">
        <f t="shared" si="1"/>
        <v>16168.607195181399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1.4681831384332102E-2</v>
      </c>
      <c r="H50" s="321">
        <f t="shared" si="2"/>
        <v>0</v>
      </c>
      <c r="I50" s="321">
        <f t="shared" si="2"/>
        <v>0</v>
      </c>
      <c r="J50" s="321">
        <f t="shared" si="2"/>
        <v>0</v>
      </c>
      <c r="K50" s="321">
        <f t="shared" si="2"/>
        <v>0</v>
      </c>
      <c r="L50" s="321">
        <f t="shared" si="2"/>
        <v>0</v>
      </c>
      <c r="M50" s="321">
        <f t="shared" si="2"/>
        <v>8.3726204399793731E-4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1.4681831384332102E-2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8.3726204399793731E-4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4078.2864956478061</v>
      </c>
      <c r="H54" s="21">
        <f t="shared" si="3"/>
        <v>0</v>
      </c>
      <c r="I54" s="21">
        <f t="shared" si="3"/>
        <v>0</v>
      </c>
      <c r="J54" s="21">
        <f t="shared" si="3"/>
        <v>0</v>
      </c>
      <c r="K54" s="21">
        <f t="shared" si="3"/>
        <v>0</v>
      </c>
      <c r="L54" s="21">
        <f t="shared" si="3"/>
        <v>0</v>
      </c>
      <c r="M54" s="21">
        <f t="shared" si="3"/>
        <v>232.57278999942704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0.21969722177257209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1088.9024943379643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1154.4805433258807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1154.4805433258807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161825.36869899998</v>
      </c>
      <c r="D10" s="719">
        <f ca="1">tertiair!C16</f>
        <v>0</v>
      </c>
      <c r="E10" s="719">
        <f ca="1">tertiair!D16</f>
        <v>72250.446725861751</v>
      </c>
      <c r="F10" s="719">
        <f>tertiair!E16</f>
        <v>1109.9884260339691</v>
      </c>
      <c r="G10" s="719">
        <f ca="1">tertiair!F16</f>
        <v>20197.045964276505</v>
      </c>
      <c r="H10" s="719">
        <f>tertiair!G16</f>
        <v>0</v>
      </c>
      <c r="I10" s="719">
        <f>tertiair!H16</f>
        <v>0</v>
      </c>
      <c r="J10" s="719">
        <f>tertiair!I16</f>
        <v>0</v>
      </c>
      <c r="K10" s="719">
        <f>tertiair!J16</f>
        <v>0</v>
      </c>
      <c r="L10" s="719">
        <f>tertiair!K16</f>
        <v>0</v>
      </c>
      <c r="M10" s="719">
        <f ca="1">tertiair!L16</f>
        <v>0</v>
      </c>
      <c r="N10" s="719">
        <f>tertiair!M16</f>
        <v>0</v>
      </c>
      <c r="O10" s="719">
        <f ca="1">tertiair!N16</f>
        <v>3496.8625866758202</v>
      </c>
      <c r="P10" s="719">
        <f>tertiair!O16</f>
        <v>1.5633333333333335</v>
      </c>
      <c r="Q10" s="720">
        <f>tertiair!P16</f>
        <v>324.13333333333333</v>
      </c>
      <c r="R10" s="722">
        <f ca="1">SUM(C10:Q10)</f>
        <v>259205.40906851468</v>
      </c>
      <c r="S10" s="67"/>
    </row>
    <row r="11" spans="1:19" s="475" customFormat="1">
      <c r="A11" s="871" t="s">
        <v>225</v>
      </c>
      <c r="B11" s="876"/>
      <c r="C11" s="719">
        <f>huishoudens!B8</f>
        <v>20021.013288619975</v>
      </c>
      <c r="D11" s="719">
        <f>huishoudens!C8</f>
        <v>0</v>
      </c>
      <c r="E11" s="719">
        <f>huishoudens!D8</f>
        <v>59595.121894410433</v>
      </c>
      <c r="F11" s="719">
        <f>huishoudens!E8</f>
        <v>350.3292007782573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2391.3713948451027</v>
      </c>
      <c r="P11" s="719">
        <f>huishoudens!O8</f>
        <v>32.830000000000005</v>
      </c>
      <c r="Q11" s="720">
        <f>huishoudens!P8</f>
        <v>57.2</v>
      </c>
      <c r="R11" s="722">
        <f>SUM(C11:Q11)</f>
        <v>82447.865778653766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13911.20104</v>
      </c>
      <c r="D13" s="719">
        <f>industrie!C18</f>
        <v>0</v>
      </c>
      <c r="E13" s="719">
        <f>industrie!D18</f>
        <v>5686.5752769575301</v>
      </c>
      <c r="F13" s="719">
        <f>industrie!E18</f>
        <v>1320.639637206418</v>
      </c>
      <c r="G13" s="719">
        <f>industrie!F18</f>
        <v>4373.5193371694641</v>
      </c>
      <c r="H13" s="719">
        <f>industrie!G18</f>
        <v>0</v>
      </c>
      <c r="I13" s="719">
        <f>industrie!H18</f>
        <v>0</v>
      </c>
      <c r="J13" s="719">
        <f>industrie!I18</f>
        <v>0</v>
      </c>
      <c r="K13" s="719">
        <f>industrie!J18</f>
        <v>28.50753830318293</v>
      </c>
      <c r="L13" s="719">
        <f>industrie!K18</f>
        <v>0</v>
      </c>
      <c r="M13" s="719">
        <f>industrie!L18</f>
        <v>0</v>
      </c>
      <c r="N13" s="719">
        <f>industrie!M18</f>
        <v>0</v>
      </c>
      <c r="O13" s="719">
        <f>industrie!N18</f>
        <v>2492.6687315060208</v>
      </c>
      <c r="P13" s="719">
        <f>industrie!O18</f>
        <v>0</v>
      </c>
      <c r="Q13" s="720">
        <f>industrie!P18</f>
        <v>0</v>
      </c>
      <c r="R13" s="722">
        <f>SUM(C13:Q13)</f>
        <v>27813.111561142621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195757.58302761998</v>
      </c>
      <c r="D15" s="724">
        <f t="shared" ref="D15:Q15" ca="1" si="0">SUM(D9:D14)</f>
        <v>0</v>
      </c>
      <c r="E15" s="724">
        <f t="shared" ca="1" si="0"/>
        <v>137532.14389722972</v>
      </c>
      <c r="F15" s="724">
        <f t="shared" si="0"/>
        <v>2780.9572640186443</v>
      </c>
      <c r="G15" s="724">
        <f t="shared" ca="1" si="0"/>
        <v>24570.565301445968</v>
      </c>
      <c r="H15" s="724">
        <f t="shared" si="0"/>
        <v>0</v>
      </c>
      <c r="I15" s="724">
        <f t="shared" si="0"/>
        <v>0</v>
      </c>
      <c r="J15" s="724">
        <f t="shared" si="0"/>
        <v>0</v>
      </c>
      <c r="K15" s="724">
        <f t="shared" si="0"/>
        <v>28.50753830318293</v>
      </c>
      <c r="L15" s="724">
        <f t="shared" si="0"/>
        <v>0</v>
      </c>
      <c r="M15" s="724">
        <f t="shared" ca="1" si="0"/>
        <v>0</v>
      </c>
      <c r="N15" s="724">
        <f t="shared" si="0"/>
        <v>0</v>
      </c>
      <c r="O15" s="724">
        <f t="shared" ca="1" si="0"/>
        <v>8380.9027130269442</v>
      </c>
      <c r="P15" s="724">
        <f t="shared" si="0"/>
        <v>34.393333333333338</v>
      </c>
      <c r="Q15" s="725">
        <f t="shared" si="0"/>
        <v>381.33333333333331</v>
      </c>
      <c r="R15" s="726">
        <f ca="1">SUM(R9:R14)</f>
        <v>369466.38640831108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4078.2864956478061</v>
      </c>
      <c r="I18" s="719">
        <f>transport!H54</f>
        <v>0</v>
      </c>
      <c r="J18" s="719">
        <f>transport!I54</f>
        <v>0</v>
      </c>
      <c r="K18" s="719">
        <f>transport!J54</f>
        <v>0</v>
      </c>
      <c r="L18" s="719">
        <f>transport!K54</f>
        <v>0</v>
      </c>
      <c r="M18" s="719">
        <f>transport!L54</f>
        <v>0</v>
      </c>
      <c r="N18" s="719">
        <f>transport!M54</f>
        <v>232.57278999942704</v>
      </c>
      <c r="O18" s="719">
        <f>transport!N54</f>
        <v>0</v>
      </c>
      <c r="P18" s="719">
        <f>transport!O54</f>
        <v>0</v>
      </c>
      <c r="Q18" s="720">
        <f>transport!P54</f>
        <v>0</v>
      </c>
      <c r="R18" s="722">
        <f>SUM(C18:Q18)</f>
        <v>4310.8592856472333</v>
      </c>
      <c r="S18" s="67"/>
    </row>
    <row r="19" spans="1:19" s="475" customFormat="1" ht="15" thickBot="1">
      <c r="A19" s="871" t="s">
        <v>307</v>
      </c>
      <c r="B19" s="876"/>
      <c r="C19" s="728">
        <f>transport!B14</f>
        <v>65.634505838456505</v>
      </c>
      <c r="D19" s="728">
        <f>transport!C14</f>
        <v>0</v>
      </c>
      <c r="E19" s="728">
        <f>transport!D14</f>
        <v>165.41978233973111</v>
      </c>
      <c r="F19" s="728">
        <f>transport!E14</f>
        <v>1273.4472284052451</v>
      </c>
      <c r="G19" s="728">
        <f>transport!F14</f>
        <v>0</v>
      </c>
      <c r="H19" s="728">
        <f>transport!G14</f>
        <v>361281.96164707415</v>
      </c>
      <c r="I19" s="728">
        <f>transport!H14</f>
        <v>64934.165442495578</v>
      </c>
      <c r="J19" s="728">
        <f>transport!I14</f>
        <v>0</v>
      </c>
      <c r="K19" s="728">
        <f>transport!J14</f>
        <v>0</v>
      </c>
      <c r="L19" s="728">
        <f>transport!K14</f>
        <v>0</v>
      </c>
      <c r="M19" s="728">
        <f>transport!L14</f>
        <v>0</v>
      </c>
      <c r="N19" s="728">
        <f>transport!M14</f>
        <v>22897.426302332769</v>
      </c>
      <c r="O19" s="728">
        <f>transport!N14</f>
        <v>0</v>
      </c>
      <c r="P19" s="728">
        <f>transport!O14</f>
        <v>0</v>
      </c>
      <c r="Q19" s="729">
        <f>transport!P14</f>
        <v>0</v>
      </c>
      <c r="R19" s="730">
        <f>SUM(C19:Q19)</f>
        <v>450618.05490848597</v>
      </c>
      <c r="S19" s="67"/>
    </row>
    <row r="20" spans="1:19" s="475" customFormat="1" ht="15.75" thickBot="1">
      <c r="A20" s="731" t="s">
        <v>230</v>
      </c>
      <c r="B20" s="879"/>
      <c r="C20" s="874">
        <f>SUM(C17:C19)</f>
        <v>65.634505838456505</v>
      </c>
      <c r="D20" s="732">
        <f t="shared" ref="D20:R20" si="1">SUM(D17:D19)</f>
        <v>0</v>
      </c>
      <c r="E20" s="732">
        <f t="shared" si="1"/>
        <v>165.41978233973111</v>
      </c>
      <c r="F20" s="732">
        <f t="shared" si="1"/>
        <v>1273.4472284052451</v>
      </c>
      <c r="G20" s="732">
        <f t="shared" si="1"/>
        <v>0</v>
      </c>
      <c r="H20" s="732">
        <f t="shared" si="1"/>
        <v>365360.24814272195</v>
      </c>
      <c r="I20" s="732">
        <f t="shared" si="1"/>
        <v>64934.165442495578</v>
      </c>
      <c r="J20" s="732">
        <f t="shared" si="1"/>
        <v>0</v>
      </c>
      <c r="K20" s="732">
        <f t="shared" si="1"/>
        <v>0</v>
      </c>
      <c r="L20" s="732">
        <f t="shared" si="1"/>
        <v>0</v>
      </c>
      <c r="M20" s="732">
        <f t="shared" si="1"/>
        <v>0</v>
      </c>
      <c r="N20" s="732">
        <f t="shared" si="1"/>
        <v>23129.999092332197</v>
      </c>
      <c r="O20" s="732">
        <f t="shared" si="1"/>
        <v>0</v>
      </c>
      <c r="P20" s="732">
        <f t="shared" si="1"/>
        <v>0</v>
      </c>
      <c r="Q20" s="733">
        <f t="shared" si="1"/>
        <v>0</v>
      </c>
      <c r="R20" s="734">
        <f t="shared" si="1"/>
        <v>454928.91419413319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19.93881</v>
      </c>
      <c r="D22" s="728">
        <f>+landbouw!C8</f>
        <v>0</v>
      </c>
      <c r="E22" s="728">
        <f>+landbouw!D8</f>
        <v>3328.0754328914941</v>
      </c>
      <c r="F22" s="728">
        <f>+landbouw!E8</f>
        <v>0.18468160936128097</v>
      </c>
      <c r="G22" s="728">
        <f>+landbouw!F8</f>
        <v>50.588559309407074</v>
      </c>
      <c r="H22" s="728">
        <f>+landbouw!G8</f>
        <v>0</v>
      </c>
      <c r="I22" s="728">
        <f>+landbouw!H8</f>
        <v>0</v>
      </c>
      <c r="J22" s="728">
        <f>+landbouw!I8</f>
        <v>0</v>
      </c>
      <c r="K22" s="728">
        <f>+landbouw!J8</f>
        <v>3.0568420907690399</v>
      </c>
      <c r="L22" s="728">
        <f>+landbouw!K8</f>
        <v>0</v>
      </c>
      <c r="M22" s="728">
        <f>+landbouw!L8</f>
        <v>0</v>
      </c>
      <c r="N22" s="728">
        <f>+landbouw!M8</f>
        <v>0</v>
      </c>
      <c r="O22" s="728">
        <f>+landbouw!N8</f>
        <v>0</v>
      </c>
      <c r="P22" s="728">
        <f>+landbouw!O8</f>
        <v>0</v>
      </c>
      <c r="Q22" s="729">
        <f>+landbouw!P8</f>
        <v>0</v>
      </c>
      <c r="R22" s="730">
        <f>SUM(C22:Q22)</f>
        <v>3401.8443259010314</v>
      </c>
      <c r="S22" s="67"/>
    </row>
    <row r="23" spans="1:19" s="475" customFormat="1" ht="17.25" thickTop="1" thickBot="1">
      <c r="A23" s="735" t="s">
        <v>116</v>
      </c>
      <c r="B23" s="865"/>
      <c r="C23" s="736">
        <f ca="1">C20+C15+C22</f>
        <v>195843.15634345842</v>
      </c>
      <c r="D23" s="736">
        <f t="shared" ref="D23:Q23" ca="1" si="2">D20+D15+D22</f>
        <v>0</v>
      </c>
      <c r="E23" s="736">
        <f t="shared" ca="1" si="2"/>
        <v>141025.63911246095</v>
      </c>
      <c r="F23" s="736">
        <f t="shared" si="2"/>
        <v>4054.5891740332509</v>
      </c>
      <c r="G23" s="736">
        <f t="shared" ca="1" si="2"/>
        <v>24621.153860755374</v>
      </c>
      <c r="H23" s="736">
        <f t="shared" si="2"/>
        <v>365360.24814272195</v>
      </c>
      <c r="I23" s="736">
        <f t="shared" si="2"/>
        <v>64934.165442495578</v>
      </c>
      <c r="J23" s="736">
        <f t="shared" si="2"/>
        <v>0</v>
      </c>
      <c r="K23" s="736">
        <f t="shared" si="2"/>
        <v>31.564380393951971</v>
      </c>
      <c r="L23" s="736">
        <f t="shared" si="2"/>
        <v>0</v>
      </c>
      <c r="M23" s="736">
        <f t="shared" ca="1" si="2"/>
        <v>0</v>
      </c>
      <c r="N23" s="736">
        <f t="shared" si="2"/>
        <v>23129.999092332197</v>
      </c>
      <c r="O23" s="736">
        <f t="shared" ca="1" si="2"/>
        <v>8380.9027130269442</v>
      </c>
      <c r="P23" s="736">
        <f t="shared" si="2"/>
        <v>34.393333333333338</v>
      </c>
      <c r="Q23" s="737">
        <f t="shared" si="2"/>
        <v>381.33333333333331</v>
      </c>
      <c r="R23" s="738">
        <f ca="1">R20+R15+R22</f>
        <v>827797.14492834522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35552.583915492447</v>
      </c>
      <c r="D36" s="719">
        <f ca="1">tertiair!C20</f>
        <v>0</v>
      </c>
      <c r="E36" s="719">
        <f ca="1">tertiair!D20</f>
        <v>14594.590238624074</v>
      </c>
      <c r="F36" s="719">
        <f>tertiair!E20</f>
        <v>251.96737270971099</v>
      </c>
      <c r="G36" s="719">
        <f ca="1">tertiair!F20</f>
        <v>5392.611272461827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55791.752799288064</v>
      </c>
    </row>
    <row r="37" spans="1:18">
      <c r="A37" s="886" t="s">
        <v>225</v>
      </c>
      <c r="B37" s="893"/>
      <c r="C37" s="719">
        <f ca="1">huishoudens!B12</f>
        <v>4398.5609965815556</v>
      </c>
      <c r="D37" s="719">
        <f ca="1">huishoudens!C12</f>
        <v>0</v>
      </c>
      <c r="E37" s="719">
        <f>huishoudens!D12</f>
        <v>12038.214622670908</v>
      </c>
      <c r="F37" s="719">
        <f>huishoudens!E12</f>
        <v>79.524728576664415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16516.300347829128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3056.2522200077156</v>
      </c>
      <c r="D39" s="719">
        <f ca="1">industrie!C22</f>
        <v>0</v>
      </c>
      <c r="E39" s="719">
        <f>industrie!D22</f>
        <v>1148.6882059454213</v>
      </c>
      <c r="F39" s="719">
        <f>industrie!E22</f>
        <v>299.7851976458569</v>
      </c>
      <c r="G39" s="719">
        <f>industrie!F22</f>
        <v>1167.729663024247</v>
      </c>
      <c r="H39" s="719">
        <f>industrie!G22</f>
        <v>0</v>
      </c>
      <c r="I39" s="719">
        <f>industrie!H22</f>
        <v>0</v>
      </c>
      <c r="J39" s="719">
        <f>industrie!I22</f>
        <v>0</v>
      </c>
      <c r="K39" s="719">
        <f>industrie!J22</f>
        <v>10.091668559326756</v>
      </c>
      <c r="L39" s="719">
        <f>industrie!K22</f>
        <v>0</v>
      </c>
      <c r="M39" s="719">
        <f>industrie!L22</f>
        <v>0</v>
      </c>
      <c r="N39" s="719">
        <f>industrie!M22</f>
        <v>0</v>
      </c>
      <c r="O39" s="719">
        <f>industrie!N22</f>
        <v>0</v>
      </c>
      <c r="P39" s="719">
        <f>industrie!O22</f>
        <v>0</v>
      </c>
      <c r="Q39" s="829">
        <f>industrie!P22</f>
        <v>0</v>
      </c>
      <c r="R39" s="919">
        <f ca="1">SUM(C39:Q39)</f>
        <v>5682.5469551825672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43007.397132081715</v>
      </c>
      <c r="D41" s="764">
        <f t="shared" ref="D41:R41" ca="1" si="4">SUM(D35:D40)</f>
        <v>0</v>
      </c>
      <c r="E41" s="764">
        <f t="shared" ca="1" si="4"/>
        <v>27781.493067240404</v>
      </c>
      <c r="F41" s="764">
        <f t="shared" si="4"/>
        <v>631.27729893223227</v>
      </c>
      <c r="G41" s="764">
        <f t="shared" ca="1" si="4"/>
        <v>6560.3409354860742</v>
      </c>
      <c r="H41" s="764">
        <f t="shared" si="4"/>
        <v>0</v>
      </c>
      <c r="I41" s="764">
        <f t="shared" si="4"/>
        <v>0</v>
      </c>
      <c r="J41" s="764">
        <f t="shared" si="4"/>
        <v>0</v>
      </c>
      <c r="K41" s="764">
        <f t="shared" si="4"/>
        <v>10.091668559326756</v>
      </c>
      <c r="L41" s="764">
        <f t="shared" si="4"/>
        <v>0</v>
      </c>
      <c r="M41" s="764">
        <f t="shared" ca="1" si="4"/>
        <v>0</v>
      </c>
      <c r="N41" s="764">
        <f t="shared" si="4"/>
        <v>0</v>
      </c>
      <c r="O41" s="764">
        <f t="shared" ca="1" si="4"/>
        <v>0</v>
      </c>
      <c r="P41" s="764">
        <f t="shared" si="4"/>
        <v>0</v>
      </c>
      <c r="Q41" s="765">
        <f t="shared" si="4"/>
        <v>0</v>
      </c>
      <c r="R41" s="766">
        <f t="shared" ca="1" si="4"/>
        <v>77990.600102299766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1088.9024943379643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1088.9024943379643</v>
      </c>
    </row>
    <row r="45" spans="1:18" ht="15" thickBot="1">
      <c r="A45" s="889" t="s">
        <v>307</v>
      </c>
      <c r="B45" s="899"/>
      <c r="C45" s="728">
        <f ca="1">transport!B18</f>
        <v>14.419718585124556</v>
      </c>
      <c r="D45" s="728">
        <f>transport!C18</f>
        <v>0</v>
      </c>
      <c r="E45" s="728">
        <f>transport!D18</f>
        <v>33.414796032625688</v>
      </c>
      <c r="F45" s="728">
        <f>transport!E18</f>
        <v>289.07252084799063</v>
      </c>
      <c r="G45" s="728">
        <f>transport!F18</f>
        <v>0</v>
      </c>
      <c r="H45" s="728">
        <f>transport!G18</f>
        <v>96462.283759768805</v>
      </c>
      <c r="I45" s="728">
        <f>transport!H18</f>
        <v>16168.607195181399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112967.79799041594</v>
      </c>
    </row>
    <row r="46" spans="1:18" ht="15.75" thickBot="1">
      <c r="A46" s="887" t="s">
        <v>230</v>
      </c>
      <c r="B46" s="900"/>
      <c r="C46" s="764">
        <f t="shared" ref="C46:R46" ca="1" si="5">SUM(C43:C45)</f>
        <v>14.419718585124556</v>
      </c>
      <c r="D46" s="764">
        <f t="shared" ca="1" si="5"/>
        <v>0</v>
      </c>
      <c r="E46" s="764">
        <f t="shared" si="5"/>
        <v>33.414796032625688</v>
      </c>
      <c r="F46" s="764">
        <f t="shared" si="5"/>
        <v>289.07252084799063</v>
      </c>
      <c r="G46" s="764">
        <f t="shared" si="5"/>
        <v>0</v>
      </c>
      <c r="H46" s="764">
        <f t="shared" si="5"/>
        <v>97551.186254106768</v>
      </c>
      <c r="I46" s="764">
        <f t="shared" si="5"/>
        <v>16168.607195181399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114056.70048475391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4.3805011624511785</v>
      </c>
      <c r="D48" s="719">
        <f ca="1">+landbouw!C12</f>
        <v>0</v>
      </c>
      <c r="E48" s="719">
        <f>+landbouw!D12</f>
        <v>672.27123744408186</v>
      </c>
      <c r="F48" s="719">
        <f>+landbouw!E12</f>
        <v>4.1922725325010783E-2</v>
      </c>
      <c r="G48" s="719">
        <f>+landbouw!F12</f>
        <v>13.507145335611689</v>
      </c>
      <c r="H48" s="719">
        <f>+landbouw!G12</f>
        <v>0</v>
      </c>
      <c r="I48" s="719">
        <f>+landbouw!H12</f>
        <v>0</v>
      </c>
      <c r="J48" s="719">
        <f>+landbouw!I12</f>
        <v>0</v>
      </c>
      <c r="K48" s="719">
        <f>+landbouw!J12</f>
        <v>1.0821221001322401</v>
      </c>
      <c r="L48" s="719">
        <f>+landbouw!K12</f>
        <v>0</v>
      </c>
      <c r="M48" s="719">
        <f>+landbouw!L12</f>
        <v>0</v>
      </c>
      <c r="N48" s="719">
        <f>+landbouw!M12</f>
        <v>0</v>
      </c>
      <c r="O48" s="719">
        <f>+landbouw!N12</f>
        <v>0</v>
      </c>
      <c r="P48" s="719">
        <f>+landbouw!O12</f>
        <v>0</v>
      </c>
      <c r="Q48" s="720">
        <f>+landbouw!P12</f>
        <v>0</v>
      </c>
      <c r="R48" s="762">
        <f ca="1">SUM(C48:Q48)</f>
        <v>691.2829287676019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43026.197351829287</v>
      </c>
      <c r="D53" s="774">
        <f t="shared" ref="D53:Q53" ca="1" si="6">D41+D46+D48</f>
        <v>0</v>
      </c>
      <c r="E53" s="774">
        <f t="shared" ca="1" si="6"/>
        <v>28487.179100717112</v>
      </c>
      <c r="F53" s="774">
        <f t="shared" si="6"/>
        <v>920.39174250554788</v>
      </c>
      <c r="G53" s="774">
        <f t="shared" ca="1" si="6"/>
        <v>6573.8480808216855</v>
      </c>
      <c r="H53" s="774">
        <f t="shared" si="6"/>
        <v>97551.186254106768</v>
      </c>
      <c r="I53" s="774">
        <f t="shared" si="6"/>
        <v>16168.607195181399</v>
      </c>
      <c r="J53" s="774">
        <f t="shared" si="6"/>
        <v>0</v>
      </c>
      <c r="K53" s="774">
        <f t="shared" si="6"/>
        <v>11.173790659458996</v>
      </c>
      <c r="L53" s="774">
        <f t="shared" si="6"/>
        <v>0</v>
      </c>
      <c r="M53" s="774">
        <f t="shared" ca="1" si="6"/>
        <v>0</v>
      </c>
      <c r="N53" s="774">
        <f t="shared" si="6"/>
        <v>0</v>
      </c>
      <c r="O53" s="774">
        <f t="shared" ca="1" si="6"/>
        <v>0</v>
      </c>
      <c r="P53" s="774">
        <f>P41+P46+P48</f>
        <v>0</v>
      </c>
      <c r="Q53" s="775">
        <f t="shared" si="6"/>
        <v>0</v>
      </c>
      <c r="R53" s="776">
        <f ca="1">R41+R46+R48</f>
        <v>192738.58351582129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0.21969722177257206</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1154.4805433258807</v>
      </c>
      <c r="C66" s="796">
        <f>'lokale energieproductie'!B6</f>
        <v>1154.4805433258807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1154.4805433258807</v>
      </c>
      <c r="C69" s="804">
        <f>SUM(C64:C68)</f>
        <v>1154.4805433258807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20021.013288619975</v>
      </c>
      <c r="C4" s="479">
        <f>huishoudens!C8</f>
        <v>0</v>
      </c>
      <c r="D4" s="479">
        <f>huishoudens!D8</f>
        <v>59595.121894410433</v>
      </c>
      <c r="E4" s="479">
        <f>huishoudens!E8</f>
        <v>350.3292007782573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2391.3713948451027</v>
      </c>
      <c r="O4" s="479">
        <f>huishoudens!O8</f>
        <v>32.830000000000005</v>
      </c>
      <c r="P4" s="480">
        <f>huishoudens!P8</f>
        <v>57.2</v>
      </c>
      <c r="Q4" s="481">
        <f>SUM(B4:P4)</f>
        <v>82447.865778653766</v>
      </c>
    </row>
    <row r="5" spans="1:17">
      <c r="A5" s="478" t="s">
        <v>156</v>
      </c>
      <c r="B5" s="479">
        <f ca="1">tertiair!B16</f>
        <v>160389.47969899999</v>
      </c>
      <c r="C5" s="479">
        <f ca="1">tertiair!C16</f>
        <v>0</v>
      </c>
      <c r="D5" s="479">
        <f ca="1">tertiair!D16</f>
        <v>72250.446725861751</v>
      </c>
      <c r="E5" s="479">
        <f>tertiair!E16</f>
        <v>1109.9884260339691</v>
      </c>
      <c r="F5" s="479">
        <f ca="1">tertiair!F16</f>
        <v>20197.045964276505</v>
      </c>
      <c r="G5" s="479">
        <f>tertiair!G16</f>
        <v>0</v>
      </c>
      <c r="H5" s="479">
        <f>tertiair!H16</f>
        <v>0</v>
      </c>
      <c r="I5" s="479">
        <f>tertiair!I16</f>
        <v>0</v>
      </c>
      <c r="J5" s="479">
        <f>tertiair!J16</f>
        <v>0</v>
      </c>
      <c r="K5" s="479">
        <f>tertiair!K16</f>
        <v>0</v>
      </c>
      <c r="L5" s="479">
        <f ca="1">tertiair!L16</f>
        <v>0</v>
      </c>
      <c r="M5" s="479">
        <f>tertiair!M16</f>
        <v>0</v>
      </c>
      <c r="N5" s="479">
        <f ca="1">tertiair!N16</f>
        <v>3496.8625866758202</v>
      </c>
      <c r="O5" s="479">
        <f>tertiair!O16</f>
        <v>1.5633333333333335</v>
      </c>
      <c r="P5" s="480">
        <f>tertiair!P16</f>
        <v>324.13333333333333</v>
      </c>
      <c r="Q5" s="478">
        <f t="shared" ref="Q5:Q13" ca="1" si="0">SUM(B5:P5)</f>
        <v>257769.52006851468</v>
      </c>
    </row>
    <row r="6" spans="1:17">
      <c r="A6" s="478" t="s">
        <v>194</v>
      </c>
      <c r="B6" s="479">
        <f>'openbare verlichting'!B8</f>
        <v>1435.8889999999999</v>
      </c>
      <c r="C6" s="479"/>
      <c r="D6" s="479"/>
      <c r="E6" s="479"/>
      <c r="F6" s="479"/>
      <c r="G6" s="479"/>
      <c r="H6" s="479"/>
      <c r="I6" s="479"/>
      <c r="J6" s="479"/>
      <c r="K6" s="479"/>
      <c r="L6" s="479"/>
      <c r="M6" s="479"/>
      <c r="N6" s="479"/>
      <c r="O6" s="479"/>
      <c r="P6" s="480"/>
      <c r="Q6" s="478">
        <f t="shared" si="0"/>
        <v>1435.8889999999999</v>
      </c>
    </row>
    <row r="7" spans="1:17">
      <c r="A7" s="478" t="s">
        <v>112</v>
      </c>
      <c r="B7" s="479">
        <f>landbouw!B8</f>
        <v>19.93881</v>
      </c>
      <c r="C7" s="479">
        <f>landbouw!C8</f>
        <v>0</v>
      </c>
      <c r="D7" s="479">
        <f>landbouw!D8</f>
        <v>3328.0754328914941</v>
      </c>
      <c r="E7" s="479">
        <f>landbouw!E8</f>
        <v>0.18468160936128097</v>
      </c>
      <c r="F7" s="479">
        <f>landbouw!F8</f>
        <v>50.588559309407074</v>
      </c>
      <c r="G7" s="479">
        <f>landbouw!G8</f>
        <v>0</v>
      </c>
      <c r="H7" s="479">
        <f>landbouw!H8</f>
        <v>0</v>
      </c>
      <c r="I7" s="479">
        <f>landbouw!I8</f>
        <v>0</v>
      </c>
      <c r="J7" s="479">
        <f>landbouw!J8</f>
        <v>3.0568420907690399</v>
      </c>
      <c r="K7" s="479">
        <f>landbouw!K8</f>
        <v>0</v>
      </c>
      <c r="L7" s="479">
        <f>landbouw!L8</f>
        <v>0</v>
      </c>
      <c r="M7" s="479">
        <f>landbouw!M8</f>
        <v>0</v>
      </c>
      <c r="N7" s="479">
        <f>landbouw!N8</f>
        <v>0</v>
      </c>
      <c r="O7" s="479">
        <f>landbouw!O8</f>
        <v>0</v>
      </c>
      <c r="P7" s="480">
        <f>landbouw!P8</f>
        <v>0</v>
      </c>
      <c r="Q7" s="478">
        <f t="shared" si="0"/>
        <v>3401.8443259010314</v>
      </c>
    </row>
    <row r="8" spans="1:17">
      <c r="A8" s="478" t="s">
        <v>650</v>
      </c>
      <c r="B8" s="479">
        <f>industrie!B18</f>
        <v>13911.20104</v>
      </c>
      <c r="C8" s="479">
        <f>industrie!C18</f>
        <v>0</v>
      </c>
      <c r="D8" s="479">
        <f>industrie!D18</f>
        <v>5686.5752769575301</v>
      </c>
      <c r="E8" s="479">
        <f>industrie!E18</f>
        <v>1320.639637206418</v>
      </c>
      <c r="F8" s="479">
        <f>industrie!F18</f>
        <v>4373.5193371694641</v>
      </c>
      <c r="G8" s="479">
        <f>industrie!G18</f>
        <v>0</v>
      </c>
      <c r="H8" s="479">
        <f>industrie!H18</f>
        <v>0</v>
      </c>
      <c r="I8" s="479">
        <f>industrie!I18</f>
        <v>0</v>
      </c>
      <c r="J8" s="479">
        <f>industrie!J18</f>
        <v>28.50753830318293</v>
      </c>
      <c r="K8" s="479">
        <f>industrie!K18</f>
        <v>0</v>
      </c>
      <c r="L8" s="479">
        <f>industrie!L18</f>
        <v>0</v>
      </c>
      <c r="M8" s="479">
        <f>industrie!M18</f>
        <v>0</v>
      </c>
      <c r="N8" s="479">
        <f>industrie!N18</f>
        <v>2492.6687315060208</v>
      </c>
      <c r="O8" s="479">
        <f>industrie!O18</f>
        <v>0</v>
      </c>
      <c r="P8" s="480">
        <f>industrie!P18</f>
        <v>0</v>
      </c>
      <c r="Q8" s="478">
        <f t="shared" si="0"/>
        <v>27813.111561142621</v>
      </c>
    </row>
    <row r="9" spans="1:17" s="484" customFormat="1">
      <c r="A9" s="482" t="s">
        <v>571</v>
      </c>
      <c r="B9" s="483">
        <f>transport!B14</f>
        <v>65.634505838456505</v>
      </c>
      <c r="C9" s="483"/>
      <c r="D9" s="483">
        <f>transport!D14</f>
        <v>165.41978233973111</v>
      </c>
      <c r="E9" s="483">
        <f>transport!E14</f>
        <v>1273.4472284052451</v>
      </c>
      <c r="F9" s="483"/>
      <c r="G9" s="483">
        <f>transport!G14</f>
        <v>361281.96164707415</v>
      </c>
      <c r="H9" s="483">
        <f>transport!H14</f>
        <v>64934.165442495578</v>
      </c>
      <c r="I9" s="483"/>
      <c r="J9" s="483"/>
      <c r="K9" s="483"/>
      <c r="L9" s="483"/>
      <c r="M9" s="483">
        <f>transport!M14</f>
        <v>22897.426302332769</v>
      </c>
      <c r="N9" s="483"/>
      <c r="O9" s="483"/>
      <c r="P9" s="483"/>
      <c r="Q9" s="482">
        <f>SUM(B9:P9)</f>
        <v>450618.05490848597</v>
      </c>
    </row>
    <row r="10" spans="1:17">
      <c r="A10" s="478" t="s">
        <v>561</v>
      </c>
      <c r="B10" s="479">
        <f>transport!B54</f>
        <v>0</v>
      </c>
      <c r="C10" s="479"/>
      <c r="D10" s="479">
        <f>transport!D54</f>
        <v>0</v>
      </c>
      <c r="E10" s="479"/>
      <c r="F10" s="479"/>
      <c r="G10" s="479">
        <f>transport!G54</f>
        <v>4078.2864956478061</v>
      </c>
      <c r="H10" s="479"/>
      <c r="I10" s="479"/>
      <c r="J10" s="479"/>
      <c r="K10" s="479"/>
      <c r="L10" s="479"/>
      <c r="M10" s="479">
        <f>transport!M54</f>
        <v>232.57278999942704</v>
      </c>
      <c r="N10" s="479"/>
      <c r="O10" s="479"/>
      <c r="P10" s="480"/>
      <c r="Q10" s="478">
        <f t="shared" si="0"/>
        <v>4310.8592856472333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195843.15634345839</v>
      </c>
      <c r="C14" s="489">
        <f t="shared" ref="C14:Q14" ca="1" si="1">SUM(C4:C13)</f>
        <v>0</v>
      </c>
      <c r="D14" s="489">
        <f t="shared" ca="1" si="1"/>
        <v>141025.63911246095</v>
      </c>
      <c r="E14" s="489">
        <f t="shared" si="1"/>
        <v>4054.5891740332509</v>
      </c>
      <c r="F14" s="489">
        <f t="shared" ca="1" si="1"/>
        <v>24621.153860755374</v>
      </c>
      <c r="G14" s="489">
        <f t="shared" si="1"/>
        <v>365360.24814272195</v>
      </c>
      <c r="H14" s="489">
        <f t="shared" si="1"/>
        <v>64934.165442495578</v>
      </c>
      <c r="I14" s="489">
        <f t="shared" si="1"/>
        <v>0</v>
      </c>
      <c r="J14" s="489">
        <f t="shared" si="1"/>
        <v>31.564380393951971</v>
      </c>
      <c r="K14" s="489">
        <f t="shared" si="1"/>
        <v>0</v>
      </c>
      <c r="L14" s="489">
        <f t="shared" ca="1" si="1"/>
        <v>0</v>
      </c>
      <c r="M14" s="489">
        <f t="shared" si="1"/>
        <v>23129.999092332197</v>
      </c>
      <c r="N14" s="489">
        <f t="shared" ca="1" si="1"/>
        <v>8380.9027130269442</v>
      </c>
      <c r="O14" s="489">
        <f t="shared" si="1"/>
        <v>34.393333333333338</v>
      </c>
      <c r="P14" s="490">
        <f t="shared" si="1"/>
        <v>381.33333333333331</v>
      </c>
      <c r="Q14" s="490">
        <f t="shared" ca="1" si="1"/>
        <v>827797.14492834534</v>
      </c>
    </row>
    <row r="16" spans="1:17">
      <c r="A16" s="492" t="s">
        <v>566</v>
      </c>
      <c r="B16" s="842">
        <f ca="1">huishoudens!B10</f>
        <v>0.21969722177257209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4398.5609965815556</v>
      </c>
      <c r="C21" s="479">
        <f t="shared" ref="C21:C28" ca="1" si="3">C4*$C$16</f>
        <v>0</v>
      </c>
      <c r="D21" s="479">
        <f t="shared" ref="D21:D30" si="4">D4*$D$16</f>
        <v>12038.214622670908</v>
      </c>
      <c r="E21" s="479">
        <f t="shared" ref="E21:E30" si="5">E4*$E$16</f>
        <v>79.524728576664415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16516.300347829128</v>
      </c>
    </row>
    <row r="22" spans="1:17">
      <c r="A22" s="478" t="s">
        <v>156</v>
      </c>
      <c r="B22" s="479">
        <f t="shared" ca="1" si="2"/>
        <v>35237.123091418653</v>
      </c>
      <c r="C22" s="479">
        <f t="shared" ca="1" si="3"/>
        <v>0</v>
      </c>
      <c r="D22" s="479">
        <f t="shared" ca="1" si="4"/>
        <v>14594.590238624074</v>
      </c>
      <c r="E22" s="479">
        <f t="shared" si="5"/>
        <v>251.96737270971099</v>
      </c>
      <c r="F22" s="479">
        <f t="shared" ca="1" si="6"/>
        <v>5392.611272461827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55476.291975214262</v>
      </c>
    </row>
    <row r="23" spans="1:17">
      <c r="A23" s="478" t="s">
        <v>194</v>
      </c>
      <c r="B23" s="479">
        <f t="shared" ca="1" si="2"/>
        <v>315.46082407379674</v>
      </c>
      <c r="C23" s="479"/>
      <c r="D23" s="479"/>
      <c r="E23" s="479"/>
      <c r="F23" s="479"/>
      <c r="G23" s="479"/>
      <c r="H23" s="479"/>
      <c r="I23" s="479"/>
      <c r="J23" s="479"/>
      <c r="K23" s="479"/>
      <c r="L23" s="479"/>
      <c r="M23" s="479"/>
      <c r="N23" s="479"/>
      <c r="O23" s="479"/>
      <c r="P23" s="480"/>
      <c r="Q23" s="478">
        <f t="shared" ca="1" si="17"/>
        <v>315.46082407379674</v>
      </c>
    </row>
    <row r="24" spans="1:17">
      <c r="A24" s="478" t="s">
        <v>112</v>
      </c>
      <c r="B24" s="479">
        <f t="shared" ca="1" si="2"/>
        <v>4.3805011624511785</v>
      </c>
      <c r="C24" s="479">
        <f t="shared" ca="1" si="3"/>
        <v>0</v>
      </c>
      <c r="D24" s="479">
        <f t="shared" si="4"/>
        <v>672.27123744408186</v>
      </c>
      <c r="E24" s="479">
        <f t="shared" si="5"/>
        <v>4.1922725325010783E-2</v>
      </c>
      <c r="F24" s="479">
        <f t="shared" si="6"/>
        <v>13.507145335611689</v>
      </c>
      <c r="G24" s="479">
        <f t="shared" si="7"/>
        <v>0</v>
      </c>
      <c r="H24" s="479">
        <f t="shared" si="8"/>
        <v>0</v>
      </c>
      <c r="I24" s="479">
        <f t="shared" si="9"/>
        <v>0</v>
      </c>
      <c r="J24" s="479">
        <f t="shared" si="10"/>
        <v>1.0821221001322401</v>
      </c>
      <c r="K24" s="479">
        <f t="shared" si="11"/>
        <v>0</v>
      </c>
      <c r="L24" s="479">
        <f t="shared" si="12"/>
        <v>0</v>
      </c>
      <c r="M24" s="479">
        <f t="shared" si="13"/>
        <v>0</v>
      </c>
      <c r="N24" s="479">
        <f t="shared" si="14"/>
        <v>0</v>
      </c>
      <c r="O24" s="479">
        <f t="shared" si="15"/>
        <v>0</v>
      </c>
      <c r="P24" s="480">
        <f t="shared" si="16"/>
        <v>0</v>
      </c>
      <c r="Q24" s="478">
        <f t="shared" ca="1" si="17"/>
        <v>691.2829287676019</v>
      </c>
    </row>
    <row r="25" spans="1:17">
      <c r="A25" s="478" t="s">
        <v>650</v>
      </c>
      <c r="B25" s="479">
        <f t="shared" ca="1" si="2"/>
        <v>3056.2522200077156</v>
      </c>
      <c r="C25" s="479">
        <f t="shared" ca="1" si="3"/>
        <v>0</v>
      </c>
      <c r="D25" s="479">
        <f t="shared" si="4"/>
        <v>1148.6882059454213</v>
      </c>
      <c r="E25" s="479">
        <f t="shared" si="5"/>
        <v>299.7851976458569</v>
      </c>
      <c r="F25" s="479">
        <f t="shared" si="6"/>
        <v>1167.729663024247</v>
      </c>
      <c r="G25" s="479">
        <f t="shared" si="7"/>
        <v>0</v>
      </c>
      <c r="H25" s="479">
        <f t="shared" si="8"/>
        <v>0</v>
      </c>
      <c r="I25" s="479">
        <f t="shared" si="9"/>
        <v>0</v>
      </c>
      <c r="J25" s="479">
        <f t="shared" si="10"/>
        <v>10.091668559326756</v>
      </c>
      <c r="K25" s="479">
        <f t="shared" si="11"/>
        <v>0</v>
      </c>
      <c r="L25" s="479">
        <f t="shared" si="12"/>
        <v>0</v>
      </c>
      <c r="M25" s="479">
        <f t="shared" si="13"/>
        <v>0</v>
      </c>
      <c r="N25" s="479">
        <f t="shared" si="14"/>
        <v>0</v>
      </c>
      <c r="O25" s="479">
        <f t="shared" si="15"/>
        <v>0</v>
      </c>
      <c r="P25" s="480">
        <f t="shared" si="16"/>
        <v>0</v>
      </c>
      <c r="Q25" s="478">
        <f t="shared" ca="1" si="17"/>
        <v>5682.5469551825672</v>
      </c>
    </row>
    <row r="26" spans="1:17" s="484" customFormat="1">
      <c r="A26" s="482" t="s">
        <v>571</v>
      </c>
      <c r="B26" s="836">
        <f t="shared" ca="1" si="2"/>
        <v>14.419718585124556</v>
      </c>
      <c r="C26" s="483"/>
      <c r="D26" s="483">
        <f t="shared" si="4"/>
        <v>33.414796032625688</v>
      </c>
      <c r="E26" s="483">
        <f t="shared" si="5"/>
        <v>289.07252084799063</v>
      </c>
      <c r="F26" s="483"/>
      <c r="G26" s="483">
        <f t="shared" si="7"/>
        <v>96462.283759768805</v>
      </c>
      <c r="H26" s="483">
        <f t="shared" si="8"/>
        <v>16168.607195181399</v>
      </c>
      <c r="I26" s="483"/>
      <c r="J26" s="483"/>
      <c r="K26" s="483"/>
      <c r="L26" s="483"/>
      <c r="M26" s="483">
        <f t="shared" si="13"/>
        <v>0</v>
      </c>
      <c r="N26" s="483"/>
      <c r="O26" s="483"/>
      <c r="P26" s="494"/>
      <c r="Q26" s="482">
        <f t="shared" ca="1" si="17"/>
        <v>112967.79799041594</v>
      </c>
    </row>
    <row r="27" spans="1:17">
      <c r="A27" s="478" t="s">
        <v>561</v>
      </c>
      <c r="B27" s="479">
        <f t="shared" ca="1" si="2"/>
        <v>0</v>
      </c>
      <c r="C27" s="479"/>
      <c r="D27" s="483">
        <f t="shared" si="4"/>
        <v>0</v>
      </c>
      <c r="E27" s="479"/>
      <c r="F27" s="479"/>
      <c r="G27" s="479">
        <f t="shared" si="7"/>
        <v>1088.9024943379643</v>
      </c>
      <c r="H27" s="479"/>
      <c r="I27" s="479"/>
      <c r="J27" s="479"/>
      <c r="K27" s="479"/>
      <c r="L27" s="479"/>
      <c r="M27" s="479">
        <f t="shared" si="13"/>
        <v>0</v>
      </c>
      <c r="N27" s="479"/>
      <c r="O27" s="479"/>
      <c r="P27" s="480"/>
      <c r="Q27" s="478">
        <f t="shared" ca="1" si="17"/>
        <v>1088.9024943379643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43026.197351829287</v>
      </c>
      <c r="C31" s="489">
        <f t="shared" ca="1" si="18"/>
        <v>0</v>
      </c>
      <c r="D31" s="489">
        <f t="shared" ca="1" si="18"/>
        <v>28487.179100717112</v>
      </c>
      <c r="E31" s="489">
        <f t="shared" si="18"/>
        <v>920.391742505548</v>
      </c>
      <c r="F31" s="489">
        <f t="shared" ca="1" si="18"/>
        <v>6573.8480808216855</v>
      </c>
      <c r="G31" s="489">
        <f t="shared" si="18"/>
        <v>97551.186254106768</v>
      </c>
      <c r="H31" s="489">
        <f t="shared" si="18"/>
        <v>16168.607195181399</v>
      </c>
      <c r="I31" s="489">
        <f t="shared" si="18"/>
        <v>0</v>
      </c>
      <c r="J31" s="489">
        <f t="shared" si="18"/>
        <v>11.173790659458996</v>
      </c>
      <c r="K31" s="489">
        <f t="shared" si="18"/>
        <v>0</v>
      </c>
      <c r="L31" s="489">
        <f t="shared" ca="1" si="18"/>
        <v>0</v>
      </c>
      <c r="M31" s="489">
        <f t="shared" si="18"/>
        <v>0</v>
      </c>
      <c r="N31" s="489">
        <f t="shared" ca="1" si="18"/>
        <v>0</v>
      </c>
      <c r="O31" s="489">
        <f t="shared" si="18"/>
        <v>0</v>
      </c>
      <c r="P31" s="490">
        <f t="shared" si="18"/>
        <v>0</v>
      </c>
      <c r="Q31" s="490">
        <f t="shared" ca="1" si="18"/>
        <v>192738.58351582126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0.21969722177257209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0.21969722177257209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0.21969722177257209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2019-01-01T21:31:07Z</dcterms:modified>
</cp:coreProperties>
</file>