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F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J15" i="14" l="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I7" i="18" l="1"/>
  <c r="I9" s="1"/>
  <c r="N7" i="48"/>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N12" i="13"/>
  <c r="O37" i="14" s="1"/>
  <c r="O11"/>
  <c r="C38" i="13"/>
  <c r="C39"/>
  <c r="C32"/>
  <c r="C34"/>
  <c r="E4" i="48"/>
  <c r="E21" s="1"/>
  <c r="F11" i="14"/>
  <c r="J4" i="48"/>
  <c r="J12" i="13"/>
  <c r="K37" i="14" s="1"/>
  <c r="K11"/>
  <c r="N5" i="48"/>
  <c r="L20" i="15"/>
  <c r="J67" i="14" l="1"/>
  <c r="J69" s="1"/>
  <c r="E5" i="48"/>
  <c r="E22" s="1"/>
  <c r="R22" i="14"/>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B14"/>
  <c r="C67" i="14"/>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F13" i="14" l="1"/>
  <c r="F15" s="1"/>
  <c r="F23" s="1"/>
  <c r="F55" s="1"/>
  <c r="K13"/>
  <c r="E8" i="48"/>
  <c r="E25" s="1"/>
  <c r="E31" s="1"/>
  <c r="J8"/>
  <c r="J25" s="1"/>
  <c r="J31" s="1"/>
  <c r="N25"/>
  <c r="N31" s="1"/>
  <c r="N14"/>
  <c r="K41" i="14"/>
  <c r="K53" s="1"/>
  <c r="E14" i="48"/>
  <c r="K15" i="14"/>
  <c r="K23" s="1"/>
  <c r="H55"/>
  <c r="E55"/>
  <c r="C78"/>
  <c r="C81" s="1"/>
  <c r="R19"/>
  <c r="R20" s="1"/>
  <c r="H14" i="48"/>
  <c r="G31"/>
  <c r="H26"/>
  <c r="H31" s="1"/>
  <c r="O53" i="14"/>
  <c r="G53"/>
  <c r="G55" s="1"/>
  <c r="O69" s="1"/>
  <c r="B9" i="6" s="1"/>
  <c r="B12" s="1"/>
  <c r="M53" i="14"/>
  <c r="M55" s="1"/>
  <c r="C12" i="13"/>
  <c r="D37" i="14" s="1"/>
  <c r="D41" s="1"/>
  <c r="C24" i="48"/>
  <c r="C28"/>
  <c r="C22"/>
  <c r="C25"/>
  <c r="C21"/>
  <c r="F25"/>
  <c r="F31" s="1"/>
  <c r="F14"/>
  <c r="J14" l="1"/>
  <c r="R13" i="14"/>
  <c r="R15" s="1"/>
  <c r="R23" s="1"/>
  <c r="Q8" i="48"/>
  <c r="Q14" s="1"/>
  <c r="K55"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<sst xmlns="http://schemas.openxmlformats.org/spreadsheetml/2006/main" count="2137" uniqueCount="871">
  <si>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</si>
  <si>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</si>
  <si>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</si>
  <si>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</si>
  <si>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</si>
  <si>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</si>
  <si>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</si>
  <si>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</si>
  <si>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</si>
  <si>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</si>
  <si>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</si>
  <si>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</si>
  <si>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</si>
  <si>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</si>
  <si>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</si>
  <si>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</si>
  <si>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</si>
  <si>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</si>
  <si>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</si>
  <si>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</si>
  <si>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</si>
  <si>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</si>
  <si>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</si>
  <si>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</si>
  <si>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</si>
  <si>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</si>
  <si>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</si>
  <si>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</si>
  <si>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</si>
  <si>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</si>
  <si>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</si>
  <si>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</si>
  <si>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</si>
  <si>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</si>
  <si>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</si>
  <si>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</si>
  <si>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</si>
  <si>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</si>
  <si>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</si>
  <si>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</si>
  <si>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</si>
  <si>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</si>
  <si>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</si>
  <si>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</si>
  <si>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</si>
  <si>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</si>
  <si>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</si>
  <si>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</si>
  <si>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</si>
  <si>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</si>
  <si>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</si>
  <si>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</si>
  <si>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</si>
  <si>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</si>
  <si>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</si>
  <si>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</si>
  <si>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</si>
  <si>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</si>
  <si>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</si>
  <si>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</si>
  <si>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</si>
  <si>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</si>
  <si>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</si>
  <si>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</si>
  <si>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</si>
  <si>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</si>
  <si>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</si>
  <si>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</si>
  <si>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</si>
  <si>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</si>
  <si>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</si>
  <si>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</si>
  <si>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</si>
  <si>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</si>
  <si>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</si>
  <si>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</si>
  <si>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</si>
  <si>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</si>
  <si>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</si>
  <si>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</si>
  <si>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</si>
  <si>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</si>
  <si>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</si>
  <si>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</si>
  <si>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</si>
  <si>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</si>
  <si>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</si>
  <si>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</si>
  <si>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</si>
  <si>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</si>
  <si>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</si>
  <si>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</si>
  <si>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</si>
  <si>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</si>
  <si>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</si>
  <si>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</si>
  <si>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</si>
  <si>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</si>
  <si>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</si>
  <si>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</si>
  <si>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</si>
  <si>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</si>
  <si>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</si>
  <si>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</si>
  <si>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</si>
  <si>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</si>
  <si>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</si>
  <si>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</si>
  <si>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</si>
  <si>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</si>
  <si>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</si>
  <si>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</si>
  <si>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</si>
  <si>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</si>
  <si>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</si>
  <si>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</si>
  <si>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</si>
  <si>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</si>
  <si>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</si>
  <si>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</si>
  <si>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</si>
  <si>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</si>
  <si>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</si>
  <si>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</si>
  <si>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</si>
  <si>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</si>
  <si>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</si>
  <si>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</si>
  <si>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</si>
  <si>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</si>
  <si>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</si>
  <si>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</si>
  <si>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</si>
  <si>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</si>
  <si>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</si>
  <si>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</si>
  <si>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</si>
  <si>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</si>
  <si>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</si>
  <si>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</si>
  <si>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</si>
  <si>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</si>
  <si>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</si>
  <si>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</si>
  <si>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</si>
  <si>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</si>
  <si>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</si>
  <si>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</si>
  <si>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</si>
  <si>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</si>
  <si>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</si>
  <si>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</si>
  <si>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</si>
  <si>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</si>
  <si>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</si>
  <si>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</si>
  <si>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</si>
  <si>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</si>
  <si>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</si>
  <si>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</si>
  <si>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</si>
  <si>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</si>
  <si>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</si>
  <si>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</si>
  <si>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</si>
  <si>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</si>
  <si>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</si>
  <si>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</si>
  <si>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</si>
  <si>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</si>
  <si>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</si>
  <si>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</si>
  <si>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</si>
  <si>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</si>
  <si>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</si>
  <si>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</si>
  <si>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</si>
  <si>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</si>
  <si>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</si>
  <si>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</si>
  <si>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</si>
  <si>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</si>
  <si>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</si>
  <si>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</si>
  <si>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</si>
  <si>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</si>
  <si>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</si>
  <si>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</si>
  <si>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</si>
  <si>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</si>
  <si>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</si>
  <si>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</si>
  <si>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</si>
  <si>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</si>
  <si>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</si>
  <si>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</si>
  <si>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</si>
  <si>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</si>
  <si>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</si>
  <si>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</si>
  <si>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</si>
  <si>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</si>
  <si>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</si>
  <si>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</si>
  <si>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</si>
  <si>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</si>
  <si>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</si>
  <si>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</si>
  <si>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</si>
  <si>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</si>
  <si>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</si>
  <si>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</si>
  <si>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</si>
  <si>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</si>
  <si>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</si>
  <si>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</si>
  <si>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</si>
  <si>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</si>
  <si>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</si>
  <si>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</si>
  <si>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</si>
  <si>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</si>
  <si>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</si>
  <si>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</si>
  <si>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</si>
  <si>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</si>
  <si>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</si>
  <si>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</si>
  <si>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</si>
  <si>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</si>
  <si>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</si>
  <si>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</si>
  <si>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</si>
  <si>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</si>
  <si>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</si>
  <si>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</si>
  <si>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</si>
  <si>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</si>
  <si>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</si>
  <si>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</si>
  <si>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</si>
  <si>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</si>
  <si>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</si>
  <si>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</si>
  <si>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</si>
  <si>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</si>
  <si>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</si>
  <si>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</si>
  <si>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</si>
  <si>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</si>
  <si>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</si>
  <si>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</si>
  <si>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</si>
  <si>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</si>
  <si>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</si>
  <si>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</si>
  <si>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</si>
  <si>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</si>
  <si>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</si>
  <si>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</si>
  <si>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</si>
  <si>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</si>
  <si>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</si>
  <si>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</si>
  <si>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</si>
  <si>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</si>
  <si>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</si>
  <si>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</si>
  <si>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</si>
  <si>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</si>
  <si>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</si>
  <si>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</si>
  <si>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</si>
  <si>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</si>
  <si>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</si>
  <si>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</si>
  <si>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</si>
  <si>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</si>
  <si>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</si>
  <si>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</si>
  <si>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</si>
  <si>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</si>
  <si>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</si>
  <si>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</si>
  <si>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</si>
  <si>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</si>
  <si>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</si>
  <si>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</si>
  <si>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</si>
  <si>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</si>
  <si>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</si>
  <si>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</si>
  <si>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</si>
  <si>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</si>
  <si>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</si>
  <si>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</si>
  <si>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</si>
  <si>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</si>
  <si>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</si>
  <si>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</si>
  <si>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</si>
  <si>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</si>
  <si>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</si>
  <si>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</si>
  <si>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</si>
  <si>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</si>
  <si>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</si>
  <si>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</si>
  <si>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</si>
  <si>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</si>
  <si>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</si>
  <si>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</si>
  <si>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</si>
  <si>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</si>
  <si>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</si>
  <si>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</si>
  <si>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</si>
  <si>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</si>
  <si>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</si>
  <si>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</si>
  <si>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</si>
  <si>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</si>
  <si>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</si>
  <si>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</si>
  <si>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</si>
  <si>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</si>
  <si>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</si>
  <si>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</si>
  <si>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</si>
  <si>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</si>
  <si>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</si>
  <si>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</si>
  <si>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</si>
  <si>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</si>
  <si>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</si>
  <si>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</si>
  <si>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</si>
  <si>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</si>
  <si>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</si>
  <si>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</si>
  <si>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</si>
  <si>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</si>
  <si>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</si>
  <si>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</si>
  <si>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</si>
  <si>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</si>
  <si>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</si>
  <si>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</si>
  <si>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</si>
  <si>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</si>
  <si>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</si>
  <si>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</si>
  <si>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</si>
  <si>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</si>
  <si>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</si>
  <si>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</si>
  <si>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</si>
  <si>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</si>
  <si>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</si>
  <si>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</si>
  <si>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</si>
  <si>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</si>
  <si>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</si>
  <si>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</si>
  <si>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</si>
  <si>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</si>
  <si>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</si>
  <si>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</si>
  <si>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</si>
  <si>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</si>
  <si>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</si>
  <si>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</si>
  <si>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</si>
  <si>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</si>
  <si>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</si>
  <si>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</si>
  <si>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</si>
  <si>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</si>
  <si>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</si>
  <si>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</si>
  <si>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</si>
  <si>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</si>
  <si>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</si>
  <si>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</si>
  <si>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</si>
  <si>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</si>
  <si>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</si>
  <si>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</si>
  <si>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</si>
  <si>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</si>
  <si>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</si>
  <si>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</si>
  <si>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</si>
  <si>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</si>
  <si>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</si>
  <si>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</si>
  <si>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</si>
  <si>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</si>
  <si>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</si>
  <si>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</si>
  <si>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</si>
  <si>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</si>
  <si>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</si>
  <si>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</si>
  <si>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</si>
  <si>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</si>
  <si>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</si>
  <si>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</si>
  <si>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</si>
  <si>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</si>
  <si>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</si>
  <si>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</si>
  <si>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</si>
  <si>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</si>
  <si>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</si>
  <si>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</si>
  <si>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</si>
  <si>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</si>
  <si>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</si>
  <si>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</si>
  <si>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</si>
  <si>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</si>
  <si>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</si>
  <si>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</si>
  <si>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</si>
  <si>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</si>
  <si>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</si>
  <si>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</si>
  <si>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</si>
  <si>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</si>
  <si>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</si>
  <si>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</si>
  <si>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</si>
  <si>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</si>
  <si>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</si>
  <si>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</si>
  <si>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</si>
  <si>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</si>
  <si>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</si>
  <si>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</si>
  <si>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</si>
  <si>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</si>
  <si>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</si>
  <si>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</si>
  <si>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</si>
  <si>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</si>
  <si>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</si>
  <si>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</si>
  <si>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</si>
  <si>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</si>
  <si>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</si>
  <si>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</si>
  <si>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</si>
  <si>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</si>
  <si>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</si>
  <si>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</si>
  <si>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</si>
  <si>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</si>
  <si>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</si>
  <si>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</si>
  <si>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</si>
  <si>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</si>
  <si>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</si>
  <si>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</si>
  <si>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</si>
  <si>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</si>
  <si>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</si>
  <si>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</si>
  <si>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</si>
  <si>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</si>
  <si>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</si>
  <si>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</si>
  <si>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</si>
  <si>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</si>
  <si>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</si>
  <si>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</si>
  <si>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</si>
  <si>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</si>
  <si>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</si>
  <si>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</si>
  <si>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</si>
  <si>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</si>
  <si>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</si>
  <si>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</si>
  <si>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</si>
  <si>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</si>
  <si>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</si>
  <si>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</si>
  <si>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</si>
  <si>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</si>
  <si>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</si>
  <si>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</si>
  <si>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</si>
  <si>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</si>
  <si>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</si>
  <si>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</si>
  <si>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</si>
  <si>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</si>
  <si>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</si>
  <si>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</si>
  <si>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</si>
  <si>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</si>
  <si>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</si>
  <si>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</si>
  <si>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</si>
  <si>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</si>
  <si>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</si>
  <si>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</si>
  <si>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</si>
  <si>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</si>
  <si>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</si>
  <si>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</si>
  <si>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</si>
  <si>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</si>
  <si>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</si>
  <si>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</si>
  <si>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</si>
  <si>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</si>
  <si>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</si>
  <si>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</si>
  <si>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</si>
  <si>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</si>
  <si>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</si>
  <si>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</si>
  <si>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</si>
  <si>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</si>
  <si>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</si>
  <si>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</si>
  <si>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</si>
  <si>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</si>
  <si>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</si>
  <si>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</si>
  <si>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</si>
  <si>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</si>
  <si>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</si>
  <si>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</si>
  <si>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</si>
  <si>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</si>
  <si>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</si>
  <si>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</si>
  <si>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</si>
  <si>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</si>
  <si>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</si>
  <si>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</si>
  <si>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</si>
  <si>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</si>
  <si>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</si>
  <si>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</si>
  <si>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</si>
  <si>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</si>
  <si>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</si>
  <si>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</si>
  <si>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</si>
  <si>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</si>
  <si>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</si>
  <si>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</si>
  <si>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</si>
  <si>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</si>
  <si>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</si>
  <si>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</si>
  <si>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</si>
  <si>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</si>
  <si>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</si>
  <si>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</si>
  <si>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</si>
  <si>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</si>
  <si>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</si>
  <si>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</si>
  <si>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</si>
  <si>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</si>
  <si>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</si>
  <si>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</si>
  <si>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</si>
  <si>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</si>
  <si>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</si>
  <si>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</si>
  <si>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</si>
  <si>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</si>
  <si>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</si>
  <si>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</si>
  <si>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</si>
  <si>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</si>
  <si>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</si>
  <si>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</si>
  <si>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</si>
  <si>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</si>
  <si>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</si>
  <si>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</si>
  <si>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</si>
  <si>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</si>
  <si>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</si>
  <si>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</si>
  <si>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</si>
  <si>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</si>
  <si>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</si>
  <si>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</si>
  <si>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</si>
  <si>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</si>
  <si>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</si>
  <si>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</si>
  <si>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</si>
  <si>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</si>
  <si>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</si>
  <si>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</si>
  <si>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</si>
  <si>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</si>
  <si>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</si>
  <si>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</si>
  <si>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</si>
  <si>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</si>
  <si>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</si>
  <si>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</si>
  <si>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</si>
  <si>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</si>
  <si>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</si>
  <si>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</si>
  <si>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</si>
  <si>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</si>
  <si>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</si>
  <si>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</si>
  <si>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</si>
  <si>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</si>
  <si>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</si>
  <si>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</si>
  <si>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</si>
  <si>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</si>
  <si>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</si>
  <si>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</si>
  <si>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</si>
  <si>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</si>
  <si>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</si>
  <si>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</si>
  <si>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</si>
  <si>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</si>
  <si>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</si>
  <si>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</si>
  <si>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</si>
  <si>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</si>
  <si>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</si>
  <si>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</si>
  <si>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</si>
  <si>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</si>
  <si>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</si>
  <si>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</si>
  <si>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</si>
  <si>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</si>
  <si>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</si>
  <si>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</si>
  <si>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</si>
  <si>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</si>
  <si>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</si>
  <si>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</si>
  <si>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</si>
  <si>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</si>
  <si>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</si>
  <si>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</si>
  <si>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</si>
  <si>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</si>
  <si>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</si>
  <si>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</si>
  <si>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</si>
  <si>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</si>
  <si>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</si>
  <si>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</si>
  <si>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</si>
  <si>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</si>
  <si>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</si>
  <si>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</si>
  <si>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</si>
  <si>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</si>
  <si>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</si>
  <si>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</si>
  <si>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</si>
  <si>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</si>
  <si>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</si>
  <si>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</si>
  <si>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</si>
  <si>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</si>
  <si>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</si>
  <si>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</si>
  <si>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</si>
  <si>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</si>
  <si>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</si>
  <si>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</si>
  <si>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</si>
  <si>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</si>
  <si>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</si>
  <si>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</si>
  <si>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</si>
  <si>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</si>
  <si>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</si>
  <si>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</si>
  <si>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</si>
  <si>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</si>
  <si>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</si>
  <si>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</si>
  <si>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</si>
  <si>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</si>
  <si>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</si>
  <si>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</si>
  <si>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</si>
  <si>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</si>
  <si>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</si>
  <si>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</si>
  <si>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</si>
  <si>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</si>
  <si>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</si>
  <si>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</si>
  <si>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</si>
  <si>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</si>
  <si>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</si>
  <si>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</si>
  <si>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</si>
  <si>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</si>
  <si>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</si>
  <si>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</si>
  <si>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</si>
  <si>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</si>
  <si>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</si>
  <si>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</si>
  <si>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</si>
  <si>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</si>
  <si>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</si>
  <si>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</si>
  <si>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</si>
  <si>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</si>
  <si>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</si>
  <si>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</si>
  <si>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</si>
  <si>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</si>
  <si>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</si>
  <si>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</si>
  <si>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</si>
  <si>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</si>
  <si>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</si>
  <si>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</si>
  <si>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</si>
  <si>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</si>
  <si>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</si>
  <si>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</si>
  <si>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</si>
  <si>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</si>
  <si>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</si>
  <si>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</si>
  <si>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</si>
  <si>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</si>
  <si>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</si>
  <si>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</si>
  <si>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</si>
  <si>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</si>
  <si>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</si>
  <si>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</si>
  <si>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</si>
  <si>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</si>
  <si>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</si>
  <si>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</si>
  <si>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</si>
  <si>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</si>
  <si>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</si>
  <si>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</si>
  <si>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</si>
  <si>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</si>
  <si>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</si>
  <si>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</si>
  <si>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</si>
  <si>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</si>
  <si>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</si>
  <si>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</si>
  <si>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</si>
  <si>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</si>
  <si>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</si>
  <si>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</si>
  <si>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</si>
  <si>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</si>
  <si>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</si>
  <si>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</si>
  <si>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</si>
  <si>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</si>
  <si>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</si>
  <si>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</si>
  <si>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</si>
  <si>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</si>
  <si>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</si>
  <si>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</si>
  <si>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</si>
  <si>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</si>
  <si>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</si>
  <si>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</si>
  <si>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</si>
  <si>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</si>
  <si>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</si>
  <si>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</si>
  <si>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</si>
  <si>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</si>
  <si>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</si>
  <si>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</si>
  <si>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</si>
  <si>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</si>
  <si>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</si>
  <si>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</si>
  <si>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</si>
  <si>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</si>
  <si>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</si>
  <si>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</si>
  <si>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</si>
  <si>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</si>
  <si>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</si>
  <si>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</si>
  <si>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</si>
  <si>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</si>
  <si>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</si>
  <si>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</si>
  <si>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</si>
  <si>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</si>
  <si>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</si>
  <si>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</si>
  <si>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</si>
  <si>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</si>
  <si>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</si>
  <si>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</si>
  <si>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</si>
  <si>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</si>
  <si>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</si>
  <si>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</si>
  <si>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</si>
  <si>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</si>
  <si>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</si>
  <si>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</si>
  <si>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</si>
  <si>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</si>
  <si>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</si>
  <si>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</si>
  <si>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</si>
  <si>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</si>
  <si>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</si>
  <si>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</si>
  <si>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</si>
  <si>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</si>
  <si>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</si>
  <si>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</si>
  <si>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</si>
  <si>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</si>
  <si>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</si>
  <si>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</si>
  <si>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</si>
  <si>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</si>
  <si>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</si>
  <si>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</si>
  <si>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</si>
  <si>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</si>
  <si>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</si>
  <si>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</si>
  <si>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</si>
  <si>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</si>
  <si>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</si>
  <si>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</si>
  <si>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</si>
  <si>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</si>
  <si>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</si>
  <si>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</si>
  <si>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</si>
  <si>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</si>
  <si>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</si>
  <si>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23038</t>
  </si>
  <si>
    <t>KAMPENHOUT</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</si>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</sst>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96326.563513668982</c:v>
                </c:pt>
                <c:pt idx="1">
                  <c:v>24586.38496063988</c:v>
                </c:pt>
                <c:pt idx="2">
                  <c:v>1264.963</c:v>
                </c:pt>
                <c:pt idx="3">
                  <c:v>4026.2962064168228</c:v>
                </c:pt>
                <c:pt idx="4">
                  <c:v>9705.3206955974219</c:v>
                </c:pt>
                <c:pt idx="5">
                  <c:v>67374.829085607256</c:v>
                </c:pt>
                <c:pt idx="6">
                  <c:v>2883.9699203266923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44928"/>
        <c:axId val="184059008"/>
      </c:barChart>
      <c:catAx>
        <c:axId val="184044928"/>
        <c:scaling>
          <c:orientation val="minMax"/>
        </c:scaling>
        <c:axPos val="b"/>
        <c:numFmt formatCode="General" sourceLinked="0"/>
        <c:tickLblPos val="nextTo"/>
        <c:crossAx val="184059008"/>
        <c:crosses val="autoZero"/>
        <c:auto val="1"/>
        <c:lblAlgn val="ctr"/>
        <c:lblOffset val="100"/>
      </c:catAx>
      <c:valAx>
        <c:axId val="184059008"/>
        <c:scaling>
          <c:orientation val="minMax"/>
        </c:scaling>
        <c:axPos val="l"/>
        <c:majorGridlines/>
        <c:numFmt formatCode="#,##0" sourceLinked="1"/>
        <c:tickLblPos val="nextTo"/>
        <c:crossAx val="1840449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96326.563513668982</c:v>
                </c:pt>
                <c:pt idx="1">
                  <c:v>24586.38496063988</c:v>
                </c:pt>
                <c:pt idx="2">
                  <c:v>1264.963</c:v>
                </c:pt>
                <c:pt idx="3">
                  <c:v>4026.2962064168228</c:v>
                </c:pt>
                <c:pt idx="4">
                  <c:v>9705.3206955974219</c:v>
                </c:pt>
                <c:pt idx="5">
                  <c:v>67374.829085607256</c:v>
                </c:pt>
                <c:pt idx="6">
                  <c:v>2883.9699203266923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20486.342686720825</c:v>
                </c:pt>
                <c:pt idx="1">
                  <c:v>4843.953562289561</c:v>
                </c:pt>
                <c:pt idx="2">
                  <c:v>251.65109847563977</c:v>
                </c:pt>
                <c:pt idx="3">
                  <c:v>1011.8552559686718</c:v>
                </c:pt>
                <c:pt idx="4">
                  <c:v>1750.172362053318</c:v>
                </c:pt>
                <c:pt idx="5">
                  <c:v>16879.31563010388</c:v>
                </c:pt>
                <c:pt idx="6">
                  <c:v>728.47704639654012</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12416"/>
        <c:axId val="184483840"/>
      </c:barChart>
      <c:catAx>
        <c:axId val="184412416"/>
        <c:scaling>
          <c:orientation val="minMax"/>
        </c:scaling>
        <c:axPos val="b"/>
        <c:numFmt formatCode="General" sourceLinked="0"/>
        <c:tickLblPos val="nextTo"/>
        <c:crossAx val="184483840"/>
        <c:crosses val="autoZero"/>
        <c:auto val="1"/>
        <c:lblAlgn val="ctr"/>
        <c:lblOffset val="100"/>
      </c:catAx>
      <c:valAx>
        <c:axId val="184483840"/>
        <c:scaling>
          <c:orientation val="minMax"/>
        </c:scaling>
        <c:axPos val="l"/>
        <c:majorGridlines/>
        <c:numFmt formatCode="#,##0" sourceLinked="1"/>
        <c:tickLblPos val="nextTo"/>
        <c:crossAx val="1844124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20486.342686720825</c:v>
                </c:pt>
                <c:pt idx="1">
                  <c:v>4843.953562289561</c:v>
                </c:pt>
                <c:pt idx="2">
                  <c:v>251.65109847563977</c:v>
                </c:pt>
                <c:pt idx="3">
                  <c:v>1011.8552559686718</c:v>
                </c:pt>
                <c:pt idx="4">
                  <c:v>1750.172362053318</c:v>
                </c:pt>
                <c:pt idx="5">
                  <c:v>16879.31563010388</c:v>
                </c:pt>
                <c:pt idx="6">
                  <c:v>728.47704639654012</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23038</v>
      </c>
      <c r="B6" s="416"/>
      <c r="C6" s="417"/>
    </row>
    <row r="7" spans="1:7" s="414" customFormat="1" ht="15.75" customHeight="1">
      <c r="A7" s="418" t="str">
        <f>txtMunicipality</f>
        <v>KAMPENHOUT</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23038</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4549</v>
      </c>
      <c r="C9" s="342">
        <v>4633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1394</v>
      </c>
    </row>
    <row r="15" spans="1:6">
      <c r="A15" s="348" t="s">
        <v>184</v>
      </c>
      <c r="B15" s="334">
        <v>0</v>
      </c>
    </row>
    <row r="16" spans="1:6">
      <c r="A16" s="348" t="s">
        <v>6</v>
      </c>
      <c r="B16" s="334">
        <v>0</v>
      </c>
    </row>
    <row r="17" spans="1:6">
      <c r="A17" s="348" t="s">
        <v>7</v>
      </c>
      <c r="B17" s="334">
        <v>38</v>
      </c>
    </row>
    <row r="18" spans="1:6">
      <c r="A18" s="348" t="s">
        <v>8</v>
      </c>
      <c r="B18" s="334">
        <v>35</v>
      </c>
    </row>
    <row r="19" spans="1:6">
      <c r="A19" s="348" t="s">
        <v>9</v>
      </c>
      <c r="B19" s="334">
        <v>50</v>
      </c>
    </row>
    <row r="20" spans="1:6">
      <c r="A20" s="348" t="s">
        <v>10</v>
      </c>
      <c r="B20" s="334">
        <v>23</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25</v>
      </c>
    </row>
    <row r="27" spans="1:6">
      <c r="A27" s="348" t="s">
        <v>17</v>
      </c>
      <c r="B27" s="334">
        <v>0</v>
      </c>
    </row>
    <row r="28" spans="1:6" s="356" customFormat="1">
      <c r="A28" s="355" t="s">
        <v>18</v>
      </c>
      <c r="B28" s="355">
        <v>0</v>
      </c>
    </row>
    <row r="29" spans="1:6">
      <c r="A29" s="355" t="s">
        <v>865</v>
      </c>
      <c r="B29" s="355">
        <v>152</v>
      </c>
      <c r="C29" s="356"/>
      <c r="D29" s="356"/>
      <c r="E29" s="356"/>
      <c r="F29" s="356"/>
    </row>
    <row r="30" spans="1:6">
      <c r="A30" s="341" t="s">
        <v>866</v>
      </c>
      <c r="B30" s="341">
        <v>17</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5</v>
      </c>
      <c r="F38" s="334">
        <v>110638</v>
      </c>
    </row>
    <row r="39" spans="1:6">
      <c r="A39" s="348" t="s">
        <v>30</v>
      </c>
      <c r="B39" s="348" t="s">
        <v>31</v>
      </c>
      <c r="C39" s="334">
        <v>2138</v>
      </c>
      <c r="D39" s="334">
        <v>38291329</v>
      </c>
      <c r="E39" s="334">
        <v>4534</v>
      </c>
      <c r="F39" s="334">
        <v>18886535.68</v>
      </c>
    </row>
    <row r="40" spans="1:6">
      <c r="A40" s="348" t="s">
        <v>30</v>
      </c>
      <c r="B40" s="348" t="s">
        <v>29</v>
      </c>
      <c r="C40" s="334">
        <v>0</v>
      </c>
      <c r="D40" s="334">
        <v>0</v>
      </c>
      <c r="E40" s="334">
        <v>0</v>
      </c>
      <c r="F40" s="334">
        <v>0</v>
      </c>
    </row>
    <row r="41" spans="1:6">
      <c r="A41" s="348" t="s">
        <v>32</v>
      </c>
      <c r="B41" s="348" t="s">
        <v>33</v>
      </c>
      <c r="C41" s="334">
        <v>20</v>
      </c>
      <c r="D41" s="334">
        <v>371628</v>
      </c>
      <c r="E41" s="334">
        <v>67</v>
      </c>
      <c r="F41" s="334">
        <v>464611</v>
      </c>
    </row>
    <row r="42" spans="1:6">
      <c r="A42" s="348" t="s">
        <v>32</v>
      </c>
      <c r="B42" s="348" t="s">
        <v>34</v>
      </c>
      <c r="C42" s="334">
        <v>0</v>
      </c>
      <c r="D42" s="334">
        <v>0</v>
      </c>
      <c r="E42" s="334">
        <v>3</v>
      </c>
      <c r="F42" s="334">
        <v>5511</v>
      </c>
    </row>
    <row r="43" spans="1:6">
      <c r="A43" s="348" t="s">
        <v>32</v>
      </c>
      <c r="B43" s="348" t="s">
        <v>35</v>
      </c>
      <c r="C43" s="334">
        <v>0</v>
      </c>
      <c r="D43" s="334">
        <v>0</v>
      </c>
      <c r="E43" s="334">
        <v>0</v>
      </c>
      <c r="F43" s="334">
        <v>0</v>
      </c>
    </row>
    <row r="44" spans="1:6">
      <c r="A44" s="348" t="s">
        <v>32</v>
      </c>
      <c r="B44" s="348" t="s">
        <v>36</v>
      </c>
      <c r="C44" s="334">
        <v>6</v>
      </c>
      <c r="D44" s="334">
        <v>506723</v>
      </c>
      <c r="E44" s="334">
        <v>18</v>
      </c>
      <c r="F44" s="334">
        <v>1083005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6</v>
      </c>
      <c r="F47" s="334">
        <v>2174041</v>
      </c>
    </row>
    <row r="48" spans="1:6">
      <c r="A48" s="348" t="s">
        <v>32</v>
      </c>
      <c r="B48" s="348" t="s">
        <v>29</v>
      </c>
      <c r="C48" s="334">
        <v>3</v>
      </c>
      <c r="D48" s="334">
        <v>410762</v>
      </c>
      <c r="E48" s="334">
        <v>4</v>
      </c>
      <c r="F48" s="334">
        <v>1398598.8176500001</v>
      </c>
    </row>
    <row r="49" spans="1:6">
      <c r="A49" s="348" t="s">
        <v>32</v>
      </c>
      <c r="B49" s="348" t="s">
        <v>40</v>
      </c>
      <c r="C49" s="334">
        <v>0</v>
      </c>
      <c r="D49" s="334">
        <v>0</v>
      </c>
      <c r="E49" s="334">
        <v>0</v>
      </c>
      <c r="F49" s="334">
        <v>0</v>
      </c>
    </row>
    <row r="50" spans="1:6">
      <c r="A50" s="348" t="s">
        <v>32</v>
      </c>
      <c r="B50" s="348" t="s">
        <v>41</v>
      </c>
      <c r="C50" s="334">
        <v>0</v>
      </c>
      <c r="D50" s="334">
        <v>0</v>
      </c>
      <c r="E50" s="334">
        <v>4</v>
      </c>
      <c r="F50" s="334">
        <v>218630</v>
      </c>
    </row>
    <row r="51" spans="1:6">
      <c r="A51" s="348" t="s">
        <v>42</v>
      </c>
      <c r="B51" s="348" t="s">
        <v>43</v>
      </c>
      <c r="C51" s="334">
        <v>3</v>
      </c>
      <c r="D51" s="334">
        <v>71032</v>
      </c>
      <c r="E51" s="334">
        <v>33</v>
      </c>
      <c r="F51" s="334">
        <v>1070940</v>
      </c>
    </row>
    <row r="52" spans="1:6">
      <c r="A52" s="348" t="s">
        <v>42</v>
      </c>
      <c r="B52" s="348" t="s">
        <v>29</v>
      </c>
      <c r="C52" s="334">
        <v>0</v>
      </c>
      <c r="D52" s="334">
        <v>0</v>
      </c>
      <c r="E52" s="334">
        <v>0</v>
      </c>
      <c r="F52" s="334">
        <v>0</v>
      </c>
    </row>
    <row r="53" spans="1:6">
      <c r="A53" s="348" t="s">
        <v>44</v>
      </c>
      <c r="B53" s="348" t="s">
        <v>45</v>
      </c>
      <c r="C53" s="334">
        <v>0</v>
      </c>
      <c r="D53" s="334">
        <v>0</v>
      </c>
      <c r="E53" s="334">
        <v>2</v>
      </c>
      <c r="F53" s="334">
        <v>1507.963</v>
      </c>
    </row>
    <row r="54" spans="1:6">
      <c r="A54" s="348" t="s">
        <v>46</v>
      </c>
      <c r="B54" s="348" t="s">
        <v>47</v>
      </c>
      <c r="C54" s="334">
        <v>0</v>
      </c>
      <c r="D54" s="334">
        <v>0</v>
      </c>
      <c r="E54" s="334">
        <v>1</v>
      </c>
      <c r="F54" s="334">
        <v>1264963</v>
      </c>
    </row>
    <row r="55" spans="1:6">
      <c r="A55" s="348" t="s">
        <v>46</v>
      </c>
      <c r="B55" s="348" t="s">
        <v>29</v>
      </c>
      <c r="C55" s="334">
        <v>0</v>
      </c>
      <c r="D55" s="334">
        <v>0</v>
      </c>
      <c r="E55" s="334">
        <v>0</v>
      </c>
      <c r="F55" s="334">
        <v>0</v>
      </c>
    </row>
    <row r="56" spans="1:6">
      <c r="A56" s="348" t="s">
        <v>48</v>
      </c>
      <c r="B56" s="348" t="s">
        <v>29</v>
      </c>
      <c r="C56" s="334">
        <v>32</v>
      </c>
      <c r="D56" s="334">
        <v>1176872</v>
      </c>
      <c r="E56" s="334">
        <v>110</v>
      </c>
      <c r="F56" s="334">
        <v>1931070</v>
      </c>
    </row>
    <row r="57" spans="1:6">
      <c r="A57" s="348" t="s">
        <v>49</v>
      </c>
      <c r="B57" s="348" t="s">
        <v>50</v>
      </c>
      <c r="C57" s="334">
        <v>17</v>
      </c>
      <c r="D57" s="334">
        <v>645444</v>
      </c>
      <c r="E57" s="334">
        <v>55</v>
      </c>
      <c r="F57" s="334">
        <v>1238043</v>
      </c>
    </row>
    <row r="58" spans="1:6">
      <c r="A58" s="348" t="s">
        <v>49</v>
      </c>
      <c r="B58" s="348" t="s">
        <v>51</v>
      </c>
      <c r="C58" s="334">
        <v>9</v>
      </c>
      <c r="D58" s="334">
        <v>268544</v>
      </c>
      <c r="E58" s="334">
        <v>17</v>
      </c>
      <c r="F58" s="334">
        <v>211737</v>
      </c>
    </row>
    <row r="59" spans="1:6">
      <c r="A59" s="348" t="s">
        <v>49</v>
      </c>
      <c r="B59" s="348" t="s">
        <v>52</v>
      </c>
      <c r="C59" s="334">
        <v>47</v>
      </c>
      <c r="D59" s="334">
        <v>1697329</v>
      </c>
      <c r="E59" s="334">
        <v>161</v>
      </c>
      <c r="F59" s="334">
        <v>6429608</v>
      </c>
    </row>
    <row r="60" spans="1:6">
      <c r="A60" s="348" t="s">
        <v>49</v>
      </c>
      <c r="B60" s="348" t="s">
        <v>53</v>
      </c>
      <c r="C60" s="334">
        <v>16</v>
      </c>
      <c r="D60" s="334">
        <v>783862</v>
      </c>
      <c r="E60" s="334">
        <v>40</v>
      </c>
      <c r="F60" s="334">
        <v>1254885</v>
      </c>
    </row>
    <row r="61" spans="1:6">
      <c r="A61" s="348" t="s">
        <v>49</v>
      </c>
      <c r="B61" s="348" t="s">
        <v>54</v>
      </c>
      <c r="C61" s="334">
        <v>67</v>
      </c>
      <c r="D61" s="334">
        <v>4410202</v>
      </c>
      <c r="E61" s="334">
        <v>270</v>
      </c>
      <c r="F61" s="334">
        <v>3496493</v>
      </c>
    </row>
    <row r="62" spans="1:6">
      <c r="A62" s="348" t="s">
        <v>49</v>
      </c>
      <c r="B62" s="348" t="s">
        <v>55</v>
      </c>
      <c r="C62" s="334">
        <v>8</v>
      </c>
      <c r="D62" s="334">
        <v>1890017</v>
      </c>
      <c r="E62" s="334">
        <v>10</v>
      </c>
      <c r="F62" s="334">
        <v>161457</v>
      </c>
    </row>
    <row r="63" spans="1:6">
      <c r="A63" s="348" t="s">
        <v>49</v>
      </c>
      <c r="B63" s="348" t="s">
        <v>29</v>
      </c>
      <c r="C63" s="334">
        <v>0</v>
      </c>
      <c r="D63" s="334">
        <v>0</v>
      </c>
      <c r="E63" s="334">
        <v>2</v>
      </c>
      <c r="F63" s="334">
        <v>40318.54</v>
      </c>
    </row>
    <row r="64" spans="1:6">
      <c r="A64" s="348" t="s">
        <v>56</v>
      </c>
      <c r="B64" s="348" t="s">
        <v>57</v>
      </c>
      <c r="C64" s="334">
        <v>0</v>
      </c>
      <c r="D64" s="334">
        <v>0</v>
      </c>
      <c r="E64" s="334">
        <v>0</v>
      </c>
      <c r="F64" s="334">
        <v>0</v>
      </c>
    </row>
    <row r="65" spans="1:6">
      <c r="A65" s="348" t="s">
        <v>56</v>
      </c>
      <c r="B65" s="348" t="s">
        <v>29</v>
      </c>
      <c r="C65" s="334">
        <v>1</v>
      </c>
      <c r="D65" s="334">
        <v>19655</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14</v>
      </c>
      <c r="F68" s="334">
        <v>716088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52441135</v>
      </c>
      <c r="E73" s="477">
        <v>62245807.7340042</v>
      </c>
    </row>
    <row r="74" spans="1:6">
      <c r="A74" s="348" t="s">
        <v>64</v>
      </c>
      <c r="B74" s="348" t="s">
        <v>714</v>
      </c>
      <c r="C74" s="1288" t="s">
        <v>716</v>
      </c>
      <c r="D74" s="477">
        <v>5615112.1919058906</v>
      </c>
      <c r="E74" s="477">
        <v>6307615.6439719833</v>
      </c>
    </row>
    <row r="75" spans="1:6">
      <c r="A75" s="348" t="s">
        <v>65</v>
      </c>
      <c r="B75" s="348" t="s">
        <v>713</v>
      </c>
      <c r="C75" s="1288" t="s">
        <v>717</v>
      </c>
      <c r="D75" s="477">
        <v>21083880</v>
      </c>
      <c r="E75" s="477">
        <v>29896859.918653741</v>
      </c>
    </row>
    <row r="76" spans="1:6">
      <c r="A76" s="348" t="s">
        <v>65</v>
      </c>
      <c r="B76" s="348" t="s">
        <v>714</v>
      </c>
      <c r="C76" s="1288" t="s">
        <v>718</v>
      </c>
      <c r="D76" s="477">
        <v>671438.19190589082</v>
      </c>
      <c r="E76" s="477">
        <v>958472.30672990764</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770665.61618821847</v>
      </c>
      <c r="C83" s="477">
        <v>766059.04887006385</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110.94618834080717</v>
      </c>
    </row>
    <row r="90" spans="1:6">
      <c r="A90" s="348" t="s">
        <v>559</v>
      </c>
      <c r="B90" s="1285">
        <v>0</v>
      </c>
    </row>
    <row r="91" spans="1:6">
      <c r="A91" s="348" t="s">
        <v>68</v>
      </c>
      <c r="B91" s="334">
        <v>2596.7304083787512</v>
      </c>
    </row>
    <row r="92" spans="1:6">
      <c r="A92" s="341" t="s">
        <v>69</v>
      </c>
      <c r="B92" s="342">
        <v>1485.4351830089458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921</v>
      </c>
    </row>
    <row r="98" spans="1:6">
      <c r="A98" s="348" t="s">
        <v>72</v>
      </c>
      <c r="B98" s="334">
        <v>2</v>
      </c>
    </row>
    <row r="99" spans="1:6">
      <c r="A99" s="348" t="s">
        <v>73</v>
      </c>
      <c r="B99" s="334">
        <v>104</v>
      </c>
    </row>
    <row r="100" spans="1:6">
      <c r="A100" s="348" t="s">
        <v>74</v>
      </c>
      <c r="B100" s="334">
        <v>359</v>
      </c>
    </row>
    <row r="101" spans="1:6">
      <c r="A101" s="348" t="s">
        <v>75</v>
      </c>
      <c r="B101" s="334">
        <v>35</v>
      </c>
    </row>
    <row r="102" spans="1:6">
      <c r="A102" s="348" t="s">
        <v>76</v>
      </c>
      <c r="B102" s="334">
        <v>49</v>
      </c>
    </row>
    <row r="103" spans="1:6">
      <c r="A103" s="348" t="s">
        <v>77</v>
      </c>
      <c r="B103" s="334">
        <v>118</v>
      </c>
    </row>
    <row r="104" spans="1:6">
      <c r="A104" s="348" t="s">
        <v>78</v>
      </c>
      <c r="B104" s="334">
        <v>2384</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18</v>
      </c>
      <c r="C123" s="334">
        <v>20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71</v>
      </c>
    </row>
    <row r="130" spans="1:6">
      <c r="A130" s="348" t="s">
        <v>295</v>
      </c>
      <c r="B130" s="334">
        <v>1</v>
      </c>
    </row>
    <row r="131" spans="1:6">
      <c r="A131" s="348" t="s">
        <v>296</v>
      </c>
      <c r="B131" s="334">
        <v>3</v>
      </c>
    </row>
    <row r="132" spans="1:6">
      <c r="A132" s="341" t="s">
        <v>297</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42006.184308223099</v>
      </c>
      <c r="C3" s="43" t="s">
        <v>170</v>
      </c>
      <c r="D3" s="43"/>
      <c r="E3" s="154"/>
      <c r="F3" s="43"/>
      <c r="G3" s="43"/>
      <c r="H3" s="43"/>
      <c r="I3" s="43"/>
      <c r="J3" s="43"/>
      <c r="K3" s="96"/>
    </row>
    <row r="4" spans="1:11">
      <c r="A4" s="384" t="s">
        <v>171</v>
      </c>
      <c r="B4" s="49">
        <f>IF(ISERROR('SEAP template'!B69),0,'SEAP template'!B69)</f>
        <v>4193.1117797285042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0.19893949346790363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1264.963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1264.963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0.19893949346790363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251.65109847563977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18886.535680000001</v>
      </c>
      <c r="C5" s="17">
        <f>IF(ISERROR('Eigen informatie GS &amp; warmtenet'!B57),0,'Eigen informatie GS &amp; warmtenet'!B57)</f>
        <v>0</v>
      </c>
      <c r="D5" s="30">
        <f>(SUM(HH_hh_gas_kWh,HH_rest_gas_kWh)/1000)*0.902</f>
        <v>34538.778758</v>
      </c>
      <c r="E5" s="17">
        <f>B46*B57</f>
        <v>3372.3675347626613</v>
      </c>
      <c r="F5" s="17">
        <f>B51*B62</f>
        <v>31723.265444027867</v>
      </c>
      <c r="G5" s="18"/>
      <c r="H5" s="17"/>
      <c r="I5" s="17"/>
      <c r="J5" s="17">
        <f>B50*B61+C50*C61</f>
        <v>0</v>
      </c>
      <c r="K5" s="17"/>
      <c r="L5" s="17"/>
      <c r="M5" s="17"/>
      <c r="N5" s="17">
        <f>B48*B59+C48*C59</f>
        <v>4303.9556884996837</v>
      </c>
      <c r="O5" s="17">
        <f>B69*B70*B71</f>
        <v>142.26333333333332</v>
      </c>
      <c r="P5" s="17">
        <f>B77*B78*B79/1000-B77*B78*B79/1000/B80</f>
        <v>762.66666666666674</v>
      </c>
    </row>
    <row r="6" spans="1:16">
      <c r="A6" s="16" t="s">
        <v>631</v>
      </c>
      <c r="B6" s="844">
        <f>kWh_PV_kleiner_dan_10kW</f>
        <v>2596.7304083787512</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21483.266088378754</v>
      </c>
      <c r="C8" s="21">
        <f>C5</f>
        <v>0</v>
      </c>
      <c r="D8" s="21">
        <f>D5</f>
        <v>34538.778758</v>
      </c>
      <c r="E8" s="21">
        <f>E5</f>
        <v>3372.3675347626613</v>
      </c>
      <c r="F8" s="21">
        <f>F5</f>
        <v>31723.265444027867</v>
      </c>
      <c r="G8" s="21"/>
      <c r="H8" s="21"/>
      <c r="I8" s="21"/>
      <c r="J8" s="21">
        <f>J5</f>
        <v>0</v>
      </c>
      <c r="K8" s="21"/>
      <c r="L8" s="21">
        <f>L5</f>
        <v>0</v>
      </c>
      <c r="M8" s="21">
        <f>M5</f>
        <v>0</v>
      </c>
      <c r="N8" s="21">
        <f>N5</f>
        <v>4303.9556884996837</v>
      </c>
      <c r="O8" s="21">
        <f>O5</f>
        <v>142.26333333333332</v>
      </c>
      <c r="P8" s="21">
        <f>P5</f>
        <v>762.66666666666674</v>
      </c>
    </row>
    <row r="9" spans="1:16">
      <c r="B9" s="19"/>
      <c r="C9" s="19"/>
      <c r="D9" s="258"/>
      <c r="E9" s="19"/>
      <c r="F9" s="19"/>
      <c r="G9" s="19"/>
      <c r="H9" s="19"/>
      <c r="I9" s="19"/>
      <c r="J9" s="19"/>
      <c r="K9" s="19"/>
      <c r="L9" s="19"/>
      <c r="M9" s="19"/>
      <c r="N9" s="19"/>
      <c r="O9" s="19"/>
      <c r="P9" s="19"/>
    </row>
    <row r="10" spans="1:16">
      <c r="A10" s="24" t="s">
        <v>214</v>
      </c>
      <c r="B10" s="25">
        <f ca="1">'EF ele_warmte'!B12</f>
        <v>0.19893949346790363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4273.8700736582605</v>
      </c>
      <c r="C12" s="23">
        <f ca="1">C10*C8</f>
        <v>0</v>
      </c>
      <c r="D12" s="23">
        <f>D8*D10</f>
        <v>6976.8333091160002</v>
      </c>
      <c r="E12" s="23">
        <f>E10*E8</f>
        <v>765.52743039112408</v>
      </c>
      <c r="F12" s="23">
        <f>F10*F8</f>
        <v>8470.111873555441</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921</v>
      </c>
      <c r="C18" s="166" t="s">
        <v>111</v>
      </c>
      <c r="D18" s="228"/>
      <c r="E18" s="15"/>
    </row>
    <row r="19" spans="1:7">
      <c r="A19" s="171" t="s">
        <v>72</v>
      </c>
      <c r="B19" s="37">
        <f>aantalw2001_ander</f>
        <v>2</v>
      </c>
      <c r="C19" s="166" t="s">
        <v>111</v>
      </c>
      <c r="D19" s="229"/>
      <c r="E19" s="15"/>
    </row>
    <row r="20" spans="1:7">
      <c r="A20" s="171" t="s">
        <v>73</v>
      </c>
      <c r="B20" s="37">
        <f>aantalw2001_propaan</f>
        <v>104</v>
      </c>
      <c r="C20" s="167">
        <f>IF(ISERROR(B20/SUM($B$20,$B$21,$B$22)*100),0,B20/SUM($B$20,$B$21,$B$22)*100)</f>
        <v>20.883534136546185</v>
      </c>
      <c r="D20" s="229"/>
      <c r="E20" s="15"/>
    </row>
    <row r="21" spans="1:7">
      <c r="A21" s="171" t="s">
        <v>74</v>
      </c>
      <c r="B21" s="37">
        <f>aantalw2001_elektriciteit</f>
        <v>359</v>
      </c>
      <c r="C21" s="167">
        <f>IF(ISERROR(B21/SUM($B$20,$B$21,$B$22)*100),0,B21/SUM($B$20,$B$21,$B$22)*100)</f>
        <v>72.088353413654616</v>
      </c>
      <c r="D21" s="229"/>
      <c r="E21" s="15"/>
    </row>
    <row r="22" spans="1:7">
      <c r="A22" s="171" t="s">
        <v>75</v>
      </c>
      <c r="B22" s="37">
        <f>aantalw2001_hout</f>
        <v>35</v>
      </c>
      <c r="C22" s="167">
        <f>IF(ISERROR(B22/SUM($B$20,$B$21,$B$22)*100),0,B22/SUM($B$20,$B$21,$B$22)*100)</f>
        <v>7.0281124497991971</v>
      </c>
      <c r="D22" s="229"/>
      <c r="E22" s="15"/>
    </row>
    <row r="23" spans="1:7">
      <c r="A23" s="171" t="s">
        <v>76</v>
      </c>
      <c r="B23" s="37">
        <f>aantalw2001_niet_gespec</f>
        <v>49</v>
      </c>
      <c r="C23" s="166" t="s">
        <v>111</v>
      </c>
      <c r="D23" s="228"/>
      <c r="E23" s="15"/>
    </row>
    <row r="24" spans="1:7">
      <c r="A24" s="171" t="s">
        <v>77</v>
      </c>
      <c r="B24" s="37">
        <f>aantalw2001_steenkool</f>
        <v>118</v>
      </c>
      <c r="C24" s="166" t="s">
        <v>111</v>
      </c>
      <c r="D24" s="229"/>
      <c r="E24" s="15"/>
    </row>
    <row r="25" spans="1:7">
      <c r="A25" s="171" t="s">
        <v>78</v>
      </c>
      <c r="B25" s="37">
        <f>aantalw2001_stookolie</f>
        <v>2384</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4549</v>
      </c>
      <c r="C28" s="36"/>
      <c r="D28" s="228"/>
    </row>
    <row r="29" spans="1:7" s="15" customFormat="1">
      <c r="A29" s="230" t="s">
        <v>741</v>
      </c>
      <c r="B29" s="37">
        <f>SUM(HH_hh_gas_aantal,HH_rest_gas_aantal)</f>
        <v>2138</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2138</v>
      </c>
      <c r="C32" s="167">
        <f>IF(ISERROR(B32/SUM($B$32,$B$34,$B$35,$B$36,$B$38,$B$39)*100),0,B32/SUM($B$32,$B$34,$B$35,$B$36,$B$38,$B$39)*100)</f>
        <v>47.416278554003107</v>
      </c>
      <c r="D32" s="233"/>
      <c r="G32" s="15"/>
    </row>
    <row r="33" spans="1:7">
      <c r="A33" s="171" t="s">
        <v>72</v>
      </c>
      <c r="B33" s="34" t="s">
        <v>111</v>
      </c>
      <c r="C33" s="167"/>
      <c r="D33" s="233"/>
      <c r="G33" s="15"/>
    </row>
    <row r="34" spans="1:7">
      <c r="A34" s="171" t="s">
        <v>73</v>
      </c>
      <c r="B34" s="33">
        <f>IF((($B$28-$B$32-$B$39-$B$77-$B$38)*C20/100)&lt;0,0,($B$28-$B$32-$B$39-$B$77-$B$38)*C20/100)</f>
        <v>226.02248995983936</v>
      </c>
      <c r="C34" s="167">
        <f>IF(ISERROR(B34/SUM($B$32,$B$34,$B$35,$B$36,$B$38,$B$39)*100),0,B34/SUM($B$32,$B$34,$B$35,$B$36,$B$38,$B$39)*100)</f>
        <v>5.0126966058957496</v>
      </c>
      <c r="D34" s="233"/>
      <c r="G34" s="15"/>
    </row>
    <row r="35" spans="1:7">
      <c r="A35" s="171" t="s">
        <v>74</v>
      </c>
      <c r="B35" s="33">
        <f>IF((($B$28-$B$32-$B$39-$B$77-$B$38)*C21/100)&lt;0,0,($B$28-$B$32-$B$39-$B$77-$B$38)*C21/100)</f>
        <v>780.21224899598383</v>
      </c>
      <c r="C35" s="167">
        <f>IF(ISERROR(B35/SUM($B$32,$B$34,$B$35,$B$36,$B$38,$B$39)*100),0,B35/SUM($B$32,$B$34,$B$35,$B$36,$B$38,$B$39)*100)</f>
        <v>17.303443091505518</v>
      </c>
      <c r="D35" s="233"/>
      <c r="G35" s="15"/>
    </row>
    <row r="36" spans="1:7">
      <c r="A36" s="171" t="s">
        <v>75</v>
      </c>
      <c r="B36" s="33">
        <f>IF((($B$28-$B$32-$B$39-$B$77-$B$38)*C22/100)&lt;0,0,($B$28-$B$32-$B$39-$B$77-$B$38)*C22/100)</f>
        <v>76.065261044176708</v>
      </c>
      <c r="C36" s="167">
        <f>IF(ISERROR(B36/SUM($B$32,$B$34,$B$35,$B$36,$B$38,$B$39)*100),0,B36/SUM($B$32,$B$34,$B$35,$B$36,$B$38,$B$39)*100)</f>
        <v>1.6869652039072234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1288.7</v>
      </c>
      <c r="C39" s="167">
        <f>IF(ISERROR(B39/SUM($B$32,$B$34,$B$35,$B$36,$B$38,$B$39)*100),0,B39/SUM($B$32,$B$34,$B$35,$B$36,$B$38,$B$39)*100)</f>
        <v>28.580616544688404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2138</v>
      </c>
      <c r="C44" s="34" t="s">
        <v>111</v>
      </c>
      <c r="D44" s="174"/>
    </row>
    <row r="45" spans="1:7">
      <c r="A45" s="171" t="s">
        <v>72</v>
      </c>
      <c r="B45" s="33" t="str">
        <f t="shared" si="0"/>
        <v>-</v>
      </c>
      <c r="C45" s="34" t="s">
        <v>111</v>
      </c>
      <c r="D45" s="174"/>
    </row>
    <row r="46" spans="1:7">
      <c r="A46" s="171" t="s">
        <v>73</v>
      </c>
      <c r="B46" s="33">
        <f t="shared" si="0"/>
        <v>226.02248995983936</v>
      </c>
      <c r="C46" s="34" t="s">
        <v>111</v>
      </c>
      <c r="D46" s="174"/>
    </row>
    <row r="47" spans="1:7">
      <c r="A47" s="171" t="s">
        <v>74</v>
      </c>
      <c r="B47" s="33">
        <f t="shared" si="0"/>
        <v>780.21224899598383</v>
      </c>
      <c r="C47" s="34" t="s">
        <v>111</v>
      </c>
      <c r="D47" s="174"/>
    </row>
    <row r="48" spans="1:7">
      <c r="A48" s="171" t="s">
        <v>75</v>
      </c>
      <c r="B48" s="33">
        <f t="shared" si="0"/>
        <v>76.065261044176708</v>
      </c>
      <c r="C48" s="33">
        <f>B48*10</f>
        <v>760.65261044176714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1288.7</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12832.54154</v>
      </c>
      <c r="C5" s="17">
        <f>IF(ISERROR('Eigen informatie GS &amp; warmtenet'!B58),0,'Eigen informatie GS &amp; warmtenet'!B58)</f>
        <v>0</v>
      </c>
      <c r="D5" s="30">
        <f>SUM(D6:D12)</f>
        <v>8745.2489960000003</v>
      </c>
      <c r="E5" s="17">
        <f>SUM(E6:E12)</f>
        <v>136.7532915599345</v>
      </c>
      <c r="F5" s="17">
        <f>SUM(F6:F12)</f>
        <v>1848.205820374619</v>
      </c>
      <c r="G5" s="18"/>
      <c r="H5" s="17"/>
      <c r="I5" s="17"/>
      <c r="J5" s="17">
        <f>SUM(J6:J12)</f>
        <v>0</v>
      </c>
      <c r="K5" s="17"/>
      <c r="L5" s="17"/>
      <c r="M5" s="17"/>
      <c r="N5" s="17">
        <f>SUM(N6:N12)</f>
        <v>964.87197937199312</v>
      </c>
      <c r="O5" s="17">
        <f>B38*B39*B40</f>
        <v>1.5633333333333335</v>
      </c>
      <c r="P5" s="17">
        <f>B46*B47*B48/1000-B46*B47*B48/1000/B49</f>
        <v>57.2</v>
      </c>
      <c r="R5" s="32"/>
    </row>
    <row r="6" spans="1:18">
      <c r="A6" s="32" t="s">
        <v>54</v>
      </c>
      <c r="B6" s="37">
        <f>B26</f>
        <v>3496.4929999999999</v>
      </c>
      <c r="C6" s="33"/>
      <c r="D6" s="37">
        <f>IF(ISERROR(TER_kantoor_gas_kWh/1000),0,TER_kantoor_gas_kWh/1000)*0.902</f>
        <v>3978.0022040000003</v>
      </c>
      <c r="E6" s="33">
        <f>$C$26*'E Balans VL '!I12/100/3.6*1000000</f>
        <v>10.129853229263876</v>
      </c>
      <c r="F6" s="33">
        <f>$C$26*('E Balans VL '!L12+'E Balans VL '!N12)/100/3.6*1000000</f>
        <v>395.72597388660563</v>
      </c>
      <c r="G6" s="34"/>
      <c r="H6" s="33"/>
      <c r="I6" s="33"/>
      <c r="J6" s="33">
        <f>$C$26*('E Balans VL '!D12+'E Balans VL '!E12)/100/3.6*1000000</f>
        <v>0</v>
      </c>
      <c r="K6" s="33"/>
      <c r="L6" s="33"/>
      <c r="M6" s="33"/>
      <c r="N6" s="33">
        <f>$C$26*'E Balans VL '!Y12/100/3.6*1000000</f>
        <v>34.997318598927592</v>
      </c>
      <c r="O6" s="33"/>
      <c r="P6" s="33"/>
      <c r="R6" s="32"/>
    </row>
    <row r="7" spans="1:18">
      <c r="A7" s="32" t="s">
        <v>53</v>
      </c>
      <c r="B7" s="37">
        <f t="shared" ref="B7:B12" si="0">B27</f>
        <v>1254.885</v>
      </c>
      <c r="C7" s="33"/>
      <c r="D7" s="37">
        <f>IF(ISERROR(TER_horeca_gas_kWh/1000),0,TER_horeca_gas_kWh/1000)*0.902</f>
        <v>707.04352399999993</v>
      </c>
      <c r="E7" s="33">
        <f>$C$27*'E Balans VL '!I9/100/3.6*1000000</f>
        <v>52.676566220603576</v>
      </c>
      <c r="F7" s="33">
        <f>$C$27*('E Balans VL '!L9+'E Balans VL '!N9)/100/3.6*1000000</f>
        <v>269.63777609061407</v>
      </c>
      <c r="G7" s="34"/>
      <c r="H7" s="33"/>
      <c r="I7" s="33"/>
      <c r="J7" s="33">
        <f>$C$27*('E Balans VL '!D9+'E Balans VL '!E9)/100/3.6*1000000</f>
        <v>0</v>
      </c>
      <c r="K7" s="33"/>
      <c r="L7" s="33"/>
      <c r="M7" s="33"/>
      <c r="N7" s="33">
        <f>$C$27*'E Balans VL '!Y9/100/3.6*1000000</f>
        <v>0.32337289013255449</v>
      </c>
      <c r="O7" s="33"/>
      <c r="P7" s="33"/>
      <c r="R7" s="32"/>
    </row>
    <row r="8" spans="1:18">
      <c r="A8" s="6" t="s">
        <v>52</v>
      </c>
      <c r="B8" s="37">
        <f t="shared" si="0"/>
        <v>6429.6080000000002</v>
      </c>
      <c r="C8" s="33"/>
      <c r="D8" s="37">
        <f>IF(ISERROR(TER_handel_gas_kWh/1000),0,TER_handel_gas_kWh/1000)*0.902</f>
        <v>1530.9907579999999</v>
      </c>
      <c r="E8" s="33">
        <f>$C$28*'E Balans VL '!I13/100/3.6*1000000</f>
        <v>69.059341130621746</v>
      </c>
      <c r="F8" s="33">
        <f>$C$28*('E Balans VL '!L13+'E Balans VL '!N13)/100/3.6*1000000</f>
        <v>832.36585020832979</v>
      </c>
      <c r="G8" s="34"/>
      <c r="H8" s="33"/>
      <c r="I8" s="33"/>
      <c r="J8" s="33">
        <f>$C$28*('E Balans VL '!D13+'E Balans VL '!E13)/100/3.6*1000000</f>
        <v>0</v>
      </c>
      <c r="K8" s="33"/>
      <c r="L8" s="33"/>
      <c r="M8" s="33"/>
      <c r="N8" s="33">
        <f>$C$28*'E Balans VL '!Y13/100/3.6*1000000</f>
        <v>52.157331167861251</v>
      </c>
      <c r="O8" s="33"/>
      <c r="P8" s="33"/>
      <c r="R8" s="32"/>
    </row>
    <row r="9" spans="1:18">
      <c r="A9" s="32" t="s">
        <v>51</v>
      </c>
      <c r="B9" s="37">
        <f t="shared" si="0"/>
        <v>211.73699999999999</v>
      </c>
      <c r="C9" s="33"/>
      <c r="D9" s="37">
        <f>IF(ISERROR(TER_gezond_gas_kWh/1000),0,TER_gezond_gas_kWh/1000)*0.902</f>
        <v>242.226688</v>
      </c>
      <c r="E9" s="33">
        <f>$C$29*'E Balans VL '!I10/100/3.6*1000000</f>
        <v>0.16855634678226591</v>
      </c>
      <c r="F9" s="33">
        <f>$C$29*('E Balans VL '!L10+'E Balans VL '!N10)/100/3.6*1000000</f>
        <v>25.739692225254203</v>
      </c>
      <c r="G9" s="34"/>
      <c r="H9" s="33"/>
      <c r="I9" s="33"/>
      <c r="J9" s="33">
        <f>$C$29*('E Balans VL '!D10+'E Balans VL '!E10)/100/3.6*1000000</f>
        <v>0</v>
      </c>
      <c r="K9" s="33"/>
      <c r="L9" s="33"/>
      <c r="M9" s="33"/>
      <c r="N9" s="33">
        <f>$C$29*'E Balans VL '!Y10/100/3.6*1000000</f>
        <v>1.7103553899675672</v>
      </c>
      <c r="O9" s="33"/>
      <c r="P9" s="33"/>
      <c r="R9" s="32"/>
    </row>
    <row r="10" spans="1:18">
      <c r="A10" s="32" t="s">
        <v>50</v>
      </c>
      <c r="B10" s="37">
        <f t="shared" si="0"/>
        <v>1238.0429999999999</v>
      </c>
      <c r="C10" s="33"/>
      <c r="D10" s="37">
        <f>IF(ISERROR(TER_ander_gas_kWh/1000),0,TER_ander_gas_kWh/1000)*0.902</f>
        <v>582.19048799999996</v>
      </c>
      <c r="E10" s="33">
        <f>$C$30*'E Balans VL '!I14/100/3.6*1000000</f>
        <v>4.2428383994422036</v>
      </c>
      <c r="F10" s="33">
        <f>$C$30*('E Balans VL '!L14+'E Balans VL '!N14)/100/3.6*1000000</f>
        <v>276.52849805860302</v>
      </c>
      <c r="G10" s="34"/>
      <c r="H10" s="33"/>
      <c r="I10" s="33"/>
      <c r="J10" s="33">
        <f>$C$30*('E Balans VL '!D14+'E Balans VL '!E14)/100/3.6*1000000</f>
        <v>0</v>
      </c>
      <c r="K10" s="33"/>
      <c r="L10" s="33"/>
      <c r="M10" s="33"/>
      <c r="N10" s="33">
        <f>$C$30*'E Balans VL '!Y14/100/3.6*1000000</f>
        <v>872.08425249670461</v>
      </c>
      <c r="O10" s="33"/>
      <c r="P10" s="33"/>
      <c r="R10" s="32"/>
    </row>
    <row r="11" spans="1:18">
      <c r="A11" s="32" t="s">
        <v>55</v>
      </c>
      <c r="B11" s="37">
        <f t="shared" si="0"/>
        <v>161.45699999999999</v>
      </c>
      <c r="C11" s="33"/>
      <c r="D11" s="37">
        <f>IF(ISERROR(TER_onderwijs_gas_kWh/1000),0,TER_onderwijs_gas_kWh/1000)*0.902</f>
        <v>1704.7953340000001</v>
      </c>
      <c r="E11" s="33">
        <f>$C$31*'E Balans VL '!I11/100/3.6*1000000</f>
        <v>0.11161025161574069</v>
      </c>
      <c r="F11" s="33">
        <f>$C$31*('E Balans VL '!L11+'E Balans VL '!N11)/100/3.6*1000000</f>
        <v>42.264752592374656</v>
      </c>
      <c r="G11" s="34"/>
      <c r="H11" s="33"/>
      <c r="I11" s="33"/>
      <c r="J11" s="33">
        <f>$C$31*('E Balans VL '!D11+'E Balans VL '!E11)/100/3.6*1000000</f>
        <v>0</v>
      </c>
      <c r="K11" s="33"/>
      <c r="L11" s="33"/>
      <c r="M11" s="33"/>
      <c r="N11" s="33">
        <f>$C$31*'E Balans VL '!Y11/100/3.6*1000000</f>
        <v>0.16071669166549671</v>
      </c>
      <c r="O11" s="33"/>
      <c r="P11" s="33"/>
      <c r="R11" s="32"/>
    </row>
    <row r="12" spans="1:18">
      <c r="A12" s="32" t="s">
        <v>260</v>
      </c>
      <c r="B12" s="37">
        <f t="shared" si="0"/>
        <v>40.318539999999999</v>
      </c>
      <c r="C12" s="33"/>
      <c r="D12" s="37">
        <f>IF(ISERROR(TER_rest_gas_kWh/1000),0,TER_rest_gas_kWh/1000)*0.902</f>
        <v>0</v>
      </c>
      <c r="E12" s="33">
        <f>$C$32*'E Balans VL '!I8/100/3.6*1000000</f>
        <v>0.36452598160512334</v>
      </c>
      <c r="F12" s="33">
        <f>$C$32*('E Balans VL '!L8+'E Balans VL '!N8)/100/3.6*1000000</f>
        <v>5.9432773128378926</v>
      </c>
      <c r="G12" s="34"/>
      <c r="H12" s="33"/>
      <c r="I12" s="33"/>
      <c r="J12" s="33">
        <f>$C$32*('E Balans VL '!D8+'E Balans VL '!E8)/100/3.6*1000000</f>
        <v>0</v>
      </c>
      <c r="K12" s="33"/>
      <c r="L12" s="33"/>
      <c r="M12" s="33"/>
      <c r="N12" s="33">
        <f>$C$32*'E Balans VL '!Y8/100/3.6*1000000</f>
        <v>3.4386321367341521</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12832.54154</v>
      </c>
      <c r="C16" s="21">
        <f t="shared" ca="1" si="1"/>
        <v>0</v>
      </c>
      <c r="D16" s="21">
        <f t="shared" ca="1" si="1"/>
        <v>8745.2489960000003</v>
      </c>
      <c r="E16" s="21">
        <f t="shared" si="1"/>
        <v>136.7532915599345</v>
      </c>
      <c r="F16" s="21">
        <f t="shared" ca="1" si="1"/>
        <v>1848.205820374619</v>
      </c>
      <c r="G16" s="21">
        <f t="shared" si="1"/>
        <v>0</v>
      </c>
      <c r="H16" s="21">
        <f t="shared" si="1"/>
        <v>0</v>
      </c>
      <c r="I16" s="21">
        <f t="shared" si="1"/>
        <v>0</v>
      </c>
      <c r="J16" s="21">
        <f t="shared" si="1"/>
        <v>0</v>
      </c>
      <c r="K16" s="21">
        <f t="shared" si="1"/>
        <v>0</v>
      </c>
      <c r="L16" s="21">
        <f t="shared" ca="1" si="1"/>
        <v>0</v>
      </c>
      <c r="M16" s="21">
        <f t="shared" si="1"/>
        <v>0</v>
      </c>
      <c r="N16" s="21">
        <f t="shared" ca="1" si="1"/>
        <v>964.87197937199312</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0.19893949346790363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2552.8993138734318</v>
      </c>
      <c r="C20" s="23">
        <f t="shared" ref="C20:P20" ca="1" si="2">C16*C18</f>
        <v>0</v>
      </c>
      <c r="D20" s="23">
        <f t="shared" ca="1" si="2"/>
        <v>1766.5402971920003</v>
      </c>
      <c r="E20" s="23">
        <f t="shared" si="2"/>
        <v>31.042997184105133</v>
      </c>
      <c r="F20" s="23">
        <f t="shared" ca="1" si="2"/>
        <v>493.47095404002329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3496.4929999999999</v>
      </c>
      <c r="C26" s="39">
        <f>IF(ISERROR(B26*3.6/1000000/'E Balans VL '!Z12*100),0,B26*3.6/1000000/'E Balans VL '!Z12*100)</f>
        <v>7.6804511095697858E-2</v>
      </c>
      <c r="D26" s="237" t="s">
        <v>692</v>
      </c>
      <c r="F26" s="6"/>
    </row>
    <row r="27" spans="1:18">
      <c r="A27" s="231" t="s">
        <v>53</v>
      </c>
      <c r="B27" s="33">
        <f>IF(ISERROR(TER_horeca_ele_kWh/1000),0,TER_horeca_ele_kWh/1000)</f>
        <v>1254.885</v>
      </c>
      <c r="C27" s="39">
        <f>IF(ISERROR(B27*3.6/1000000/'E Balans VL '!Z9*100),0,B27*3.6/1000000/'E Balans VL '!Z9*100)</f>
        <v>0.10084251859142294</v>
      </c>
      <c r="D27" s="237" t="s">
        <v>692</v>
      </c>
      <c r="F27" s="6"/>
    </row>
    <row r="28" spans="1:18">
      <c r="A28" s="171" t="s">
        <v>52</v>
      </c>
      <c r="B28" s="33">
        <f>IF(ISERROR(TER_handel_ele_kWh/1000),0,TER_handel_ele_kWh/1000)</f>
        <v>6429.6080000000002</v>
      </c>
      <c r="C28" s="39">
        <f>IF(ISERROR(B28*3.6/1000000/'E Balans VL '!Z13*100),0,B28*3.6/1000000/'E Balans VL '!Z13*100)</f>
        <v>0.19011901674153844</v>
      </c>
      <c r="D28" s="237" t="s">
        <v>692</v>
      </c>
      <c r="F28" s="6"/>
    </row>
    <row r="29" spans="1:18">
      <c r="A29" s="231" t="s">
        <v>51</v>
      </c>
      <c r="B29" s="33">
        <f>IF(ISERROR(TER_gezond_ele_kWh/1000),0,TER_gezond_ele_kWh/1000)</f>
        <v>211.73699999999999</v>
      </c>
      <c r="C29" s="39">
        <f>IF(ISERROR(B29*3.6/1000000/'E Balans VL '!Z10*100),0,B29*3.6/1000000/'E Balans VL '!Z10*100)</f>
        <v>2.385729333253914E-2</v>
      </c>
      <c r="D29" s="237" t="s">
        <v>692</v>
      </c>
      <c r="F29" s="6"/>
    </row>
    <row r="30" spans="1:18">
      <c r="A30" s="231" t="s">
        <v>50</v>
      </c>
      <c r="B30" s="33">
        <f>IF(ISERROR(TER_ander_ele_kWh/1000),0,TER_ander_ele_kWh/1000)</f>
        <v>1238.0429999999999</v>
      </c>
      <c r="C30" s="39">
        <f>IF(ISERROR(B30*3.6/1000000/'E Balans VL '!Z14*100),0,B30*3.6/1000000/'E Balans VL '!Z14*100)</f>
        <v>9.3631075751086645E-2</v>
      </c>
      <c r="D30" s="237" t="s">
        <v>692</v>
      </c>
      <c r="F30" s="6"/>
    </row>
    <row r="31" spans="1:18">
      <c r="A31" s="231" t="s">
        <v>55</v>
      </c>
      <c r="B31" s="33">
        <f>IF(ISERROR(TER_onderwijs_ele_kWh/1000),0,TER_onderwijs_ele_kWh/1000)</f>
        <v>161.45699999999999</v>
      </c>
      <c r="C31" s="39">
        <f>IF(ISERROR(B31*3.6/1000000/'E Balans VL '!Z11*100),0,B31*3.6/1000000/'E Balans VL '!Z11*100)</f>
        <v>3.351472513665095E-2</v>
      </c>
      <c r="D31" s="237" t="s">
        <v>692</v>
      </c>
    </row>
    <row r="32" spans="1:18">
      <c r="A32" s="231" t="s">
        <v>260</v>
      </c>
      <c r="B32" s="33">
        <f>IF(ISERROR(TER_rest_ele_kWh/1000),0,TER_rest_ele_kWh/1000)</f>
        <v>40.318539999999999</v>
      </c>
      <c r="C32" s="39">
        <f>IF(ISERROR(B32*3.6/1000000/'E Balans VL '!Z8*100),0,B32*3.6/1000000/'E Balans VL '!Z8*100)</f>
        <v>3.3965998090613976E-4</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3</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5344.3968176500002</v>
      </c>
      <c r="C5" s="17">
        <f>IF(ISERROR('Eigen informatie GS &amp; warmtenet'!B59),0,'Eigen informatie GS &amp; warmtenet'!B59)</f>
        <v>0</v>
      </c>
      <c r="D5" s="30">
        <f>SUM(D6:D15)</f>
        <v>1162.7799259999999</v>
      </c>
      <c r="E5" s="17">
        <f>SUM(E6:E15)</f>
        <v>232.75592535737957</v>
      </c>
      <c r="F5" s="17">
        <f>SUM(F6:F15)</f>
        <v>1480.5774731049512</v>
      </c>
      <c r="G5" s="18"/>
      <c r="H5" s="17"/>
      <c r="I5" s="17"/>
      <c r="J5" s="17">
        <f>SUM(J6:J15)</f>
        <v>11.10011534294787</v>
      </c>
      <c r="K5" s="17"/>
      <c r="L5" s="17"/>
      <c r="M5" s="17"/>
      <c r="N5" s="17">
        <f>SUM(N6:N15)</f>
        <v>1473.7104381421427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1083.0050000000001</v>
      </c>
      <c r="C8" s="33"/>
      <c r="D8" s="37">
        <f>IF( ISERROR(IND_metaal_Gas_kWH/1000),0,IND_metaal_Gas_kWH/1000)*0.902</f>
        <v>457.06414600000005</v>
      </c>
      <c r="E8" s="33">
        <f>C30*'E Balans VL '!I18/100/3.6*1000000</f>
        <v>27.103824713704803</v>
      </c>
      <c r="F8" s="33">
        <f>C30*'E Balans VL '!L18/100/3.6*1000000+C30*'E Balans VL '!N18/100/3.6*1000000</f>
        <v>339.41915414391997</v>
      </c>
      <c r="G8" s="34"/>
      <c r="H8" s="33"/>
      <c r="I8" s="33"/>
      <c r="J8" s="40">
        <f>C30*'E Balans VL '!D18/100/3.6*1000000+C30*'E Balans VL '!E18/100/3.6*1000000</f>
        <v>0</v>
      </c>
      <c r="K8" s="33"/>
      <c r="L8" s="33"/>
      <c r="M8" s="33"/>
      <c r="N8" s="33">
        <f>C30*'E Balans VL '!Y18/100/3.6*1000000</f>
        <v>27.207896243064972</v>
      </c>
      <c r="O8" s="33"/>
      <c r="P8" s="33"/>
      <c r="R8" s="32"/>
    </row>
    <row r="9" spans="1:18">
      <c r="A9" s="6" t="s">
        <v>33</v>
      </c>
      <c r="B9" s="37">
        <f t="shared" si="0"/>
        <v>464.61099999999999</v>
      </c>
      <c r="C9" s="33"/>
      <c r="D9" s="37">
        <f>IF( ISERROR(IND_andere_gas_kWh/1000),0,IND_andere_gas_kWh/1000)*0.902</f>
        <v>335.20845600000001</v>
      </c>
      <c r="E9" s="33">
        <f>C31*'E Balans VL '!I19/100/3.6*1000000</f>
        <v>127.74896895400533</v>
      </c>
      <c r="F9" s="33">
        <f>C31*'E Balans VL '!L19/100/3.6*1000000+C31*'E Balans VL '!N19/100/3.6*1000000</f>
        <v>366.19431611873</v>
      </c>
      <c r="G9" s="34"/>
      <c r="H9" s="33"/>
      <c r="I9" s="33"/>
      <c r="J9" s="40">
        <f>C31*'E Balans VL '!D19/100/3.6*1000000+C31*'E Balans VL '!E19/100/3.6*1000000</f>
        <v>0</v>
      </c>
      <c r="K9" s="33"/>
      <c r="L9" s="33"/>
      <c r="M9" s="33"/>
      <c r="N9" s="33">
        <f>C31*'E Balans VL '!Y19/100/3.6*1000000</f>
        <v>150.40684437820656</v>
      </c>
      <c r="O9" s="33"/>
      <c r="P9" s="33"/>
      <c r="R9" s="32"/>
    </row>
    <row r="10" spans="1:18">
      <c r="A10" s="6" t="s">
        <v>41</v>
      </c>
      <c r="B10" s="37">
        <f t="shared" si="0"/>
        <v>218.63</v>
      </c>
      <c r="C10" s="33"/>
      <c r="D10" s="37">
        <f>IF( ISERROR(IND_voed_gas_kWh/1000),0,IND_voed_gas_kWh/1000)*0.902</f>
        <v>0</v>
      </c>
      <c r="E10" s="33">
        <f>C32*'E Balans VL '!I20/100/3.6*1000000</f>
        <v>2.2288124060457437</v>
      </c>
      <c r="F10" s="33">
        <f>C32*'E Balans VL '!L20/100/3.6*1000000+C32*'E Balans VL '!N20/100/3.6*1000000</f>
        <v>412.99070260134636</v>
      </c>
      <c r="G10" s="34"/>
      <c r="H10" s="33"/>
      <c r="I10" s="33"/>
      <c r="J10" s="40">
        <f>C32*'E Balans VL '!D20/100/3.6*1000000+C32*'E Balans VL '!E20/100/3.6*1000000</f>
        <v>5.232531260598722</v>
      </c>
      <c r="K10" s="33"/>
      <c r="L10" s="33"/>
      <c r="M10" s="33"/>
      <c r="N10" s="33">
        <f>C32*'E Balans VL '!Y20/100/3.6*1000000</f>
        <v>115.24319308795995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2174.0410000000002</v>
      </c>
      <c r="C13" s="33"/>
      <c r="D13" s="37">
        <f>IF( ISERROR(IND_papier_gas_kWh/1000),0,IND_papier_gas_kWh/1000)*0.902</f>
        <v>0</v>
      </c>
      <c r="E13" s="33">
        <f>C35*'E Balans VL '!I23/100/3.6*1000000</f>
        <v>4.5025856552339611</v>
      </c>
      <c r="F13" s="33">
        <f>C35*'E Balans VL '!L23/100/3.6*1000000+C35*'E Balans VL '!N23/100/3.6*1000000</f>
        <v>43.115893803462086</v>
      </c>
      <c r="G13" s="34"/>
      <c r="H13" s="33"/>
      <c r="I13" s="33"/>
      <c r="J13" s="40">
        <f>C35*'E Balans VL '!D23/100/3.6*1000000+C35*'E Balans VL '!E23/100/3.6*1000000</f>
        <v>0</v>
      </c>
      <c r="K13" s="33"/>
      <c r="L13" s="33"/>
      <c r="M13" s="33"/>
      <c r="N13" s="33">
        <f>C35*'E Balans VL '!Y23/100/3.6*1000000</f>
        <v>917.98417889089308</v>
      </c>
      <c r="O13" s="33"/>
      <c r="P13" s="33"/>
      <c r="R13" s="32"/>
    </row>
    <row r="14" spans="1:18">
      <c r="A14" s="6" t="s">
        <v>34</v>
      </c>
      <c r="B14" s="37">
        <f t="shared" si="0"/>
        <v>5.5110000000000001</v>
      </c>
      <c r="C14" s="33"/>
      <c r="D14" s="37">
        <f>IF( ISERROR(IND_chemie_gas_kWh/1000),0,IND_chemie_gas_kWh/1000)*0.902</f>
        <v>0</v>
      </c>
      <c r="E14" s="33">
        <f>C36*'E Balans VL '!I24/100/3.6*1000000</f>
        <v>2.0661644695441843E-2</v>
      </c>
      <c r="F14" s="33">
        <f>C36*'E Balans VL '!L24/100/3.6*1000000+C36*'E Balans VL '!N24/100/3.6*1000000</f>
        <v>6.4114712326904327E-2</v>
      </c>
      <c r="G14" s="34"/>
      <c r="H14" s="33"/>
      <c r="I14" s="33"/>
      <c r="J14" s="40">
        <f>C36*'E Balans VL '!D24/100/3.6*1000000+C36*'E Balans VL '!E24/100/3.6*1000000</f>
        <v>0</v>
      </c>
      <c r="K14" s="33"/>
      <c r="L14" s="33"/>
      <c r="M14" s="33"/>
      <c r="N14" s="33">
        <f>C36*'E Balans VL '!Y24/100/3.6*1000000</f>
        <v>9.415279016359919E-2</v>
      </c>
      <c r="O14" s="33"/>
      <c r="P14" s="33"/>
      <c r="R14" s="32"/>
    </row>
    <row r="15" spans="1:18">
      <c r="A15" s="6" t="s">
        <v>270</v>
      </c>
      <c r="B15" s="37">
        <f t="shared" si="0"/>
        <v>1398.59881765</v>
      </c>
      <c r="C15" s="33"/>
      <c r="D15" s="37">
        <f>IF( ISERROR(IND_rest_gas_kWh/1000),0,IND_rest_gas_kWh/1000)*0.902</f>
        <v>370.50732399999998</v>
      </c>
      <c r="E15" s="33">
        <f>C37*'E Balans VL '!I15/100/3.6*1000000</f>
        <v>71.15107198369428</v>
      </c>
      <c r="F15" s="33">
        <f>C37*'E Balans VL '!L15/100/3.6*1000000+C37*'E Balans VL '!N15/100/3.6*1000000</f>
        <v>318.79329172516572</v>
      </c>
      <c r="G15" s="34"/>
      <c r="H15" s="33"/>
      <c r="I15" s="33"/>
      <c r="J15" s="40">
        <f>C37*'E Balans VL '!D15/100/3.6*1000000+C37*'E Balans VL '!E15/100/3.6*1000000</f>
        <v>5.8675840823491487</v>
      </c>
      <c r="K15" s="33"/>
      <c r="L15" s="33"/>
      <c r="M15" s="33"/>
      <c r="N15" s="33">
        <f>C37*'E Balans VL '!Y15/100/3.6*1000000</f>
        <v>262.77417275185451</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5344.3968176500002</v>
      </c>
      <c r="C18" s="21">
        <f>C5+C16</f>
        <v>0</v>
      </c>
      <c r="D18" s="21">
        <f>MAX((D5+D16),0)</f>
        <v>1162.7799259999999</v>
      </c>
      <c r="E18" s="21">
        <f>MAX((E5+E16),0)</f>
        <v>232.75592535737957</v>
      </c>
      <c r="F18" s="21">
        <f>MAX((F5+F16),0)</f>
        <v>1480.5774731049512</v>
      </c>
      <c r="G18" s="21"/>
      <c r="H18" s="21"/>
      <c r="I18" s="21"/>
      <c r="J18" s="21">
        <f>MAX((J5+J16),0)</f>
        <v>11.10011534294787</v>
      </c>
      <c r="K18" s="21"/>
      <c r="L18" s="21">
        <f>MAX((L5+L16),0)</f>
        <v>0</v>
      </c>
      <c r="M18" s="21"/>
      <c r="N18" s="21">
        <f>MAX((N5+N16),0)</f>
        <v>1473.7104381421427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0.19893949346790363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1063.2115957947672</v>
      </c>
      <c r="C22" s="23">
        <f ca="1">C18*C20</f>
        <v>0</v>
      </c>
      <c r="D22" s="23">
        <f>D18*D20</f>
        <v>234.88154505200001</v>
      </c>
      <c r="E22" s="23">
        <f>E18*E20</f>
        <v>52.835595056125165</v>
      </c>
      <c r="F22" s="23">
        <f>F18*F20</f>
        <v>395.31418531902199</v>
      </c>
      <c r="G22" s="23"/>
      <c r="H22" s="23"/>
      <c r="I22" s="23"/>
      <c r="J22" s="23">
        <f>J18*J20</f>
        <v>3.9294408314035456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1083.0050000000001</v>
      </c>
      <c r="C30" s="39">
        <f>IF(ISERROR(B30*3.6/1000000/'E Balans VL '!Z18*100),0,B30*3.6/1000000/'E Balans VL '!Z18*100)</f>
        <v>0.15158460845966076</v>
      </c>
      <c r="D30" s="237" t="s">
        <v>692</v>
      </c>
    </row>
    <row r="31" spans="1:18">
      <c r="A31" s="6" t="s">
        <v>33</v>
      </c>
      <c r="B31" s="37">
        <f>IF( ISERROR(IND_ander_ele_kWh/1000),0,IND_ander_ele_kWh/1000)</f>
        <v>464.61099999999999</v>
      </c>
      <c r="C31" s="39">
        <f>IF(ISERROR(B31*3.6/1000000/'E Balans VL '!Z19*100),0,B31*3.6/1000000/'E Balans VL '!Z19*100)</f>
        <v>2.0335948099387571E-2</v>
      </c>
      <c r="D31" s="237" t="s">
        <v>692</v>
      </c>
    </row>
    <row r="32" spans="1:18">
      <c r="A32" s="171" t="s">
        <v>41</v>
      </c>
      <c r="B32" s="37">
        <f>IF( ISERROR(IND_voed_ele_kWh/1000),0,IND_voed_ele_kWh/1000)</f>
        <v>218.63</v>
      </c>
      <c r="C32" s="39">
        <f>IF(ISERROR(B32*3.6/1000000/'E Balans VL '!Z20*100),0,B32*3.6/1000000/'E Balans VL '!Z20*100)</f>
        <v>5.4125527655819967E-2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2174.0410000000002</v>
      </c>
      <c r="C35" s="39">
        <f>IF(ISERROR(B35*3.6/1000000/'E Balans VL '!Z22*100),0,B35*3.6/1000000/'E Balans VL '!Z22*100)</f>
        <v>6.169041396941239E-2</v>
      </c>
      <c r="D35" s="237" t="s">
        <v>692</v>
      </c>
    </row>
    <row r="36" spans="1:5">
      <c r="A36" s="171" t="s">
        <v>34</v>
      </c>
      <c r="B36" s="37">
        <f>IF( ISERROR(IND_chemie_ele_kWh/1000),0,IND_chemie_ele_kWh/1000)</f>
        <v>5.5110000000000001</v>
      </c>
      <c r="C36" s="39">
        <f>IF(ISERROR(B36*3.6/1000000/'E Balans VL '!Z24*100),0,B36*3.6/1000000/'E Balans VL '!Z24*100)</f>
        <v>1.4052208835723965E-4</v>
      </c>
      <c r="D36" s="237" t="s">
        <v>692</v>
      </c>
    </row>
    <row r="37" spans="1:5">
      <c r="A37" s="171" t="s">
        <v>270</v>
      </c>
      <c r="B37" s="37">
        <f>IF( ISERROR(IND_rest_ele_kWh/1000),0,IND_rest_ele_kWh/1000)</f>
        <v>1398.59881765</v>
      </c>
      <c r="C37" s="39">
        <f>IF(ISERROR(B37*3.6/1000000/'E Balans VL '!Z15*100),0,B37*3.6/1000000/'E Balans VL '!Z15*100)</f>
        <v>1.0370370782624485E-2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1070.94</v>
      </c>
      <c r="C5" s="17">
        <f>'Eigen informatie GS &amp; warmtenet'!B60</f>
        <v>0</v>
      </c>
      <c r="D5" s="30">
        <f>IF(ISERROR(SUM(LB_lb_gas_kWh,LB_rest_gas_kWh,onbekend_gas_kWh)/1000),0,SUM(LB_lb_gas_kWh,LB_rest_gas_kWh,onbekend_gas_kWh)/1000)*0.902</f>
        <v>64.070864</v>
      </c>
      <c r="E5" s="17">
        <f>B17*'E Balans VL '!I25/3.6*1000000/100</f>
        <v>9.919494830903659</v>
      </c>
      <c r="F5" s="17">
        <f>B17*('E Balans VL '!L25/3.6*1000000+'E Balans VL '!N25/3.6*1000000)/100</f>
        <v>2717.1787938606367</v>
      </c>
      <c r="G5" s="18"/>
      <c r="H5" s="17"/>
      <c r="I5" s="17"/>
      <c r="J5" s="17">
        <f>('E Balans VL '!D25+'E Balans VL '!E25)/3.6*1000000*landbouw!B17/100</f>
        <v>164.1870537252822</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1070.94</v>
      </c>
      <c r="C8" s="21">
        <f>C5+C6</f>
        <v>0</v>
      </c>
      <c r="D8" s="21">
        <f>MAX((D5+D6),0)</f>
        <v>64.070864</v>
      </c>
      <c r="E8" s="21">
        <f>MAX((E5+E6),0)</f>
        <v>9.919494830903659</v>
      </c>
      <c r="F8" s="21">
        <f>MAX((F5+F6),0)</f>
        <v>2717.1787938606367</v>
      </c>
      <c r="G8" s="21"/>
      <c r="H8" s="21"/>
      <c r="I8" s="21"/>
      <c r="J8" s="21">
        <f>MAX((J5+J6),0)</f>
        <v>164.1870537252822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0.19893949346790363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213.05226113451673</v>
      </c>
      <c r="C12" s="23">
        <f ca="1">C8*C10</f>
        <v>0</v>
      </c>
      <c r="D12" s="23">
        <f>D8*D10</f>
        <v>12.942314528000001</v>
      </c>
      <c r="E12" s="23">
        <f>E8*E10</f>
        <v>2.2517253266151305</v>
      </c>
      <c r="F12" s="23">
        <f>F8*F10</f>
        <v>725.48673796079004</v>
      </c>
      <c r="G12" s="23"/>
      <c r="H12" s="23"/>
      <c r="I12" s="23"/>
      <c r="J12" s="23">
        <f>J8*J10</f>
        <v>58.122217018749893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0.15226496014696869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11.158620097432955</v>
      </c>
      <c r="C26" s="247">
        <f>B26*'GWP N2O_CH4'!B5</f>
        <v>234.33102204609204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0.96032199915467786</v>
      </c>
      <c r="C27" s="247">
        <f>B27*'GWP N2O_CH4'!B5</f>
        <v>20.166761982248236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0.14832603370745137</v>
      </c>
      <c r="C28" s="247">
        <f>B28*'GWP N2O_CH4'!B4</f>
        <v>45.981070449309925</v>
      </c>
      <c r="D28" s="50"/>
    </row>
    <row r="29" spans="1:4">
      <c r="A29" s="41" t="s">
        <v>277</v>
      </c>
      <c r="B29" s="247">
        <f>B34*'ha_N2O bodem landbouw'!B4</f>
        <v>9.2279832837395936</v>
      </c>
      <c r="C29" s="247">
        <f>B29*'GWP N2O_CH4'!B4</f>
        <v>2860.6748179592742</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2.0696740782972256E-3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3.6276703899630982E-5</v>
      </c>
      <c r="C5" s="464" t="s">
        <v>211</v>
      </c>
      <c r="D5" s="449">
        <f>SUM(D6:D11)</f>
        <v>1.0240898892278818E-4</v>
      </c>
      <c r="E5" s="449">
        <f>SUM(E6:E11)</f>
        <v>6.454583300904385E-4</v>
      </c>
      <c r="F5" s="462" t="s">
        <v>211</v>
      </c>
      <c r="G5" s="449">
        <f>SUM(G6:G11)</f>
        <v>0.19099863919398472</v>
      </c>
      <c r="H5" s="449">
        <f>SUM(H6:H11)</f>
        <v>3.8532036456982499E-2</v>
      </c>
      <c r="I5" s="464" t="s">
        <v>211</v>
      </c>
      <c r="J5" s="464" t="s">
        <v>211</v>
      </c>
      <c r="K5" s="464" t="s">
        <v>211</v>
      </c>
      <c r="L5" s="464" t="s">
        <v>211</v>
      </c>
      <c r="M5" s="449">
        <f>SUM(M6:M11)</f>
        <v>1.2234565034306021E-2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2.5874071927160771E-5</v>
      </c>
      <c r="C6" s="450"/>
      <c r="D6" s="963">
        <f>vkm_2011_GW_PW*SUMIFS(TableVerdeelsleutelVkm[CNG],TableVerdeelsleutelVkm[Voertuigtype],"Lichte voertuigen")*SUMIFS(TableECFTransport[EnergieConsumptieFactor (PJ per km)],TableECFTransport[Index],CONCATENATE($A6,"_CNG_CNG"))</f>
        <v>5.9849576984838951E-5</v>
      </c>
      <c r="E6" s="963">
        <f>vkm_2011_GW_PW*SUMIFS(TableVerdeelsleutelVkm[LPG],TableVerdeelsleutelVkm[Voertuigtype],"Lichte voertuigen")*SUMIFS(TableECFTransport[EnergieConsumptieFactor (PJ per km)],TableECFTransport[Index],CONCATENATE($A6,"_LPG_LPG"))</f>
        <v>3.8970430317809655E-4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8.09581858476289E-2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2.2820439539549788E-2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5.3855726762779181E-3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5.2382508318657525E-2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1.7913866534315581E-5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3.030625023766003E-3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1.0402631972470208E-5</v>
      </c>
      <c r="C8" s="450"/>
      <c r="D8" s="452">
        <f>vkm_2011_NGW_PW*SUMIFS(TableVerdeelsleutelVkm[CNG],TableVerdeelsleutelVkm[Voertuigtype],"Lichte voertuigen")*SUMIFS(TableECFTransport[EnergieConsumptieFactor (PJ per km)],TableECFTransport[Index],CONCATENATE($A8,"_CNG_CNG"))</f>
        <v>4.2559411937949223E-5</v>
      </c>
      <c r="E8" s="452">
        <f>vkm_2011_NGW_PW*SUMIFS(TableVerdeelsleutelVkm[LPG],TableVerdeelsleutelVkm[Voertuigtype],"Lichte voertuigen")*SUMIFS(TableECFTransport[EnergieConsumptieFactor (PJ per km)],TableECFTransport[Index],CONCATENATE($A8,"_LPG_LPG"))</f>
        <v>2.5575402691234189E-4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4.9667056307208982E-2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1.5691097292391796E-2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3.35605365220843E-3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7.9908887204893485E-3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2.5857585066069786E-6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4.6231368205367174E-4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10.07686219434194</v>
      </c>
      <c r="C14" s="21"/>
      <c r="D14" s="21">
        <f t="shared" ref="D14:M14" si="0">((D5)*10^9/3600)+D12</f>
        <v>28.446941367441163</v>
      </c>
      <c r="E14" s="21">
        <f t="shared" si="0"/>
        <v>179.29398058067736</v>
      </c>
      <c r="F14" s="21"/>
      <c r="G14" s="21">
        <f t="shared" si="0"/>
        <v>53055.177553884641</v>
      </c>
      <c r="H14" s="21">
        <f t="shared" si="0"/>
        <v>10703.343460272918</v>
      </c>
      <c r="I14" s="21"/>
      <c r="J14" s="21"/>
      <c r="K14" s="21"/>
      <c r="L14" s="21"/>
      <c r="M14" s="21">
        <f t="shared" si="0"/>
        <v>3398.4902873072283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0.19893949346790363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2.0046858606882534</v>
      </c>
      <c r="C18" s="23"/>
      <c r="D18" s="23">
        <f t="shared" ref="D18:M18" si="1">D14*D16</f>
        <v>5.7462821562231152</v>
      </c>
      <c r="E18" s="23">
        <f t="shared" si="1"/>
        <v>40.699733591813761</v>
      </c>
      <c r="F18" s="23"/>
      <c r="G18" s="23">
        <f t="shared" si="1"/>
        <v>14165.7324068872</v>
      </c>
      <c r="H18" s="23">
        <f t="shared" si="1"/>
        <v>2665.1325216079563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9.8221624233241368E-3</v>
      </c>
      <c r="H50" s="321">
        <f t="shared" si="2"/>
        <v>0</v>
      </c>
      <c r="I50" s="321">
        <f t="shared" si="2"/>
        <v>0</v>
      </c>
      <c r="J50" s="321">
        <f t="shared" si="2"/>
        <v>0</v>
      </c>
      <c r="K50" s="321">
        <f t="shared" si="2"/>
        <v>0</v>
      </c>
      <c r="L50" s="321">
        <f t="shared" si="2"/>
        <v>0</v>
      </c>
      <c r="M50" s="321">
        <f t="shared" si="2"/>
        <v>5.6012928985195605E-4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9.8221624233241368E-3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5.6012928985195605E-4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2728.378450923371</v>
      </c>
      <c r="H54" s="21">
        <f t="shared" si="3"/>
        <v>0</v>
      </c>
      <c r="I54" s="21">
        <f t="shared" si="3"/>
        <v>0</v>
      </c>
      <c r="J54" s="21">
        <f t="shared" si="3"/>
        <v>0</v>
      </c>
      <c r="K54" s="21">
        <f t="shared" si="3"/>
        <v>0</v>
      </c>
      <c r="L54" s="21">
        <f t="shared" si="3"/>
        <v>0</v>
      </c>
      <c r="M54" s="21">
        <f t="shared" si="3"/>
        <v>155.59146940332113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0.19893949346790363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728.47704639654012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110.94618834080717</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4082.1655913876971</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4193.1117797285042</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14097.50454</v>
      </c>
      <c r="D10" s="719">
        <f ca="1">tertiair!C16</f>
        <v>0</v>
      </c>
      <c r="E10" s="719">
        <f ca="1">tertiair!D16</f>
        <v>8745.2489960000003</v>
      </c>
      <c r="F10" s="719">
        <f>tertiair!E16</f>
        <v>136.7532915599345</v>
      </c>
      <c r="G10" s="719">
        <f ca="1">tertiair!F16</f>
        <v>1848.205820374619</v>
      </c>
      <c r="H10" s="719">
        <f>tertiair!G16</f>
        <v>0</v>
      </c>
      <c r="I10" s="719">
        <f>tertiair!H16</f>
        <v>0</v>
      </c>
      <c r="J10" s="719">
        <f>tertiair!I16</f>
        <v>0</v>
      </c>
      <c r="K10" s="719">
        <f>tertiair!J16</f>
        <v>0</v>
      </c>
      <c r="L10" s="719">
        <f>tertiair!K16</f>
        <v>0</v>
      </c>
      <c r="M10" s="719">
        <f ca="1">tertiair!L16</f>
        <v>0</v>
      </c>
      <c r="N10" s="719">
        <f>tertiair!M16</f>
        <v>0</v>
      </c>
      <c r="O10" s="719">
        <f ca="1">tertiair!N16</f>
        <v>964.87197937199312</v>
      </c>
      <c r="P10" s="719">
        <f>tertiair!O16</f>
        <v>1.5633333333333335</v>
      </c>
      <c r="Q10" s="720">
        <f>tertiair!P16</f>
        <v>57.2</v>
      </c>
      <c r="R10" s="722">
        <f ca="1">SUM(C10:Q10)</f>
        <v>25851.34796063988</v>
      </c>
      <c r="S10" s="67"/>
    </row>
    <row r="11" spans="1:19" s="475" customFormat="1">
      <c r="A11" s="871" t="s">
        <v>225</v>
      </c>
      <c r="B11" s="876"/>
      <c r="C11" s="719">
        <f>huishoudens!B8</f>
        <v>21483.266088378754</v>
      </c>
      <c r="D11" s="719">
        <f>huishoudens!C8</f>
        <v>0</v>
      </c>
      <c r="E11" s="719">
        <f>huishoudens!D8</f>
        <v>34538.778758</v>
      </c>
      <c r="F11" s="719">
        <f>huishoudens!E8</f>
        <v>3372.3675347626613</v>
      </c>
      <c r="G11" s="719">
        <f>huishoudens!F8</f>
        <v>31723.265444027867</v>
      </c>
      <c r="H11" s="719">
        <f>huishoudens!G8</f>
        <v>0</v>
      </c>
      <c r="I11" s="719">
        <f>huishoudens!H8</f>
        <v>0</v>
      </c>
      <c r="J11" s="719">
        <f>huishoudens!I8</f>
        <v>0</v>
      </c>
      <c r="K11" s="719">
        <f>huishoudens!J8</f>
        <v>0</v>
      </c>
      <c r="L11" s="719">
        <f>huishoudens!K8</f>
        <v>0</v>
      </c>
      <c r="M11" s="719">
        <f>huishoudens!L8</f>
        <v>0</v>
      </c>
      <c r="N11" s="719">
        <f>huishoudens!M8</f>
        <v>0</v>
      </c>
      <c r="O11" s="719">
        <f>huishoudens!N8</f>
        <v>4303.9556884996837</v>
      </c>
      <c r="P11" s="719">
        <f>huishoudens!O8</f>
        <v>142.26333333333332</v>
      </c>
      <c r="Q11" s="720">
        <f>huishoudens!P8</f>
        <v>762.66666666666674</v>
      </c>
      <c r="R11" s="722">
        <f>SUM(C11:Q11)</f>
        <v>96326.563513668982</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5344.3968176500002</v>
      </c>
      <c r="D13" s="719">
        <f>industrie!C18</f>
        <v>0</v>
      </c>
      <c r="E13" s="719">
        <f>industrie!D18</f>
        <v>1162.7799259999999</v>
      </c>
      <c r="F13" s="719">
        <f>industrie!E18</f>
        <v>232.75592535737957</v>
      </c>
      <c r="G13" s="719">
        <f>industrie!F18</f>
        <v>1480.5774731049512</v>
      </c>
      <c r="H13" s="719">
        <f>industrie!G18</f>
        <v>0</v>
      </c>
      <c r="I13" s="719">
        <f>industrie!H18</f>
        <v>0</v>
      </c>
      <c r="J13" s="719">
        <f>industrie!I18</f>
        <v>0</v>
      </c>
      <c r="K13" s="719">
        <f>industrie!J18</f>
        <v>11.10011534294787</v>
      </c>
      <c r="L13" s="719">
        <f>industrie!K18</f>
        <v>0</v>
      </c>
      <c r="M13" s="719">
        <f>industrie!L18</f>
        <v>0</v>
      </c>
      <c r="N13" s="719">
        <f>industrie!M18</f>
        <v>0</v>
      </c>
      <c r="O13" s="719">
        <f>industrie!N18</f>
        <v>1473.7104381421427</v>
      </c>
      <c r="P13" s="719">
        <f>industrie!O18</f>
        <v>0</v>
      </c>
      <c r="Q13" s="720">
        <f>industrie!P18</f>
        <v>0</v>
      </c>
      <c r="R13" s="722">
        <f>SUM(C13:Q13)</f>
        <v>9705.3206955974219</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40925.167446028754</v>
      </c>
      <c r="D15" s="724">
        <f t="shared" ref="D15:Q15" ca="1" si="0">SUM(D9:D14)</f>
        <v>0</v>
      </c>
      <c r="E15" s="724">
        <f t="shared" ca="1" si="0"/>
        <v>44446.807680000005</v>
      </c>
      <c r="F15" s="724">
        <f t="shared" si="0"/>
        <v>3741.8767516799753</v>
      </c>
      <c r="G15" s="724">
        <f t="shared" ca="1" si="0"/>
        <v>35052.048737507437</v>
      </c>
      <c r="H15" s="724">
        <f t="shared" si="0"/>
        <v>0</v>
      </c>
      <c r="I15" s="724">
        <f t="shared" si="0"/>
        <v>0</v>
      </c>
      <c r="J15" s="724">
        <f t="shared" si="0"/>
        <v>0</v>
      </c>
      <c r="K15" s="724">
        <f t="shared" si="0"/>
        <v>11.10011534294787</v>
      </c>
      <c r="L15" s="724">
        <f t="shared" si="0"/>
        <v>0</v>
      </c>
      <c r="M15" s="724">
        <f t="shared" ca="1" si="0"/>
        <v>0</v>
      </c>
      <c r="N15" s="724">
        <f t="shared" si="0"/>
        <v>0</v>
      </c>
      <c r="O15" s="724">
        <f t="shared" ca="1" si="0"/>
        <v>6742.5381060138188</v>
      </c>
      <c r="P15" s="724">
        <f t="shared" si="0"/>
        <v>143.82666666666665</v>
      </c>
      <c r="Q15" s="725">
        <f t="shared" si="0"/>
        <v>819.86666666666679</v>
      </c>
      <c r="R15" s="726">
        <f ca="1">SUM(R9:R14)</f>
        <v>131883.23216990629</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2728.378450923371</v>
      </c>
      <c r="I18" s="719">
        <f>transport!H54</f>
        <v>0</v>
      </c>
      <c r="J18" s="719">
        <f>transport!I54</f>
        <v>0</v>
      </c>
      <c r="K18" s="719">
        <f>transport!J54</f>
        <v>0</v>
      </c>
      <c r="L18" s="719">
        <f>transport!K54</f>
        <v>0</v>
      </c>
      <c r="M18" s="719">
        <f>transport!L54</f>
        <v>0</v>
      </c>
      <c r="N18" s="719">
        <f>transport!M54</f>
        <v>155.59146940332113</v>
      </c>
      <c r="O18" s="719">
        <f>transport!N54</f>
        <v>0</v>
      </c>
      <c r="P18" s="719">
        <f>transport!O54</f>
        <v>0</v>
      </c>
      <c r="Q18" s="720">
        <f>transport!P54</f>
        <v>0</v>
      </c>
      <c r="R18" s="722">
        <f>SUM(C18:Q18)</f>
        <v>2883.9699203266923</v>
      </c>
      <c r="S18" s="67"/>
    </row>
    <row r="19" spans="1:19" s="475" customFormat="1" ht="15" thickBot="1">
      <c r="A19" s="871" t="s">
        <v>307</v>
      </c>
      <c r="B19" s="876"/>
      <c r="C19" s="728">
        <f>transport!B14</f>
        <v>10.07686219434194</v>
      </c>
      <c r="D19" s="728">
        <f>transport!C14</f>
        <v>0</v>
      </c>
      <c r="E19" s="728">
        <f>transport!D14</f>
        <v>28.446941367441163</v>
      </c>
      <c r="F19" s="728">
        <f>transport!E14</f>
        <v>179.29398058067736</v>
      </c>
      <c r="G19" s="728">
        <f>transport!F14</f>
        <v>0</v>
      </c>
      <c r="H19" s="728">
        <f>transport!G14</f>
        <v>53055.177553884641</v>
      </c>
      <c r="I19" s="728">
        <f>transport!H14</f>
        <v>10703.343460272918</v>
      </c>
      <c r="J19" s="728">
        <f>transport!I14</f>
        <v>0</v>
      </c>
      <c r="K19" s="728">
        <f>transport!J14</f>
        <v>0</v>
      </c>
      <c r="L19" s="728">
        <f>transport!K14</f>
        <v>0</v>
      </c>
      <c r="M19" s="728">
        <f>transport!L14</f>
        <v>0</v>
      </c>
      <c r="N19" s="728">
        <f>transport!M14</f>
        <v>3398.4902873072283</v>
      </c>
      <c r="O19" s="728">
        <f>transport!N14</f>
        <v>0</v>
      </c>
      <c r="P19" s="728">
        <f>transport!O14</f>
        <v>0</v>
      </c>
      <c r="Q19" s="729">
        <f>transport!P14</f>
        <v>0</v>
      </c>
      <c r="R19" s="730">
        <f>SUM(C19:Q19)</f>
        <v>67374.829085607256</v>
      </c>
      <c r="S19" s="67"/>
    </row>
    <row r="20" spans="1:19" s="475" customFormat="1" ht="15.75" thickBot="1">
      <c r="A20" s="731" t="s">
        <v>230</v>
      </c>
      <c r="B20" s="879"/>
      <c r="C20" s="874">
        <f>SUM(C17:C19)</f>
        <v>10.07686219434194</v>
      </c>
      <c r="D20" s="732">
        <f t="shared" ref="D20:R20" si="1">SUM(D17:D19)</f>
        <v>0</v>
      </c>
      <c r="E20" s="732">
        <f t="shared" si="1"/>
        <v>28.446941367441163</v>
      </c>
      <c r="F20" s="732">
        <f t="shared" si="1"/>
        <v>179.29398058067736</v>
      </c>
      <c r="G20" s="732">
        <f t="shared" si="1"/>
        <v>0</v>
      </c>
      <c r="H20" s="732">
        <f t="shared" si="1"/>
        <v>55783.556004808015</v>
      </c>
      <c r="I20" s="732">
        <f t="shared" si="1"/>
        <v>10703.343460272918</v>
      </c>
      <c r="J20" s="732">
        <f t="shared" si="1"/>
        <v>0</v>
      </c>
      <c r="K20" s="732">
        <f t="shared" si="1"/>
        <v>0</v>
      </c>
      <c r="L20" s="732">
        <f t="shared" si="1"/>
        <v>0</v>
      </c>
      <c r="M20" s="732">
        <f t="shared" si="1"/>
        <v>0</v>
      </c>
      <c r="N20" s="732">
        <f t="shared" si="1"/>
        <v>3554.0817567105496</v>
      </c>
      <c r="O20" s="732">
        <f t="shared" si="1"/>
        <v>0</v>
      </c>
      <c r="P20" s="732">
        <f t="shared" si="1"/>
        <v>0</v>
      </c>
      <c r="Q20" s="733">
        <f t="shared" si="1"/>
        <v>0</v>
      </c>
      <c r="R20" s="734">
        <f t="shared" si="1"/>
        <v>70258.79900593395</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1070.94</v>
      </c>
      <c r="D22" s="728">
        <f>+landbouw!C8</f>
        <v>0</v>
      </c>
      <c r="E22" s="728">
        <f>+landbouw!D8</f>
        <v>64.070864</v>
      </c>
      <c r="F22" s="728">
        <f>+landbouw!E8</f>
        <v>9.919494830903659</v>
      </c>
      <c r="G22" s="728">
        <f>+landbouw!F8</f>
        <v>2717.1787938606367</v>
      </c>
      <c r="H22" s="728">
        <f>+landbouw!G8</f>
        <v>0</v>
      </c>
      <c r="I22" s="728">
        <f>+landbouw!H8</f>
        <v>0</v>
      </c>
      <c r="J22" s="728">
        <f>+landbouw!I8</f>
        <v>0</v>
      </c>
      <c r="K22" s="728">
        <f>+landbouw!J8</f>
        <v>164.1870537252822</v>
      </c>
      <c r="L22" s="728">
        <f>+landbouw!K8</f>
        <v>0</v>
      </c>
      <c r="M22" s="728">
        <f>+landbouw!L8</f>
        <v>0</v>
      </c>
      <c r="N22" s="728">
        <f>+landbouw!M8</f>
        <v>0</v>
      </c>
      <c r="O22" s="728">
        <f>+landbouw!N8</f>
        <v>0</v>
      </c>
      <c r="P22" s="728">
        <f>+landbouw!O8</f>
        <v>0</v>
      </c>
      <c r="Q22" s="729">
        <f>+landbouw!P8</f>
        <v>0</v>
      </c>
      <c r="R22" s="730">
        <f>SUM(C22:Q22)</f>
        <v>4026.2962064168228</v>
      </c>
      <c r="S22" s="67"/>
    </row>
    <row r="23" spans="1:19" s="475" customFormat="1" ht="17.25" thickTop="1" thickBot="1">
      <c r="A23" s="735" t="s">
        <v>116</v>
      </c>
      <c r="B23" s="865"/>
      <c r="C23" s="736">
        <f ca="1">C20+C15+C22</f>
        <v>42006.184308223099</v>
      </c>
      <c r="D23" s="736">
        <f t="shared" ref="D23:Q23" ca="1" si="2">D20+D15+D22</f>
        <v>0</v>
      </c>
      <c r="E23" s="736">
        <f t="shared" ca="1" si="2"/>
        <v>44539.325485367444</v>
      </c>
      <c r="F23" s="736">
        <f t="shared" si="2"/>
        <v>3931.0902270915562</v>
      </c>
      <c r="G23" s="736">
        <f t="shared" ca="1" si="2"/>
        <v>37769.227531368073</v>
      </c>
      <c r="H23" s="736">
        <f t="shared" si="2"/>
        <v>55783.556004808015</v>
      </c>
      <c r="I23" s="736">
        <f t="shared" si="2"/>
        <v>10703.343460272918</v>
      </c>
      <c r="J23" s="736">
        <f t="shared" si="2"/>
        <v>0</v>
      </c>
      <c r="K23" s="736">
        <f t="shared" si="2"/>
        <v>175.28716906823007</v>
      </c>
      <c r="L23" s="736">
        <f t="shared" si="2"/>
        <v>0</v>
      </c>
      <c r="M23" s="736">
        <f t="shared" ca="1" si="2"/>
        <v>0</v>
      </c>
      <c r="N23" s="736">
        <f t="shared" si="2"/>
        <v>3554.0817567105496</v>
      </c>
      <c r="O23" s="736">
        <f t="shared" ca="1" si="2"/>
        <v>6742.5381060138188</v>
      </c>
      <c r="P23" s="736">
        <f t="shared" si="2"/>
        <v>143.82666666666665</v>
      </c>
      <c r="Q23" s="737">
        <f t="shared" si="2"/>
        <v>819.86666666666679</v>
      </c>
      <c r="R23" s="738">
        <f ca="1">R20+R15+R22</f>
        <v>206168.32738225706</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2804.5504123490714</v>
      </c>
      <c r="D36" s="719">
        <f ca="1">tertiair!C20</f>
        <v>0</v>
      </c>
      <c r="E36" s="719">
        <f ca="1">tertiair!D20</f>
        <v>1766.5402971920003</v>
      </c>
      <c r="F36" s="719">
        <f>tertiair!E20</f>
        <v>31.042997184105133</v>
      </c>
      <c r="G36" s="719">
        <f ca="1">tertiair!F20</f>
        <v>493.47095404002329</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5095.6046607651997</v>
      </c>
    </row>
    <row r="37" spans="1:18">
      <c r="A37" s="886" t="s">
        <v>225</v>
      </c>
      <c r="B37" s="893"/>
      <c r="C37" s="719">
        <f ca="1">huishoudens!B12</f>
        <v>4273.8700736582605</v>
      </c>
      <c r="D37" s="719">
        <f ca="1">huishoudens!C12</f>
        <v>0</v>
      </c>
      <c r="E37" s="719">
        <f>huishoudens!D12</f>
        <v>6976.8333091160002</v>
      </c>
      <c r="F37" s="719">
        <f>huishoudens!E12</f>
        <v>765.52743039112408</v>
      </c>
      <c r="G37" s="719">
        <f>huishoudens!F12</f>
        <v>8470.111873555441</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20486.342686720825</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1063.2115957947672</v>
      </c>
      <c r="D39" s="719">
        <f ca="1">industrie!C22</f>
        <v>0</v>
      </c>
      <c r="E39" s="719">
        <f>industrie!D22</f>
        <v>234.88154505200001</v>
      </c>
      <c r="F39" s="719">
        <f>industrie!E22</f>
        <v>52.835595056125165</v>
      </c>
      <c r="G39" s="719">
        <f>industrie!F22</f>
        <v>395.31418531902199</v>
      </c>
      <c r="H39" s="719">
        <f>industrie!G22</f>
        <v>0</v>
      </c>
      <c r="I39" s="719">
        <f>industrie!H22</f>
        <v>0</v>
      </c>
      <c r="J39" s="719">
        <f>industrie!I22</f>
        <v>0</v>
      </c>
      <c r="K39" s="719">
        <f>industrie!J22</f>
        <v>3.9294408314035456</v>
      </c>
      <c r="L39" s="719">
        <f>industrie!K22</f>
        <v>0</v>
      </c>
      <c r="M39" s="719">
        <f>industrie!L22</f>
        <v>0</v>
      </c>
      <c r="N39" s="719">
        <f>industrie!M22</f>
        <v>0</v>
      </c>
      <c r="O39" s="719">
        <f>industrie!N22</f>
        <v>0</v>
      </c>
      <c r="P39" s="719">
        <f>industrie!O22</f>
        <v>0</v>
      </c>
      <c r="Q39" s="829">
        <f>industrie!P22</f>
        <v>0</v>
      </c>
      <c r="R39" s="919">
        <f ca="1">SUM(C39:Q39)</f>
        <v>1750.172362053318</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8141.6320818020986</v>
      </c>
      <c r="D41" s="764">
        <f t="shared" ref="D41:R41" ca="1" si="4">SUM(D35:D40)</f>
        <v>0</v>
      </c>
      <c r="E41" s="764">
        <f t="shared" ca="1" si="4"/>
        <v>8978.2551513599992</v>
      </c>
      <c r="F41" s="764">
        <f t="shared" si="4"/>
        <v>849.4060226313544</v>
      </c>
      <c r="G41" s="764">
        <f t="shared" ca="1" si="4"/>
        <v>9358.8970129144873</v>
      </c>
      <c r="H41" s="764">
        <f t="shared" si="4"/>
        <v>0</v>
      </c>
      <c r="I41" s="764">
        <f t="shared" si="4"/>
        <v>0</v>
      </c>
      <c r="J41" s="764">
        <f t="shared" si="4"/>
        <v>0</v>
      </c>
      <c r="K41" s="764">
        <f t="shared" si="4"/>
        <v>3.9294408314035456</v>
      </c>
      <c r="L41" s="764">
        <f t="shared" si="4"/>
        <v>0</v>
      </c>
      <c r="M41" s="764">
        <f t="shared" ca="1" si="4"/>
        <v>0</v>
      </c>
      <c r="N41" s="764">
        <f t="shared" si="4"/>
        <v>0</v>
      </c>
      <c r="O41" s="764">
        <f t="shared" ca="1" si="4"/>
        <v>0</v>
      </c>
      <c r="P41" s="764">
        <f t="shared" si="4"/>
        <v>0</v>
      </c>
      <c r="Q41" s="765">
        <f t="shared" si="4"/>
        <v>0</v>
      </c>
      <c r="R41" s="766">
        <f t="shared" ca="1" si="4"/>
        <v>27332.119709539344</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728.47704639654012</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728.47704639654012</v>
      </c>
    </row>
    <row r="45" spans="1:18" ht="15" thickBot="1">
      <c r="A45" s="889" t="s">
        <v>307</v>
      </c>
      <c r="B45" s="899"/>
      <c r="C45" s="728">
        <f ca="1">transport!B18</f>
        <v>2.0046858606882534</v>
      </c>
      <c r="D45" s="728">
        <f>transport!C18</f>
        <v>0</v>
      </c>
      <c r="E45" s="728">
        <f>transport!D18</f>
        <v>5.7462821562231152</v>
      </c>
      <c r="F45" s="728">
        <f>transport!E18</f>
        <v>40.699733591813761</v>
      </c>
      <c r="G45" s="728">
        <f>transport!F18</f>
        <v>0</v>
      </c>
      <c r="H45" s="728">
        <f>transport!G18</f>
        <v>14165.7324068872</v>
      </c>
      <c r="I45" s="728">
        <f>transport!H18</f>
        <v>2665.1325216079563</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16879.31563010388</v>
      </c>
    </row>
    <row r="46" spans="1:18" ht="15.75" thickBot="1">
      <c r="A46" s="887" t="s">
        <v>230</v>
      </c>
      <c r="B46" s="900"/>
      <c r="C46" s="764">
        <f t="shared" ref="C46:R46" ca="1" si="5">SUM(C43:C45)</f>
        <v>2.0046858606882534</v>
      </c>
      <c r="D46" s="764">
        <f t="shared" ca="1" si="5"/>
        <v>0</v>
      </c>
      <c r="E46" s="764">
        <f t="shared" si="5"/>
        <v>5.7462821562231152</v>
      </c>
      <c r="F46" s="764">
        <f t="shared" si="5"/>
        <v>40.699733591813761</v>
      </c>
      <c r="G46" s="764">
        <f t="shared" si="5"/>
        <v>0</v>
      </c>
      <c r="H46" s="764">
        <f t="shared" si="5"/>
        <v>14894.20945328374</v>
      </c>
      <c r="I46" s="764">
        <f t="shared" si="5"/>
        <v>2665.1325216079563</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17607.792676500419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213.05226113451673</v>
      </c>
      <c r="D48" s="719">
        <f ca="1">+landbouw!C12</f>
        <v>0</v>
      </c>
      <c r="E48" s="719">
        <f>+landbouw!D12</f>
        <v>12.942314528000001</v>
      </c>
      <c r="F48" s="719">
        <f>+landbouw!E12</f>
        <v>2.2517253266151305</v>
      </c>
      <c r="G48" s="719">
        <f>+landbouw!F12</f>
        <v>725.48673796079004</v>
      </c>
      <c r="H48" s="719">
        <f>+landbouw!G12</f>
        <v>0</v>
      </c>
      <c r="I48" s="719">
        <f>+landbouw!H12</f>
        <v>0</v>
      </c>
      <c r="J48" s="719">
        <f>+landbouw!I12</f>
        <v>0</v>
      </c>
      <c r="K48" s="719">
        <f>+landbouw!J12</f>
        <v>58.122217018749893</v>
      </c>
      <c r="L48" s="719">
        <f>+landbouw!K12</f>
        <v>0</v>
      </c>
      <c r="M48" s="719">
        <f>+landbouw!L12</f>
        <v>0</v>
      </c>
      <c r="N48" s="719">
        <f>+landbouw!M12</f>
        <v>0</v>
      </c>
      <c r="O48" s="719">
        <f>+landbouw!N12</f>
        <v>0</v>
      </c>
      <c r="P48" s="719">
        <f>+landbouw!O12</f>
        <v>0</v>
      </c>
      <c r="Q48" s="720">
        <f>+landbouw!P12</f>
        <v>0</v>
      </c>
      <c r="R48" s="762">
        <f ca="1">SUM(C48:Q48)</f>
        <v>1011.8552559686718</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8356.6890287973038</v>
      </c>
      <c r="D53" s="774">
        <f t="shared" ref="D53:Q53" ca="1" si="6">D41+D46+D48</f>
        <v>0</v>
      </c>
      <c r="E53" s="774">
        <f t="shared" ca="1" si="6"/>
        <v>8996.943748044223</v>
      </c>
      <c r="F53" s="774">
        <f t="shared" si="6"/>
        <v>892.3574815497833</v>
      </c>
      <c r="G53" s="774">
        <f t="shared" ca="1" si="6"/>
        <v>10084.383750875277</v>
      </c>
      <c r="H53" s="774">
        <f t="shared" si="6"/>
        <v>14894.20945328374</v>
      </c>
      <c r="I53" s="774">
        <f t="shared" si="6"/>
        <v>2665.1325216079563</v>
      </c>
      <c r="J53" s="774">
        <f t="shared" si="6"/>
        <v>0</v>
      </c>
      <c r="K53" s="774">
        <f t="shared" si="6"/>
        <v>62.05165785015344</v>
      </c>
      <c r="L53" s="774">
        <f t="shared" si="6"/>
        <v>0</v>
      </c>
      <c r="M53" s="774">
        <f t="shared" ca="1" si="6"/>
        <v>0</v>
      </c>
      <c r="N53" s="774">
        <f t="shared" si="6"/>
        <v>0</v>
      </c>
      <c r="O53" s="774">
        <f t="shared" ca="1" si="6"/>
        <v>0</v>
      </c>
      <c r="P53" s="774">
        <f>P41+P46+P48</f>
        <v>0</v>
      </c>
      <c r="Q53" s="775">
        <f t="shared" si="6"/>
        <v>0</v>
      </c>
      <c r="R53" s="776">
        <f ca="1">R41+R46+R48</f>
        <v>45951.767642008439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0.1989394934679036</v>
      </c>
      <c r="D55" s="837">
        <f t="shared" ca="1" si="7"/>
        <v>0</v>
      </c>
      <c r="E55" s="837">
        <f t="shared" ca="1" si="7"/>
        <v>0.20199999999999999</v>
      </c>
      <c r="F55" s="837">
        <f t="shared" si="7"/>
        <v>0.22700000000000001</v>
      </c>
      <c r="G55" s="837">
        <f t="shared" ca="1" si="7"/>
        <v>0.26700000000000002</v>
      </c>
      <c r="H55" s="837">
        <f t="shared" si="7"/>
        <v>0.26700000000000002</v>
      </c>
      <c r="I55" s="837">
        <f t="shared" si="7"/>
        <v>0.24899999999999997</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110.94618834080717</v>
      </c>
      <c r="C65" s="796">
        <f>'lokale energieproductie'!B5</f>
        <v>110.94618834080717</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4082.1655913876971</v>
      </c>
      <c r="C66" s="796">
        <f>'lokale energieproductie'!B6</f>
        <v>4082.1655913876971</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4193.1117797285042</v>
      </c>
      <c r="C69" s="804">
        <f>SUM(C64:C68)</f>
        <v>4193.1117797285042</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21483.266088378754</v>
      </c>
      <c r="C4" s="479">
        <f>huishoudens!C8</f>
        <v>0</v>
      </c>
      <c r="D4" s="479">
        <f>huishoudens!D8</f>
        <v>34538.778758</v>
      </c>
      <c r="E4" s="479">
        <f>huishoudens!E8</f>
        <v>3372.3675347626613</v>
      </c>
      <c r="F4" s="479">
        <f>huishoudens!F8</f>
        <v>31723.265444027867</v>
      </c>
      <c r="G4" s="479">
        <f>huishoudens!G8</f>
        <v>0</v>
      </c>
      <c r="H4" s="479">
        <f>huishoudens!H8</f>
        <v>0</v>
      </c>
      <c r="I4" s="479">
        <f>huishoudens!I8</f>
        <v>0</v>
      </c>
      <c r="J4" s="479">
        <f>huishoudens!J8</f>
        <v>0</v>
      </c>
      <c r="K4" s="479">
        <f>huishoudens!K8</f>
        <v>0</v>
      </c>
      <c r="L4" s="479">
        <f>huishoudens!L8</f>
        <v>0</v>
      </c>
      <c r="M4" s="479">
        <f>huishoudens!M8</f>
        <v>0</v>
      </c>
      <c r="N4" s="479">
        <f>huishoudens!N8</f>
        <v>4303.9556884996837</v>
      </c>
      <c r="O4" s="479">
        <f>huishoudens!O8</f>
        <v>142.26333333333332</v>
      </c>
      <c r="P4" s="480">
        <f>huishoudens!P8</f>
        <v>762.66666666666674</v>
      </c>
      <c r="Q4" s="481">
        <f>SUM(B4:P4)</f>
        <v>96326.563513668982</v>
      </c>
    </row>
    <row r="5" spans="1:17">
      <c r="A5" s="478" t="s">
        <v>156</v>
      </c>
      <c r="B5" s="479">
        <f ca="1">tertiair!B16</f>
        <v>12832.54154</v>
      </c>
      <c r="C5" s="479">
        <f ca="1">tertiair!C16</f>
        <v>0</v>
      </c>
      <c r="D5" s="479">
        <f ca="1">tertiair!D16</f>
        <v>8745.2489960000003</v>
      </c>
      <c r="E5" s="479">
        <f>tertiair!E16</f>
        <v>136.7532915599345</v>
      </c>
      <c r="F5" s="479">
        <f ca="1">tertiair!F16</f>
        <v>1848.205820374619</v>
      </c>
      <c r="G5" s="479">
        <f>tertiair!G16</f>
        <v>0</v>
      </c>
      <c r="H5" s="479">
        <f>tertiair!H16</f>
        <v>0</v>
      </c>
      <c r="I5" s="479">
        <f>tertiair!I16</f>
        <v>0</v>
      </c>
      <c r="J5" s="479">
        <f>tertiair!J16</f>
        <v>0</v>
      </c>
      <c r="K5" s="479">
        <f>tertiair!K16</f>
        <v>0</v>
      </c>
      <c r="L5" s="479">
        <f ca="1">tertiair!L16</f>
        <v>0</v>
      </c>
      <c r="M5" s="479">
        <f>tertiair!M16</f>
        <v>0</v>
      </c>
      <c r="N5" s="479">
        <f ca="1">tertiair!N16</f>
        <v>964.87197937199312</v>
      </c>
      <c r="O5" s="479">
        <f>tertiair!O16</f>
        <v>1.5633333333333335</v>
      </c>
      <c r="P5" s="480">
        <f>tertiair!P16</f>
        <v>57.2</v>
      </c>
      <c r="Q5" s="478">
        <f t="shared" ref="Q5:Q13" ca="1" si="0">SUM(B5:P5)</f>
        <v>24586.38496063988</v>
      </c>
    </row>
    <row r="6" spans="1:17">
      <c r="A6" s="478" t="s">
        <v>194</v>
      </c>
      <c r="B6" s="479">
        <f>'openbare verlichting'!B8</f>
        <v>1264.963</v>
      </c>
      <c r="C6" s="479"/>
      <c r="D6" s="479"/>
      <c r="E6" s="479"/>
      <c r="F6" s="479"/>
      <c r="G6" s="479"/>
      <c r="H6" s="479"/>
      <c r="I6" s="479"/>
      <c r="J6" s="479"/>
      <c r="K6" s="479"/>
      <c r="L6" s="479"/>
      <c r="M6" s="479"/>
      <c r="N6" s="479"/>
      <c r="O6" s="479"/>
      <c r="P6" s="480"/>
      <c r="Q6" s="478">
        <f t="shared" si="0"/>
        <v>1264.963</v>
      </c>
    </row>
    <row r="7" spans="1:17">
      <c r="A7" s="478" t="s">
        <v>112</v>
      </c>
      <c r="B7" s="479">
        <f>landbouw!B8</f>
        <v>1070.94</v>
      </c>
      <c r="C7" s="479">
        <f>landbouw!C8</f>
        <v>0</v>
      </c>
      <c r="D7" s="479">
        <f>landbouw!D8</f>
        <v>64.070864</v>
      </c>
      <c r="E7" s="479">
        <f>landbouw!E8</f>
        <v>9.919494830903659</v>
      </c>
      <c r="F7" s="479">
        <f>landbouw!F8</f>
        <v>2717.1787938606367</v>
      </c>
      <c r="G7" s="479">
        <f>landbouw!G8</f>
        <v>0</v>
      </c>
      <c r="H7" s="479">
        <f>landbouw!H8</f>
        <v>0</v>
      </c>
      <c r="I7" s="479">
        <f>landbouw!I8</f>
        <v>0</v>
      </c>
      <c r="J7" s="479">
        <f>landbouw!J8</f>
        <v>164.1870537252822</v>
      </c>
      <c r="K7" s="479">
        <f>landbouw!K8</f>
        <v>0</v>
      </c>
      <c r="L7" s="479">
        <f>landbouw!L8</f>
        <v>0</v>
      </c>
      <c r="M7" s="479">
        <f>landbouw!M8</f>
        <v>0</v>
      </c>
      <c r="N7" s="479">
        <f>landbouw!N8</f>
        <v>0</v>
      </c>
      <c r="O7" s="479">
        <f>landbouw!O8</f>
        <v>0</v>
      </c>
      <c r="P7" s="480">
        <f>landbouw!P8</f>
        <v>0</v>
      </c>
      <c r="Q7" s="478">
        <f t="shared" si="0"/>
        <v>4026.2962064168228</v>
      </c>
    </row>
    <row r="8" spans="1:17">
      <c r="A8" s="478" t="s">
        <v>650</v>
      </c>
      <c r="B8" s="479">
        <f>industrie!B18</f>
        <v>5344.3968176500002</v>
      </c>
      <c r="C8" s="479">
        <f>industrie!C18</f>
        <v>0</v>
      </c>
      <c r="D8" s="479">
        <f>industrie!D18</f>
        <v>1162.7799259999999</v>
      </c>
      <c r="E8" s="479">
        <f>industrie!E18</f>
        <v>232.75592535737957</v>
      </c>
      <c r="F8" s="479">
        <f>industrie!F18</f>
        <v>1480.5774731049512</v>
      </c>
      <c r="G8" s="479">
        <f>industrie!G18</f>
        <v>0</v>
      </c>
      <c r="H8" s="479">
        <f>industrie!H18</f>
        <v>0</v>
      </c>
      <c r="I8" s="479">
        <f>industrie!I18</f>
        <v>0</v>
      </c>
      <c r="J8" s="479">
        <f>industrie!J18</f>
        <v>11.10011534294787</v>
      </c>
      <c r="K8" s="479">
        <f>industrie!K18</f>
        <v>0</v>
      </c>
      <c r="L8" s="479">
        <f>industrie!L18</f>
        <v>0</v>
      </c>
      <c r="M8" s="479">
        <f>industrie!M18</f>
        <v>0</v>
      </c>
      <c r="N8" s="479">
        <f>industrie!N18</f>
        <v>1473.7104381421427</v>
      </c>
      <c r="O8" s="479">
        <f>industrie!O18</f>
        <v>0</v>
      </c>
      <c r="P8" s="480">
        <f>industrie!P18</f>
        <v>0</v>
      </c>
      <c r="Q8" s="478">
        <f t="shared" si="0"/>
        <v>9705.3206955974219</v>
      </c>
    </row>
    <row r="9" spans="1:17" s="484" customFormat="1">
      <c r="A9" s="482" t="s">
        <v>571</v>
      </c>
      <c r="B9" s="483">
        <f>transport!B14</f>
        <v>10.07686219434194</v>
      </c>
      <c r="C9" s="483"/>
      <c r="D9" s="483">
        <f>transport!D14</f>
        <v>28.446941367441163</v>
      </c>
      <c r="E9" s="483">
        <f>transport!E14</f>
        <v>179.29398058067736</v>
      </c>
      <c r="F9" s="483"/>
      <c r="G9" s="483">
        <f>transport!G14</f>
        <v>53055.177553884641</v>
      </c>
      <c r="H9" s="483">
        <f>transport!H14</f>
        <v>10703.343460272918</v>
      </c>
      <c r="I9" s="483"/>
      <c r="J9" s="483"/>
      <c r="K9" s="483"/>
      <c r="L9" s="483"/>
      <c r="M9" s="483">
        <f>transport!M14</f>
        <v>3398.4902873072283</v>
      </c>
      <c r="N9" s="483"/>
      <c r="O9" s="483"/>
      <c r="P9" s="483"/>
      <c r="Q9" s="482">
        <f>SUM(B9:P9)</f>
        <v>67374.829085607256</v>
      </c>
    </row>
    <row r="10" spans="1:17">
      <c r="A10" s="478" t="s">
        <v>561</v>
      </c>
      <c r="B10" s="479">
        <f>transport!B54</f>
        <v>0</v>
      </c>
      <c r="C10" s="479"/>
      <c r="D10" s="479">
        <f>transport!D54</f>
        <v>0</v>
      </c>
      <c r="E10" s="479"/>
      <c r="F10" s="479"/>
      <c r="G10" s="479">
        <f>transport!G54</f>
        <v>2728.378450923371</v>
      </c>
      <c r="H10" s="479"/>
      <c r="I10" s="479"/>
      <c r="J10" s="479"/>
      <c r="K10" s="479"/>
      <c r="L10" s="479"/>
      <c r="M10" s="479">
        <f>transport!M54</f>
        <v>155.59146940332113</v>
      </c>
      <c r="N10" s="479"/>
      <c r="O10" s="479"/>
      <c r="P10" s="480"/>
      <c r="Q10" s="478">
        <f t="shared" si="0"/>
        <v>2883.9699203266923</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42006.184308223099</v>
      </c>
      <c r="C14" s="489">
        <f t="shared" ref="C14:Q14" ca="1" si="1">SUM(C4:C13)</f>
        <v>0</v>
      </c>
      <c r="D14" s="489">
        <f t="shared" ca="1" si="1"/>
        <v>44539.325485367444</v>
      </c>
      <c r="E14" s="489">
        <f t="shared" si="1"/>
        <v>3931.0902270915562</v>
      </c>
      <c r="F14" s="489">
        <f t="shared" ca="1" si="1"/>
        <v>37769.227531368073</v>
      </c>
      <c r="G14" s="489">
        <f t="shared" si="1"/>
        <v>55783.556004808015</v>
      </c>
      <c r="H14" s="489">
        <f t="shared" si="1"/>
        <v>10703.343460272918</v>
      </c>
      <c r="I14" s="489">
        <f t="shared" si="1"/>
        <v>0</v>
      </c>
      <c r="J14" s="489">
        <f t="shared" si="1"/>
        <v>175.28716906823007</v>
      </c>
      <c r="K14" s="489">
        <f t="shared" si="1"/>
        <v>0</v>
      </c>
      <c r="L14" s="489">
        <f t="shared" ca="1" si="1"/>
        <v>0</v>
      </c>
      <c r="M14" s="489">
        <f t="shared" si="1"/>
        <v>3554.0817567105496</v>
      </c>
      <c r="N14" s="489">
        <f t="shared" ca="1" si="1"/>
        <v>6742.5381060138188</v>
      </c>
      <c r="O14" s="489">
        <f t="shared" si="1"/>
        <v>143.82666666666665</v>
      </c>
      <c r="P14" s="490">
        <f t="shared" si="1"/>
        <v>819.86666666666679</v>
      </c>
      <c r="Q14" s="490">
        <f t="shared" ca="1" si="1"/>
        <v>206168.32738225706</v>
      </c>
    </row>
    <row r="16" spans="1:17">
      <c r="A16" s="492" t="s">
        <v>566</v>
      </c>
      <c r="B16" s="842">
        <f ca="1">huishoudens!B10</f>
        <v>0.19893949346790363</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4273.8700736582605</v>
      </c>
      <c r="C21" s="479">
        <f t="shared" ref="C21:C28" ca="1" si="3">C4*$C$16</f>
        <v>0</v>
      </c>
      <c r="D21" s="479">
        <f t="shared" ref="D21:D30" si="4">D4*$D$16</f>
        <v>6976.8333091160002</v>
      </c>
      <c r="E21" s="479">
        <f t="shared" ref="E21:E30" si="5">E4*$E$16</f>
        <v>765.52743039112408</v>
      </c>
      <c r="F21" s="479">
        <f t="shared" ref="F21:F28" si="6">F4*$F$16</f>
        <v>8470.111873555441</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20486.342686720825</v>
      </c>
    </row>
    <row r="22" spans="1:17">
      <c r="A22" s="478" t="s">
        <v>156</v>
      </c>
      <c r="B22" s="479">
        <f t="shared" ca="1" si="2"/>
        <v>2552.8993138734318</v>
      </c>
      <c r="C22" s="479">
        <f t="shared" ca="1" si="3"/>
        <v>0</v>
      </c>
      <c r="D22" s="479">
        <f t="shared" ca="1" si="4"/>
        <v>1766.5402971920003</v>
      </c>
      <c r="E22" s="479">
        <f t="shared" si="5"/>
        <v>31.042997184105133</v>
      </c>
      <c r="F22" s="479">
        <f t="shared" ca="1" si="6"/>
        <v>493.47095404002329</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4843.953562289561</v>
      </c>
    </row>
    <row r="23" spans="1:17">
      <c r="A23" s="478" t="s">
        <v>194</v>
      </c>
      <c r="B23" s="479">
        <f t="shared" ca="1" si="2"/>
        <v>251.65109847563977</v>
      </c>
      <c r="C23" s="479"/>
      <c r="D23" s="479"/>
      <c r="E23" s="479"/>
      <c r="F23" s="479"/>
      <c r="G23" s="479"/>
      <c r="H23" s="479"/>
      <c r="I23" s="479"/>
      <c r="J23" s="479"/>
      <c r="K23" s="479"/>
      <c r="L23" s="479"/>
      <c r="M23" s="479"/>
      <c r="N23" s="479"/>
      <c r="O23" s="479"/>
      <c r="P23" s="480"/>
      <c r="Q23" s="478">
        <f t="shared" ca="1" si="17"/>
        <v>251.65109847563977</v>
      </c>
    </row>
    <row r="24" spans="1:17">
      <c r="A24" s="478" t="s">
        <v>112</v>
      </c>
      <c r="B24" s="479">
        <f t="shared" ca="1" si="2"/>
        <v>213.05226113451673</v>
      </c>
      <c r="C24" s="479">
        <f t="shared" ca="1" si="3"/>
        <v>0</v>
      </c>
      <c r="D24" s="479">
        <f t="shared" si="4"/>
        <v>12.942314528000001</v>
      </c>
      <c r="E24" s="479">
        <f t="shared" si="5"/>
        <v>2.2517253266151305</v>
      </c>
      <c r="F24" s="479">
        <f t="shared" si="6"/>
        <v>725.48673796079004</v>
      </c>
      <c r="G24" s="479">
        <f t="shared" si="7"/>
        <v>0</v>
      </c>
      <c r="H24" s="479">
        <f t="shared" si="8"/>
        <v>0</v>
      </c>
      <c r="I24" s="479">
        <f t="shared" si="9"/>
        <v>0</v>
      </c>
      <c r="J24" s="479">
        <f t="shared" si="10"/>
        <v>58.122217018749893</v>
      </c>
      <c r="K24" s="479">
        <f t="shared" si="11"/>
        <v>0</v>
      </c>
      <c r="L24" s="479">
        <f t="shared" si="12"/>
        <v>0</v>
      </c>
      <c r="M24" s="479">
        <f t="shared" si="13"/>
        <v>0</v>
      </c>
      <c r="N24" s="479">
        <f t="shared" si="14"/>
        <v>0</v>
      </c>
      <c r="O24" s="479">
        <f t="shared" si="15"/>
        <v>0</v>
      </c>
      <c r="P24" s="480">
        <f t="shared" si="16"/>
        <v>0</v>
      </c>
      <c r="Q24" s="478">
        <f t="shared" ca="1" si="17"/>
        <v>1011.8552559686718</v>
      </c>
    </row>
    <row r="25" spans="1:17">
      <c r="A25" s="478" t="s">
        <v>650</v>
      </c>
      <c r="B25" s="479">
        <f t="shared" ca="1" si="2"/>
        <v>1063.2115957947672</v>
      </c>
      <c r="C25" s="479">
        <f t="shared" ca="1" si="3"/>
        <v>0</v>
      </c>
      <c r="D25" s="479">
        <f t="shared" si="4"/>
        <v>234.88154505200001</v>
      </c>
      <c r="E25" s="479">
        <f t="shared" si="5"/>
        <v>52.835595056125165</v>
      </c>
      <c r="F25" s="479">
        <f t="shared" si="6"/>
        <v>395.31418531902199</v>
      </c>
      <c r="G25" s="479">
        <f t="shared" si="7"/>
        <v>0</v>
      </c>
      <c r="H25" s="479">
        <f t="shared" si="8"/>
        <v>0</v>
      </c>
      <c r="I25" s="479">
        <f t="shared" si="9"/>
        <v>0</v>
      </c>
      <c r="J25" s="479">
        <f t="shared" si="10"/>
        <v>3.9294408314035456</v>
      </c>
      <c r="K25" s="479">
        <f t="shared" si="11"/>
        <v>0</v>
      </c>
      <c r="L25" s="479">
        <f t="shared" si="12"/>
        <v>0</v>
      </c>
      <c r="M25" s="479">
        <f t="shared" si="13"/>
        <v>0</v>
      </c>
      <c r="N25" s="479">
        <f t="shared" si="14"/>
        <v>0</v>
      </c>
      <c r="O25" s="479">
        <f t="shared" si="15"/>
        <v>0</v>
      </c>
      <c r="P25" s="480">
        <f t="shared" si="16"/>
        <v>0</v>
      </c>
      <c r="Q25" s="478">
        <f t="shared" ca="1" si="17"/>
        <v>1750.172362053318</v>
      </c>
    </row>
    <row r="26" spans="1:17" s="484" customFormat="1">
      <c r="A26" s="482" t="s">
        <v>571</v>
      </c>
      <c r="B26" s="836">
        <f t="shared" ca="1" si="2"/>
        <v>2.0046858606882534</v>
      </c>
      <c r="C26" s="483"/>
      <c r="D26" s="483">
        <f t="shared" si="4"/>
        <v>5.7462821562231152</v>
      </c>
      <c r="E26" s="483">
        <f t="shared" si="5"/>
        <v>40.699733591813761</v>
      </c>
      <c r="F26" s="483"/>
      <c r="G26" s="483">
        <f t="shared" si="7"/>
        <v>14165.7324068872</v>
      </c>
      <c r="H26" s="483">
        <f t="shared" si="8"/>
        <v>2665.1325216079563</v>
      </c>
      <c r="I26" s="483"/>
      <c r="J26" s="483"/>
      <c r="K26" s="483"/>
      <c r="L26" s="483"/>
      <c r="M26" s="483">
        <f t="shared" si="13"/>
        <v>0</v>
      </c>
      <c r="N26" s="483"/>
      <c r="O26" s="483"/>
      <c r="P26" s="494"/>
      <c r="Q26" s="482">
        <f t="shared" ca="1" si="17"/>
        <v>16879.31563010388</v>
      </c>
    </row>
    <row r="27" spans="1:17">
      <c r="A27" s="478" t="s">
        <v>561</v>
      </c>
      <c r="B27" s="479">
        <f t="shared" ca="1" si="2"/>
        <v>0</v>
      </c>
      <c r="C27" s="479"/>
      <c r="D27" s="483">
        <f t="shared" si="4"/>
        <v>0</v>
      </c>
      <c r="E27" s="479"/>
      <c r="F27" s="479"/>
      <c r="G27" s="479">
        <f t="shared" si="7"/>
        <v>728.47704639654012</v>
      </c>
      <c r="H27" s="479"/>
      <c r="I27" s="479"/>
      <c r="J27" s="479"/>
      <c r="K27" s="479"/>
      <c r="L27" s="479"/>
      <c r="M27" s="479">
        <f t="shared" si="13"/>
        <v>0</v>
      </c>
      <c r="N27" s="479"/>
      <c r="O27" s="479"/>
      <c r="P27" s="480"/>
      <c r="Q27" s="478">
        <f t="shared" ca="1" si="17"/>
        <v>728.47704639654012</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8356.6890287973038</v>
      </c>
      <c r="C31" s="489">
        <f t="shared" ca="1" si="18"/>
        <v>0</v>
      </c>
      <c r="D31" s="489">
        <f t="shared" ca="1" si="18"/>
        <v>8996.943748044223</v>
      </c>
      <c r="E31" s="489">
        <f t="shared" si="18"/>
        <v>892.3574815497833</v>
      </c>
      <c r="F31" s="489">
        <f t="shared" ca="1" si="18"/>
        <v>10084.383750875277</v>
      </c>
      <c r="G31" s="489">
        <f t="shared" si="18"/>
        <v>14894.20945328374</v>
      </c>
      <c r="H31" s="489">
        <f t="shared" si="18"/>
        <v>2665.1325216079563</v>
      </c>
      <c r="I31" s="489">
        <f t="shared" si="18"/>
        <v>0</v>
      </c>
      <c r="J31" s="489">
        <f t="shared" si="18"/>
        <v>62.05165785015344</v>
      </c>
      <c r="K31" s="489">
        <f t="shared" si="18"/>
        <v>0</v>
      </c>
      <c r="L31" s="489">
        <f t="shared" ca="1" si="18"/>
        <v>0</v>
      </c>
      <c r="M31" s="489">
        <f t="shared" si="18"/>
        <v>0</v>
      </c>
      <c r="N31" s="489">
        <f t="shared" ca="1" si="18"/>
        <v>0</v>
      </c>
      <c r="O31" s="489">
        <f t="shared" si="18"/>
        <v>0</v>
      </c>
      <c r="P31" s="490">
        <f t="shared" si="18"/>
        <v>0</v>
      </c>
      <c r="Q31" s="490">
        <f t="shared" ca="1" si="18"/>
        <v>45951.767642008432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0.19893949346790363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0.19893949346790363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0.19893949346790363</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2019-01-01T21:31:03Z</dcterms:modified>
</cp:coreProperties>
</file>