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J67" i="14"/>
  <c r="D31" i="48"/>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N55" i="14" l="1"/>
  <c r="K13"/>
  <c r="R13" s="1"/>
  <c r="R15" s="1"/>
  <c r="F22" i="16"/>
  <c r="G39" i="14" s="1"/>
  <c r="G41" s="1"/>
  <c r="G53" s="1"/>
  <c r="G55" s="1"/>
  <c r="O69" s="1"/>
  <c r="B9" i="6" s="1"/>
  <c r="B12" s="1"/>
  <c r="N25" i="48"/>
  <c r="N31" s="1"/>
  <c r="N14"/>
  <c r="K41" i="14"/>
  <c r="K53" s="1"/>
  <c r="E14" i="48"/>
  <c r="K15" i="14"/>
  <c r="K23" s="1"/>
  <c r="H55"/>
  <c r="E55"/>
  <c r="C78"/>
  <c r="C81" s="1"/>
  <c r="J14" i="48"/>
  <c r="J31"/>
  <c r="Q8"/>
  <c r="Q14" s="1"/>
  <c r="R19" i="14"/>
  <c r="R20" s="1"/>
  <c r="H14" i="48"/>
  <c r="G31"/>
  <c r="H26"/>
  <c r="H31" s="1"/>
  <c r="F55" i="14"/>
  <c r="O53"/>
  <c r="M53"/>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<sst xmlns="http://schemas.openxmlformats.org/spreadsheetml/2006/main" count="2146" uniqueCount="877">
  <si>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</si>
  <si>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</si>
  <si>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</si>
  <si>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</si>
  <si>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</si>
  <si>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</si>
  <si>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</si>
  <si>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</si>
  <si>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</si>
  <si>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</si>
  <si>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</si>
  <si>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</si>
  <si>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</si>
  <si>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</si>
  <si>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</si>
  <si>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</si>
  <si>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</si>
  <si>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</si>
  <si>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</si>
  <si>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</si>
  <si>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</si>
  <si>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</si>
  <si>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</si>
  <si>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</si>
  <si>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</si>
  <si>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</si>
  <si>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</si>
  <si>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</si>
  <si>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</si>
  <si>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</si>
  <si>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</si>
  <si>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</si>
  <si>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</si>
  <si>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</si>
  <si>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</si>
  <si>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</si>
  <si>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</si>
  <si>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</si>
  <si>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</si>
  <si>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</si>
  <si>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</si>
  <si>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</si>
  <si>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</si>
  <si>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</si>
  <si>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</si>
  <si>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</si>
  <si>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</si>
  <si>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</si>
  <si>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</si>
  <si>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</si>
  <si>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</si>
  <si>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</si>
  <si>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</si>
  <si>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</si>
  <si>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</si>
  <si>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</si>
  <si>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</si>
  <si>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</si>
  <si>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</si>
  <si>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</si>
  <si>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</si>
  <si>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</si>
  <si>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</si>
  <si>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</si>
  <si>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</si>
  <si>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</si>
  <si>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</si>
  <si>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</si>
  <si>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</si>
  <si>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</si>
  <si>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</si>
  <si>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</si>
  <si>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</si>
  <si>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</si>
  <si>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</si>
  <si>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</si>
  <si>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</si>
  <si>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</si>
  <si>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</si>
  <si>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</si>
  <si>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</si>
  <si>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</si>
  <si>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</si>
  <si>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</si>
  <si>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</si>
  <si>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</si>
  <si>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</si>
  <si>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</si>
  <si>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</si>
  <si>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</si>
  <si>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</si>
  <si>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</si>
  <si>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</si>
  <si>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</si>
  <si>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</si>
  <si>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</si>
  <si>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</si>
  <si>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</si>
  <si>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</si>
  <si>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</si>
  <si>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</si>
  <si>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</si>
  <si>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</si>
  <si>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</si>
  <si>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</si>
  <si>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</si>
  <si>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</si>
  <si>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</si>
  <si>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</si>
  <si>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</si>
  <si>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</si>
  <si>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</si>
  <si>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</si>
  <si>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</si>
  <si>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</si>
  <si>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</si>
  <si>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</si>
  <si>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</si>
  <si>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</si>
  <si>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</si>
  <si>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</si>
  <si>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</si>
  <si>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</si>
  <si>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</si>
  <si>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</si>
  <si>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</si>
  <si>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</si>
  <si>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</si>
  <si>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</si>
  <si>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</si>
  <si>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</si>
  <si>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</si>
  <si>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</si>
  <si>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</si>
  <si>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</si>
  <si>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</si>
  <si>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</si>
  <si>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</si>
  <si>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</si>
  <si>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</si>
  <si>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</si>
  <si>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</si>
  <si>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</si>
  <si>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</si>
  <si>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</si>
  <si>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</si>
  <si>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</si>
  <si>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</si>
  <si>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</si>
  <si>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</si>
  <si>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</si>
  <si>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</si>
  <si>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</si>
  <si>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</si>
  <si>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</si>
  <si>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</si>
  <si>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</si>
  <si>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</si>
  <si>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</si>
  <si>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</si>
  <si>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</si>
  <si>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</si>
  <si>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</si>
  <si>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</si>
  <si>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</si>
  <si>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</si>
  <si>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</si>
  <si>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</si>
  <si>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</si>
  <si>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</si>
  <si>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</si>
  <si>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</si>
  <si>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</si>
  <si>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</si>
  <si>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</si>
  <si>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</si>
  <si>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</si>
  <si>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</si>
  <si>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</si>
  <si>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</si>
  <si>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</si>
  <si>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</si>
  <si>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</si>
  <si>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</si>
  <si>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</si>
  <si>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</si>
  <si>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</si>
  <si>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</si>
  <si>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</si>
  <si>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</si>
  <si>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</si>
  <si>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</si>
  <si>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</si>
  <si>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</si>
  <si>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</si>
  <si>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</si>
  <si>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</si>
  <si>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</si>
  <si>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</si>
  <si>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</si>
  <si>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</si>
  <si>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</si>
  <si>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</si>
  <si>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</si>
  <si>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</si>
  <si>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</si>
  <si>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</si>
  <si>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</si>
  <si>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</si>
  <si>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</si>
  <si>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</si>
  <si>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</si>
  <si>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</si>
  <si>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</si>
  <si>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</si>
  <si>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</si>
  <si>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</si>
  <si>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</si>
  <si>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</si>
  <si>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</si>
  <si>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</si>
  <si>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</si>
  <si>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</si>
  <si>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</si>
  <si>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</si>
  <si>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</si>
  <si>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</si>
  <si>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</si>
  <si>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</si>
  <si>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</si>
  <si>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</si>
  <si>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</si>
  <si>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</si>
  <si>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</si>
  <si>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</si>
  <si>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</si>
  <si>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</si>
  <si>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</si>
  <si>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</si>
  <si>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</si>
  <si>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</si>
  <si>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</si>
  <si>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</si>
  <si>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</si>
  <si>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</si>
  <si>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</si>
  <si>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</si>
  <si>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</si>
  <si>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</si>
  <si>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</si>
  <si>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</si>
  <si>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</si>
  <si>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</si>
  <si>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</si>
  <si>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</si>
  <si>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</si>
  <si>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</si>
  <si>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</si>
  <si>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</si>
  <si>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</si>
  <si>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</si>
  <si>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</si>
  <si>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</si>
  <si>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</si>
  <si>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</si>
  <si>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</si>
  <si>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</si>
  <si>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</si>
  <si>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</si>
  <si>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</si>
  <si>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</si>
  <si>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</si>
  <si>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</si>
  <si>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</si>
  <si>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</si>
  <si>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</si>
  <si>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</si>
  <si>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</si>
  <si>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</si>
  <si>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</si>
  <si>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</si>
  <si>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</si>
  <si>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</si>
  <si>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</si>
  <si>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</si>
  <si>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</si>
  <si>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</si>
  <si>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</si>
  <si>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</si>
  <si>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</si>
  <si>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</si>
  <si>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</si>
  <si>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</si>
  <si>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</si>
  <si>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</si>
  <si>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</si>
  <si>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</si>
  <si>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</si>
  <si>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</si>
  <si>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</si>
  <si>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</si>
  <si>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</si>
  <si>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</si>
  <si>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</si>
  <si>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</si>
  <si>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</si>
  <si>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</si>
  <si>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</si>
  <si>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</si>
  <si>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</si>
  <si>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</si>
  <si>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</si>
  <si>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</si>
  <si>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</si>
  <si>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</si>
  <si>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</si>
  <si>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</si>
  <si>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</si>
  <si>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</si>
  <si>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</si>
  <si>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</si>
  <si>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</si>
  <si>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</si>
  <si>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</si>
  <si>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</si>
  <si>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</si>
  <si>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</si>
  <si>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</si>
  <si>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</si>
  <si>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</si>
  <si>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</si>
  <si>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</si>
  <si>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</si>
  <si>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</si>
  <si>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</si>
  <si>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</si>
  <si>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</si>
  <si>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</si>
  <si>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</si>
  <si>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</si>
  <si>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</si>
  <si>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</si>
  <si>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</si>
  <si>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</si>
  <si>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</si>
  <si>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</si>
  <si>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</si>
  <si>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</si>
  <si>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</si>
  <si>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</si>
  <si>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</si>
  <si>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</si>
  <si>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</si>
  <si>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</si>
  <si>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</si>
  <si>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</si>
  <si>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</si>
  <si>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</si>
  <si>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</si>
  <si>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</si>
  <si>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</si>
  <si>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</si>
  <si>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</si>
  <si>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</si>
  <si>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</si>
  <si>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</si>
  <si>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</si>
  <si>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</si>
  <si>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</si>
  <si>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</si>
  <si>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</si>
  <si>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</si>
  <si>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</si>
  <si>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</si>
  <si>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</si>
  <si>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</si>
  <si>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</si>
  <si>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</si>
  <si>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</si>
  <si>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</si>
  <si>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</si>
  <si>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</si>
  <si>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</si>
  <si>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</si>
  <si>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</si>
  <si>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</si>
  <si>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</si>
  <si>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</si>
  <si>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</si>
  <si>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</si>
  <si>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</si>
  <si>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</si>
  <si>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</si>
  <si>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</si>
  <si>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</si>
  <si>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</si>
  <si>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</si>
  <si>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</si>
  <si>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</si>
  <si>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</si>
  <si>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</si>
  <si>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</si>
  <si>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</si>
  <si>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</si>
  <si>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</si>
  <si>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</si>
  <si>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</si>
  <si>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</si>
  <si>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</si>
  <si>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</si>
  <si>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</si>
  <si>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</si>
  <si>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</si>
  <si>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</si>
  <si>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</si>
  <si>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</si>
  <si>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</si>
  <si>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</si>
  <si>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</si>
  <si>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</si>
  <si>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</si>
  <si>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</si>
  <si>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</si>
  <si>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</si>
  <si>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</si>
  <si>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</si>
  <si>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</si>
  <si>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</si>
  <si>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</si>
  <si>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</si>
  <si>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</si>
  <si>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</si>
  <si>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</si>
  <si>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</si>
  <si>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</si>
  <si>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</si>
  <si>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</si>
  <si>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</si>
  <si>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</si>
  <si>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</si>
  <si>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</si>
  <si>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</si>
  <si>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</si>
  <si>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</si>
  <si>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</si>
  <si>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</si>
  <si>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</si>
  <si>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</si>
  <si>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</si>
  <si>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</si>
  <si>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</si>
  <si>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</si>
  <si>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</si>
  <si>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</si>
  <si>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</si>
  <si>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</si>
  <si>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</si>
  <si>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</si>
  <si>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</si>
  <si>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</si>
  <si>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</si>
  <si>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</si>
  <si>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</si>
  <si>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</si>
  <si>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</si>
  <si>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</si>
  <si>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</si>
  <si>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</si>
  <si>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</si>
  <si>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</si>
  <si>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</si>
  <si>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</si>
  <si>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</si>
  <si>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</si>
  <si>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</si>
  <si>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</si>
  <si>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</si>
  <si>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</si>
  <si>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</si>
  <si>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</si>
  <si>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</si>
  <si>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</si>
  <si>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</si>
  <si>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</si>
  <si>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</si>
  <si>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</si>
  <si>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</si>
  <si>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</si>
  <si>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</si>
  <si>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</si>
  <si>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</si>
  <si>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</si>
  <si>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</si>
  <si>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</si>
  <si>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</si>
  <si>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</si>
  <si>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</si>
  <si>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</si>
  <si>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</si>
  <si>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</si>
  <si>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</si>
  <si>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</si>
  <si>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</si>
  <si>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</si>
  <si>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</si>
  <si>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</si>
  <si>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</si>
  <si>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</si>
  <si>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</si>
  <si>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</si>
  <si>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</si>
  <si>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</si>
  <si>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</si>
  <si>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</si>
  <si>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</si>
  <si>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</si>
  <si>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</si>
  <si>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</si>
  <si>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</si>
  <si>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</si>
  <si>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</si>
  <si>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</si>
  <si>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</si>
  <si>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</si>
  <si>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</si>
  <si>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</si>
  <si>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</si>
  <si>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</si>
  <si>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</si>
  <si>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</si>
  <si>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</si>
  <si>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</si>
  <si>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</si>
  <si>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</si>
  <si>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</si>
  <si>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</si>
  <si>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</si>
  <si>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</si>
  <si>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</si>
  <si>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</si>
  <si>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</si>
  <si>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</si>
  <si>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</si>
  <si>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</si>
  <si>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</si>
  <si>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</si>
  <si>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</si>
  <si>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</si>
  <si>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</si>
  <si>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</si>
  <si>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</si>
  <si>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</si>
  <si>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</si>
  <si>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</si>
  <si>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</si>
  <si>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</si>
  <si>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</si>
  <si>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</si>
  <si>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</si>
  <si>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</si>
  <si>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</si>
  <si>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</si>
  <si>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</si>
  <si>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</si>
  <si>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</si>
  <si>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</si>
  <si>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</si>
  <si>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</si>
  <si>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</si>
  <si>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</si>
  <si>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</si>
  <si>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</si>
  <si>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</si>
  <si>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</si>
  <si>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</si>
  <si>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</si>
  <si>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</si>
  <si>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</si>
  <si>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</si>
  <si>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</si>
  <si>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</si>
  <si>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</si>
  <si>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</si>
  <si>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</si>
  <si>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</si>
  <si>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</si>
  <si>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</si>
  <si>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</si>
  <si>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</si>
  <si>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</si>
  <si>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</si>
  <si>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</si>
  <si>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</si>
  <si>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</si>
  <si>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</si>
  <si>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</si>
  <si>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</si>
  <si>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</si>
  <si>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</si>
  <si>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</si>
  <si>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</si>
  <si>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</si>
  <si>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</si>
  <si>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</si>
  <si>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</si>
  <si>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</si>
  <si>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</si>
  <si>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</si>
  <si>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</si>
  <si>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</si>
  <si>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</si>
  <si>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</si>
  <si>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</si>
  <si>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</si>
  <si>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</si>
  <si>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</si>
  <si>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</si>
  <si>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</si>
  <si>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</si>
  <si>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</si>
  <si>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</si>
  <si>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</si>
  <si>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</si>
  <si>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</si>
  <si>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</si>
  <si>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</si>
  <si>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</si>
  <si>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</si>
  <si>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</si>
  <si>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</si>
  <si>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</si>
  <si>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</si>
  <si>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</si>
  <si>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</si>
  <si>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</si>
  <si>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</si>
  <si>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</si>
  <si>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</si>
  <si>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</si>
  <si>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</si>
  <si>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</si>
  <si>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</si>
  <si>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</si>
  <si>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</si>
  <si>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</si>
  <si>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</si>
  <si>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</si>
  <si>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</si>
  <si>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</si>
  <si>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</si>
  <si>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</si>
  <si>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</si>
  <si>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</si>
  <si>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</si>
  <si>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</si>
  <si>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</si>
  <si>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</si>
  <si>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</si>
  <si>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</si>
  <si>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</si>
  <si>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</si>
  <si>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</si>
  <si>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</si>
  <si>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</si>
  <si>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</si>
  <si>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</si>
  <si>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</si>
  <si>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</si>
  <si>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</si>
  <si>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</si>
  <si>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</si>
  <si>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</si>
  <si>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</si>
  <si>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</si>
  <si>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</si>
  <si>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</si>
  <si>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</si>
  <si>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</si>
  <si>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</si>
  <si>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</si>
  <si>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</si>
  <si>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</si>
  <si>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</si>
  <si>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</si>
  <si>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</si>
  <si>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</si>
  <si>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</si>
  <si>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</si>
  <si>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</si>
  <si>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</si>
  <si>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</si>
  <si>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</si>
  <si>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</si>
  <si>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</si>
  <si>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</si>
  <si>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</si>
  <si>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</si>
  <si>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</si>
  <si>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</si>
  <si>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</si>
  <si>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</si>
  <si>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</si>
  <si>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</si>
  <si>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</si>
  <si>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</si>
  <si>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</si>
  <si>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</si>
  <si>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</si>
  <si>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</si>
  <si>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</si>
  <si>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</si>
  <si>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</si>
  <si>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</si>
  <si>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</si>
  <si>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</si>
  <si>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</si>
  <si>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</si>
  <si>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</si>
  <si>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</si>
  <si>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</si>
  <si>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</si>
  <si>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</si>
  <si>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</si>
  <si>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</si>
  <si>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</si>
  <si>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</si>
  <si>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</si>
  <si>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</si>
  <si>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</si>
  <si>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</si>
  <si>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</si>
  <si>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</si>
  <si>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</si>
  <si>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</si>
  <si>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</si>
  <si>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</si>
  <si>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</si>
  <si>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</si>
  <si>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</si>
  <si>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</si>
  <si>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</si>
  <si>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</si>
  <si>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</si>
  <si>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</si>
  <si>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</si>
  <si>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</si>
  <si>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</si>
  <si>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</si>
  <si>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</si>
  <si>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</si>
  <si>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</si>
  <si>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</si>
  <si>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</si>
  <si>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</si>
  <si>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</si>
  <si>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</si>
  <si>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</si>
  <si>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</si>
  <si>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</si>
  <si>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</si>
  <si>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</si>
  <si>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</si>
  <si>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</si>
  <si>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</si>
  <si>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</si>
  <si>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</si>
  <si>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</si>
  <si>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</si>
  <si>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</si>
  <si>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</si>
  <si>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</si>
  <si>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</si>
  <si>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</si>
  <si>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</si>
  <si>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</si>
  <si>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</si>
  <si>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</si>
  <si>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</si>
  <si>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</si>
  <si>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</si>
  <si>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</si>
  <si>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</si>
  <si>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</si>
  <si>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</si>
  <si>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</si>
  <si>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</si>
  <si>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</si>
  <si>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</si>
  <si>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</si>
  <si>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</si>
  <si>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</si>
  <si>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</si>
  <si>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</si>
  <si>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</si>
  <si>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</si>
  <si>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</si>
  <si>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</si>
  <si>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</si>
  <si>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</si>
  <si>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</si>
  <si>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</si>
  <si>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</si>
  <si>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</si>
  <si>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</si>
  <si>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</si>
  <si>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</si>
  <si>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</si>
  <si>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</si>
  <si>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</si>
  <si>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</si>
  <si>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</si>
  <si>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</si>
  <si>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</si>
  <si>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</si>
  <si>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</si>
  <si>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</si>
  <si>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</si>
  <si>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</si>
  <si>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</si>
  <si>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</si>
  <si>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</si>
  <si>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</si>
  <si>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</si>
  <si>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</si>
  <si>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</si>
  <si>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</si>
  <si>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</si>
  <si>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</si>
  <si>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</si>
  <si>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</si>
  <si>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</si>
  <si>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</si>
  <si>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</si>
  <si>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</si>
  <si>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</si>
  <si>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</si>
  <si>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</si>
  <si>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</si>
  <si>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</si>
  <si>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</si>
  <si>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</si>
  <si>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</si>
  <si>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</si>
  <si>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</si>
  <si>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</si>
  <si>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</si>
  <si>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</si>
  <si>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</si>
  <si>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</si>
  <si>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</si>
  <si>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</si>
  <si>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</si>
  <si>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</si>
  <si>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</si>
  <si>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</si>
  <si>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</si>
  <si>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</si>
  <si>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</si>
  <si>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</si>
  <si>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</si>
  <si>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</si>
  <si>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</si>
  <si>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</si>
  <si>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23002</t>
  </si>
  <si>
    <t>ASSE</t>
  </si>
  <si>
    <t>Paarden&amp;pony's 200 - 600 kg</t>
  </si>
  <si>
    <t>Paarden&amp;pony's &lt; 200 kg</t>
  </si>
  <si>
    <t>referentietaak LNE (2017); Jaarverslag De Lijn (2014)</t>
  </si>
  <si>
    <t>op basis van VEA (maart 2018) en Inventaris Hernieuwbare Energiebronnen (juni 2018)</t>
  </si>
  <si>
    <t>VEA (maart 2016)</t>
  </si>
  <si>
    <t>VEA (juni 2018)</t>
  </si>
  <si>
    <t>De Becker Electrogroep</t>
  </si>
  <si>
    <t>Breker 13 ,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</si>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</sst>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232997.7507091744</c:v>
                </c:pt>
                <c:pt idx="1">
                  <c:v>184097.13040279437</c:v>
                </c:pt>
                <c:pt idx="2">
                  <c:v>2004.386</c:v>
                </c:pt>
                <c:pt idx="3">
                  <c:v>12219.25824364557</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232997.7507091744</c:v>
                </c:pt>
                <c:pt idx="1">
                  <c:v>184097.13040279437</c:v>
                </c:pt>
                <c:pt idx="2">
                  <c:v>2004.386</c:v>
                </c:pt>
                <c:pt idx="3">
                  <c:v>12219.25824364557</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47132.3624725263</c:v>
                </c:pt>
                <c:pt idx="1">
                  <c:v>34490.209880269344</c:v>
                </c:pt>
                <c:pt idx="2">
                  <c:v>349.49059196592037</c:v>
                </c:pt>
                <c:pt idx="3">
                  <c:v>2627.5091356770126</c:v>
                </c:pt>
                <c:pt idx="4">
                  <c:v>8578.3839215970856</c:v>
                </c:pt>
                <c:pt idx="5">
                  <c:v>82343.954034199298</c:v>
                </c:pt>
                <c:pt idx="6">
                  <c:v>1262.2059983632271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47132.3624725263</c:v>
                </c:pt>
                <c:pt idx="1">
                  <c:v>34490.209880269344</c:v>
                </c:pt>
                <c:pt idx="2">
                  <c:v>349.49059196592037</c:v>
                </c:pt>
                <c:pt idx="3">
                  <c:v>2627.5091356770126</c:v>
                </c:pt>
                <c:pt idx="4">
                  <c:v>8578.3839215970856</c:v>
                </c:pt>
                <c:pt idx="5">
                  <c:v>82343.954034199298</c:v>
                </c:pt>
                <c:pt idx="6">
                  <c:v>1262.2059983632271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23002</v>
      </c>
      <c r="B6" s="416"/>
      <c r="C6" s="417"/>
    </row>
    <row r="7" spans="1:7" s="414" customFormat="1" ht="15.75" customHeight="1">
      <c r="A7" s="418" t="str">
        <f>txtMunicipality</f>
        <v>ASSE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12838</v>
      </c>
      <c r="C9" s="342">
        <v>13543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2411</v>
      </c>
    </row>
    <row r="15" spans="1:6">
      <c r="A15" s="348" t="s">
        <v>184</v>
      </c>
      <c r="B15" s="334">
        <v>820</v>
      </c>
    </row>
    <row r="16" spans="1:6">
      <c r="A16" s="348" t="s">
        <v>6</v>
      </c>
      <c r="B16" s="334">
        <v>257</v>
      </c>
    </row>
    <row r="17" spans="1:6">
      <c r="A17" s="348" t="s">
        <v>7</v>
      </c>
      <c r="B17" s="334">
        <v>436</v>
      </c>
    </row>
    <row r="18" spans="1:6">
      <c r="A18" s="348" t="s">
        <v>8</v>
      </c>
      <c r="B18" s="334">
        <v>526</v>
      </c>
    </row>
    <row r="19" spans="1:6">
      <c r="A19" s="348" t="s">
        <v>9</v>
      </c>
      <c r="B19" s="334">
        <v>493</v>
      </c>
    </row>
    <row r="20" spans="1:6">
      <c r="A20" s="348" t="s">
        <v>10</v>
      </c>
      <c r="B20" s="334">
        <v>450</v>
      </c>
    </row>
    <row r="21" spans="1:6">
      <c r="A21" s="348" t="s">
        <v>11</v>
      </c>
      <c r="B21" s="334">
        <v>525</v>
      </c>
    </row>
    <row r="22" spans="1:6">
      <c r="A22" s="348" t="s">
        <v>12</v>
      </c>
      <c r="B22" s="334">
        <v>4045</v>
      </c>
    </row>
    <row r="23" spans="1:6">
      <c r="A23" s="348" t="s">
        <v>13</v>
      </c>
      <c r="B23" s="334">
        <v>19</v>
      </c>
    </row>
    <row r="24" spans="1:6">
      <c r="A24" s="348" t="s">
        <v>14</v>
      </c>
      <c r="B24" s="334">
        <v>1</v>
      </c>
    </row>
    <row r="25" spans="1:6">
      <c r="A25" s="348" t="s">
        <v>15</v>
      </c>
      <c r="B25" s="334">
        <v>199</v>
      </c>
    </row>
    <row r="26" spans="1:6">
      <c r="A26" s="348" t="s">
        <v>16</v>
      </c>
      <c r="B26" s="334">
        <v>325</v>
      </c>
    </row>
    <row r="27" spans="1:6">
      <c r="A27" s="348" t="s">
        <v>17</v>
      </c>
      <c r="B27" s="334">
        <v>0</v>
      </c>
    </row>
    <row r="28" spans="1:6" s="356" customFormat="1">
      <c r="A28" s="355" t="s">
        <v>18</v>
      </c>
      <c r="B28" s="355">
        <v>63581</v>
      </c>
    </row>
    <row r="29" spans="1:6">
      <c r="A29" s="355" t="s">
        <v>865</v>
      </c>
      <c r="B29" s="355">
        <v>375</v>
      </c>
      <c r="C29" s="356"/>
      <c r="D29" s="356"/>
      <c r="E29" s="356"/>
      <c r="F29" s="356"/>
    </row>
    <row r="30" spans="1:6">
      <c r="A30" s="341" t="s">
        <v>866</v>
      </c>
      <c r="B30" s="341">
        <v>74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17272.68</v>
      </c>
    </row>
    <row r="39" spans="1:6">
      <c r="A39" s="348" t="s">
        <v>30</v>
      </c>
      <c r="B39" s="348" t="s">
        <v>31</v>
      </c>
      <c r="C39" s="334">
        <v>7589</v>
      </c>
      <c r="D39" s="334">
        <v>113176028.42614</v>
      </c>
      <c r="E39" s="334">
        <v>12894</v>
      </c>
      <c r="F39" s="334">
        <v>49498675.894000001</v>
      </c>
    </row>
    <row r="40" spans="1:6">
      <c r="A40" s="348" t="s">
        <v>30</v>
      </c>
      <c r="B40" s="348" t="s">
        <v>29</v>
      </c>
      <c r="C40" s="334">
        <v>0</v>
      </c>
      <c r="D40" s="334">
        <v>0</v>
      </c>
      <c r="E40" s="334">
        <v>0</v>
      </c>
      <c r="F40" s="334">
        <v>0</v>
      </c>
    </row>
    <row r="41" spans="1:6">
      <c r="A41" s="348" t="s">
        <v>32</v>
      </c>
      <c r="B41" s="348" t="s">
        <v>33</v>
      </c>
      <c r="C41" s="334">
        <v>68</v>
      </c>
      <c r="D41" s="334">
        <v>1643718.58408243</v>
      </c>
      <c r="E41" s="334">
        <v>192</v>
      </c>
      <c r="F41" s="334">
        <v>1593620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127465.1</v>
      </c>
    </row>
    <row r="45" spans="1:6">
      <c r="A45" s="348" t="s">
        <v>32</v>
      </c>
      <c r="B45" s="348" t="s">
        <v>37</v>
      </c>
      <c r="C45" s="334">
        <v>5</v>
      </c>
      <c r="D45" s="334">
        <v>94313.659074562194</v>
      </c>
      <c r="E45" s="334">
        <v>5</v>
      </c>
      <c r="F45" s="334">
        <v>26548.45</v>
      </c>
    </row>
    <row r="46" spans="1:6">
      <c r="A46" s="348" t="s">
        <v>32</v>
      </c>
      <c r="B46" s="348" t="s">
        <v>38</v>
      </c>
      <c r="C46" s="334">
        <v>0</v>
      </c>
      <c r="D46" s="334">
        <v>0</v>
      </c>
      <c r="E46" s="334">
        <v>0</v>
      </c>
      <c r="F46" s="334">
        <v>0</v>
      </c>
    </row>
    <row r="47" spans="1:6">
      <c r="A47" s="348" t="s">
        <v>32</v>
      </c>
      <c r="B47" s="348" t="s">
        <v>39</v>
      </c>
      <c r="C47" s="334">
        <v>4</v>
      </c>
      <c r="D47" s="334">
        <v>3505016.5994734499</v>
      </c>
      <c r="E47" s="334">
        <v>3</v>
      </c>
      <c r="F47" s="334">
        <v>14405.67</v>
      </c>
    </row>
    <row r="48" spans="1:6">
      <c r="A48" s="348" t="s">
        <v>32</v>
      </c>
      <c r="B48" s="348" t="s">
        <v>29</v>
      </c>
      <c r="C48" s="334">
        <v>46</v>
      </c>
      <c r="D48" s="334">
        <v>4487029.2188632004</v>
      </c>
      <c r="E48" s="334">
        <v>67</v>
      </c>
      <c r="F48" s="334">
        <v>8551436</v>
      </c>
    </row>
    <row r="49" spans="1:6">
      <c r="A49" s="348" t="s">
        <v>32</v>
      </c>
      <c r="B49" s="348" t="s">
        <v>40</v>
      </c>
      <c r="C49" s="334">
        <v>0</v>
      </c>
      <c r="D49" s="334">
        <v>0</v>
      </c>
      <c r="E49" s="334">
        <v>0</v>
      </c>
      <c r="F49" s="334">
        <v>0</v>
      </c>
    </row>
    <row r="50" spans="1:6">
      <c r="A50" s="348" t="s">
        <v>32</v>
      </c>
      <c r="B50" s="348" t="s">
        <v>41</v>
      </c>
      <c r="C50" s="334">
        <v>5</v>
      </c>
      <c r="D50" s="334">
        <v>5651444.26083114</v>
      </c>
      <c r="E50" s="334">
        <v>8</v>
      </c>
      <c r="F50" s="334">
        <v>4204537</v>
      </c>
    </row>
    <row r="51" spans="1:6">
      <c r="A51" s="348" t="s">
        <v>42</v>
      </c>
      <c r="B51" s="348" t="s">
        <v>43</v>
      </c>
      <c r="C51" s="334">
        <v>7</v>
      </c>
      <c r="D51" s="334">
        <v>1163780.8812857899</v>
      </c>
      <c r="E51" s="334">
        <v>78</v>
      </c>
      <c r="F51" s="334">
        <v>780889.3</v>
      </c>
    </row>
    <row r="52" spans="1:6">
      <c r="A52" s="348" t="s">
        <v>42</v>
      </c>
      <c r="B52" s="348" t="s">
        <v>29</v>
      </c>
      <c r="C52" s="334">
        <v>8</v>
      </c>
      <c r="D52" s="334">
        <v>399692.616937068</v>
      </c>
      <c r="E52" s="334">
        <v>11</v>
      </c>
      <c r="F52" s="334">
        <v>209185.1</v>
      </c>
    </row>
    <row r="53" spans="1:6">
      <c r="A53" s="348" t="s">
        <v>44</v>
      </c>
      <c r="B53" s="348" t="s">
        <v>45</v>
      </c>
      <c r="C53" s="334">
        <v>220</v>
      </c>
      <c r="D53" s="334">
        <v>7922354.1551133897</v>
      </c>
      <c r="E53" s="334">
        <v>499</v>
      </c>
      <c r="F53" s="334">
        <v>3545757</v>
      </c>
    </row>
    <row r="54" spans="1:6">
      <c r="A54" s="348" t="s">
        <v>46</v>
      </c>
      <c r="B54" s="348" t="s">
        <v>47</v>
      </c>
      <c r="C54" s="334">
        <v>0</v>
      </c>
      <c r="D54" s="334">
        <v>0</v>
      </c>
      <c r="E54" s="334">
        <v>1</v>
      </c>
      <c r="F54" s="334">
        <v>2004386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4548475.2508912403</v>
      </c>
      <c r="E57" s="334">
        <v>135</v>
      </c>
      <c r="F57" s="334">
        <v>3170320</v>
      </c>
    </row>
    <row r="58" spans="1:6">
      <c r="A58" s="348" t="s">
        <v>49</v>
      </c>
      <c r="B58" s="348" t="s">
        <v>51</v>
      </c>
      <c r="C58" s="334">
        <v>31</v>
      </c>
      <c r="D58" s="334">
        <v>872275.48283496301</v>
      </c>
      <c r="E58" s="334">
        <v>58</v>
      </c>
      <c r="F58" s="334">
        <v>1019881</v>
      </c>
    </row>
    <row r="59" spans="1:6">
      <c r="A59" s="348" t="s">
        <v>49</v>
      </c>
      <c r="B59" s="348" t="s">
        <v>52</v>
      </c>
      <c r="C59" s="334">
        <v>165</v>
      </c>
      <c r="D59" s="334">
        <v>21269580.987256501</v>
      </c>
      <c r="E59" s="334">
        <v>403</v>
      </c>
      <c r="F59" s="334">
        <v>44688613</v>
      </c>
    </row>
    <row r="60" spans="1:6">
      <c r="A60" s="348" t="s">
        <v>49</v>
      </c>
      <c r="B60" s="348" t="s">
        <v>53</v>
      </c>
      <c r="C60" s="334">
        <v>86</v>
      </c>
      <c r="D60" s="334">
        <v>2827213.3353458201</v>
      </c>
      <c r="E60" s="334">
        <v>121</v>
      </c>
      <c r="F60" s="334">
        <v>2181634</v>
      </c>
    </row>
    <row r="61" spans="1:6">
      <c r="A61" s="348" t="s">
        <v>49</v>
      </c>
      <c r="B61" s="348" t="s">
        <v>54</v>
      </c>
      <c r="C61" s="334">
        <v>351</v>
      </c>
      <c r="D61" s="334">
        <v>21755847.364004001</v>
      </c>
      <c r="E61" s="334">
        <v>858</v>
      </c>
      <c r="F61" s="334">
        <v>23531453</v>
      </c>
    </row>
    <row r="62" spans="1:6">
      <c r="A62" s="348" t="s">
        <v>49</v>
      </c>
      <c r="B62" s="348" t="s">
        <v>55</v>
      </c>
      <c r="C62" s="334">
        <v>18</v>
      </c>
      <c r="D62" s="334">
        <v>1486661.01508629</v>
      </c>
      <c r="E62" s="334">
        <v>14</v>
      </c>
      <c r="F62" s="334">
        <v>288594.5</v>
      </c>
    </row>
    <row r="63" spans="1:6">
      <c r="A63" s="348" t="s">
        <v>49</v>
      </c>
      <c r="B63" s="348" t="s">
        <v>29</v>
      </c>
      <c r="C63" s="334">
        <v>199</v>
      </c>
      <c r="D63" s="334">
        <v>25865198.309367601</v>
      </c>
      <c r="E63" s="334">
        <v>200</v>
      </c>
      <c r="F63" s="334">
        <v>20098918</v>
      </c>
    </row>
    <row r="64" spans="1:6">
      <c r="A64" s="348" t="s">
        <v>56</v>
      </c>
      <c r="B64" s="348" t="s">
        <v>57</v>
      </c>
      <c r="C64" s="334">
        <v>0</v>
      </c>
      <c r="D64" s="334">
        <v>0</v>
      </c>
      <c r="E64" s="334">
        <v>0</v>
      </c>
      <c r="F64" s="334">
        <v>0</v>
      </c>
    </row>
    <row r="65" spans="1:6">
      <c r="A65" s="348" t="s">
        <v>56</v>
      </c>
      <c r="B65" s="348" t="s">
        <v>29</v>
      </c>
      <c r="C65" s="334">
        <v>5</v>
      </c>
      <c r="D65" s="334">
        <v>161197.67156869499</v>
      </c>
      <c r="E65" s="334">
        <v>4</v>
      </c>
      <c r="F65" s="334">
        <v>84566.33</v>
      </c>
    </row>
    <row r="66" spans="1:6">
      <c r="A66" s="348" t="s">
        <v>56</v>
      </c>
      <c r="B66" s="348" t="s">
        <v>58</v>
      </c>
      <c r="C66" s="334">
        <v>4</v>
      </c>
      <c r="D66" s="334">
        <v>193458.870540245</v>
      </c>
      <c r="E66" s="334">
        <v>28</v>
      </c>
      <c r="F66" s="334">
        <v>665456.5</v>
      </c>
    </row>
    <row r="67" spans="1:6">
      <c r="A67" s="355" t="s">
        <v>56</v>
      </c>
      <c r="B67" s="355" t="s">
        <v>59</v>
      </c>
      <c r="C67" s="334">
        <v>0</v>
      </c>
      <c r="D67" s="334">
        <v>0</v>
      </c>
      <c r="E67" s="334">
        <v>0</v>
      </c>
      <c r="F67" s="334">
        <v>0</v>
      </c>
    </row>
    <row r="68" spans="1:6">
      <c r="A68" s="341" t="s">
        <v>56</v>
      </c>
      <c r="B68" s="341" t="s">
        <v>60</v>
      </c>
      <c r="C68" s="334">
        <v>11</v>
      </c>
      <c r="D68" s="334">
        <v>457059.36085639399</v>
      </c>
      <c r="E68" s="334">
        <v>44</v>
      </c>
      <c r="F68" s="334">
        <v>1898808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145753399</v>
      </c>
      <c r="E73" s="477">
        <v>150246757.46871951</v>
      </c>
    </row>
    <row r="74" spans="1:6">
      <c r="A74" s="348" t="s">
        <v>64</v>
      </c>
      <c r="B74" s="348" t="s">
        <v>714</v>
      </c>
      <c r="C74" s="1288" t="s">
        <v>716</v>
      </c>
      <c r="D74" s="477">
        <v>12208349.691463459</v>
      </c>
      <c r="E74" s="477">
        <v>12375903.96425138</v>
      </c>
    </row>
    <row r="75" spans="1:6">
      <c r="A75" s="348" t="s">
        <v>65</v>
      </c>
      <c r="B75" s="348" t="s">
        <v>713</v>
      </c>
      <c r="C75" s="1288" t="s">
        <v>717</v>
      </c>
      <c r="D75" s="477">
        <v>61531806</v>
      </c>
      <c r="E75" s="477">
        <v>63109571.028129458</v>
      </c>
    </row>
    <row r="76" spans="1:6">
      <c r="A76" s="348" t="s">
        <v>65</v>
      </c>
      <c r="B76" s="348" t="s">
        <v>714</v>
      </c>
      <c r="C76" s="1288" t="s">
        <v>718</v>
      </c>
      <c r="D76" s="477">
        <v>3364784.6914634593</v>
      </c>
      <c r="E76" s="477">
        <v>3477958.7019442003</v>
      </c>
    </row>
    <row r="77" spans="1:6">
      <c r="A77" s="348" t="s">
        <v>66</v>
      </c>
      <c r="B77" s="348" t="s">
        <v>713</v>
      </c>
      <c r="C77" s="1288" t="s">
        <v>719</v>
      </c>
      <c r="D77" s="477">
        <v>145093812</v>
      </c>
      <c r="E77" s="477">
        <v>146876525.53910089</v>
      </c>
    </row>
    <row r="78" spans="1:6">
      <c r="A78" s="341" t="s">
        <v>66</v>
      </c>
      <c r="B78" s="341" t="s">
        <v>714</v>
      </c>
      <c r="C78" s="341" t="s">
        <v>720</v>
      </c>
      <c r="D78" s="1284">
        <v>17201691</v>
      </c>
      <c r="E78" s="1284">
        <v>17757833.428267155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1335304.6170730817</v>
      </c>
      <c r="C83" s="477">
        <v>1327322.9834312252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3573.8070309242212</v>
      </c>
    </row>
    <row r="92" spans="1:6">
      <c r="A92" s="341" t="s">
        <v>69</v>
      </c>
      <c r="B92" s="342">
        <v>7615.0226800521477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165612.66382996424</v>
      </c>
      <c r="C3" s="43" t="s">
        <v>170</v>
      </c>
      <c r="D3" s="43"/>
      <c r="E3" s="154"/>
      <c r="F3" s="43"/>
      <c r="G3" s="43"/>
      <c r="H3" s="43"/>
      <c r="I3" s="43"/>
      <c r="J3" s="43"/>
      <c r="K3" s="96"/>
    </row>
    <row r="4" spans="1:11">
      <c r="A4" s="384" t="s">
        <v>171</v>
      </c>
      <c r="B4" s="49">
        <f>IF(ISERROR('SEAP template'!B69),0,'SEAP template'!B69)</f>
        <v>34948.829710976366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0.17436291810355908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2004.386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2004.386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0.17436291810355908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349.49059196592037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49498.675894</v>
      </c>
      <c r="C5" s="17">
        <f>IF(ISERROR('Eigen informatie GS &amp; warmtenet'!B57),0,'Eigen informatie GS &amp; warmtenet'!B57)</f>
        <v>0</v>
      </c>
      <c r="D5" s="30">
        <f>(SUM(HH_hh_gas_kWh,HH_rest_gas_kWh)/1000)*0.902</f>
        <v>102084.77764037828</v>
      </c>
      <c r="E5" s="17">
        <f>B46*B57</f>
        <v>3985.6001964849656</v>
      </c>
      <c r="F5" s="17">
        <f>B51*B62</f>
        <v>61245.817044107491</v>
      </c>
      <c r="G5" s="18"/>
      <c r="H5" s="17"/>
      <c r="I5" s="17"/>
      <c r="J5" s="17">
        <f>B50*B61+C50*C61</f>
        <v>0</v>
      </c>
      <c r="K5" s="17"/>
      <c r="L5" s="17"/>
      <c r="M5" s="17"/>
      <c r="N5" s="17">
        <f>B48*B59+C48*C59</f>
        <v>11450.329569946078</v>
      </c>
      <c r="O5" s="17">
        <f>B69*B70*B71</f>
        <v>167.27666666666667</v>
      </c>
      <c r="P5" s="17">
        <f>B77*B78*B79/1000-B77*B78*B79/1000/B80</f>
        <v>991.4666666666667</v>
      </c>
    </row>
    <row r="6" spans="1:16">
      <c r="A6" s="16" t="s">
        <v>631</v>
      </c>
      <c r="B6" s="844">
        <f>kWh_PV_kleiner_dan_10kW</f>
        <v>3573.8070309242212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53072.482924924218</v>
      </c>
      <c r="C8" s="21">
        <f>C5</f>
        <v>0</v>
      </c>
      <c r="D8" s="21">
        <f>D5</f>
        <v>102084.77764037828</v>
      </c>
      <c r="E8" s="21">
        <f>E5</f>
        <v>3985.6001964849656</v>
      </c>
      <c r="F8" s="21">
        <f>F5</f>
        <v>61245.817044107491</v>
      </c>
      <c r="G8" s="21"/>
      <c r="H8" s="21"/>
      <c r="I8" s="21"/>
      <c r="J8" s="21">
        <f>J5</f>
        <v>0</v>
      </c>
      <c r="K8" s="21"/>
      <c r="L8" s="21">
        <f>L5</f>
        <v>0</v>
      </c>
      <c r="M8" s="21">
        <f>M5</f>
        <v>0</v>
      </c>
      <c r="N8" s="21">
        <f>N5</f>
        <v>11450.329569946078</v>
      </c>
      <c r="O8" s="21">
        <f>O5</f>
        <v>167.27666666666667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0.17436291810355908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9253.8729937910994</v>
      </c>
      <c r="C12" s="23">
        <f ca="1">C10*C8</f>
        <v>0</v>
      </c>
      <c r="D12" s="23">
        <f>D8*D10</f>
        <v>20621.125083356412</v>
      </c>
      <c r="E12" s="23">
        <f>E10*E8</f>
        <v>904.73124460208726</v>
      </c>
      <c r="F12" s="23">
        <f>F10*F8</f>
        <v>16352.633150776701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12838</v>
      </c>
      <c r="C28" s="36"/>
      <c r="D28" s="228"/>
    </row>
    <row r="29" spans="1:7" s="15" customFormat="1">
      <c r="A29" s="230" t="s">
        <v>741</v>
      </c>
      <c r="B29" s="37">
        <f>SUM(HH_hh_gas_aantal,HH_rest_gas_aantal)</f>
        <v>7589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7589</v>
      </c>
      <c r="C32" s="167">
        <f>IF(ISERROR(B32/SUM($B$32,$B$34,$B$35,$B$36,$B$38,$B$39)*100),0,B32/SUM($B$32,$B$34,$B$35,$B$36,$B$38,$B$39)*100)</f>
        <v>59.353980916627556</v>
      </c>
      <c r="D32" s="233"/>
      <c r="G32" s="15"/>
    </row>
    <row r="33" spans="1:7">
      <c r="A33" s="171" t="s">
        <v>72</v>
      </c>
      <c r="B33" s="34" t="s">
        <v>111</v>
      </c>
      <c r="C33" s="167"/>
      <c r="D33" s="233"/>
      <c r="G33" s="15"/>
    </row>
    <row r="34" spans="1:7">
      <c r="A34" s="171" t="s">
        <v>73</v>
      </c>
      <c r="B34" s="33">
        <f>IF((($B$28-$B$32-$B$39-$B$77-$B$38)*C20/100)&lt;0,0,($B$28-$B$32-$B$39-$B$77-$B$38)*C20/100)</f>
        <v>267.12250996015933</v>
      </c>
      <c r="C34" s="167">
        <f>IF(ISERROR(B34/SUM($B$32,$B$34,$B$35,$B$36,$B$38,$B$39)*100),0,B34/SUM($B$32,$B$34,$B$35,$B$36,$B$38,$B$39)*100)</f>
        <v>2.089179649305172</v>
      </c>
      <c r="D34" s="233"/>
      <c r="G34" s="15"/>
    </row>
    <row r="35" spans="1:7">
      <c r="A35" s="171" t="s">
        <v>74</v>
      </c>
      <c r="B35" s="33">
        <f>IF((($B$28-$B$32-$B$39-$B$77-$B$38)*C21/100)&lt;0,0,($B$28-$B$32-$B$39-$B$77-$B$38)*C21/100)</f>
        <v>2239.5119521912352</v>
      </c>
      <c r="C35" s="167">
        <f>IF(ISERROR(B35/SUM($B$32,$B$34,$B$35,$B$36,$B$38,$B$39)*100),0,B35/SUM($B$32,$B$34,$B$35,$B$36,$B$38,$B$39)*100)</f>
        <v>17.51534453457872</v>
      </c>
      <c r="D35" s="233"/>
      <c r="G35" s="15"/>
    </row>
    <row r="36" spans="1:7">
      <c r="A36" s="171" t="s">
        <v>75</v>
      </c>
      <c r="B36" s="33">
        <f>IF((($B$28-$B$32-$B$39-$B$77-$B$38)*C22/100)&lt;0,0,($B$28-$B$32-$B$39-$B$77-$B$38)*C22/100)</f>
        <v>202.36553784860561</v>
      </c>
      <c r="C36" s="167">
        <f>IF(ISERROR(B36/SUM($B$32,$B$34,$B$35,$B$36,$B$38,$B$39)*100),0,B36/SUM($B$32,$B$34,$B$35,$B$36,$B$38,$B$39)*100)</f>
        <v>1.5827118555342219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2488</v>
      </c>
      <c r="C39" s="167">
        <f>IF(ISERROR(B39/SUM($B$32,$B$34,$B$35,$B$36,$B$38,$B$39)*100),0,B39/SUM($B$32,$B$34,$B$35,$B$36,$B$38,$B$39)*100)</f>
        <v>19.458783043954327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7589</v>
      </c>
      <c r="C44" s="34" t="s">
        <v>111</v>
      </c>
      <c r="D44" s="174"/>
    </row>
    <row r="45" spans="1:7">
      <c r="A45" s="171" t="s">
        <v>72</v>
      </c>
      <c r="B45" s="33" t="str">
        <f t="shared" si="0"/>
        <v>-</v>
      </c>
      <c r="C45" s="34" t="s">
        <v>111</v>
      </c>
      <c r="D45" s="174"/>
    </row>
    <row r="46" spans="1:7">
      <c r="A46" s="171" t="s">
        <v>73</v>
      </c>
      <c r="B46" s="33">
        <f t="shared" si="0"/>
        <v>267.12250996015933</v>
      </c>
      <c r="C46" s="34" t="s">
        <v>111</v>
      </c>
      <c r="D46" s="174"/>
    </row>
    <row r="47" spans="1:7">
      <c r="A47" s="171" t="s">
        <v>74</v>
      </c>
      <c r="B47" s="33">
        <f t="shared" si="0"/>
        <v>2239.5119521912352</v>
      </c>
      <c r="C47" s="34" t="s">
        <v>111</v>
      </c>
      <c r="D47" s="174"/>
    </row>
    <row r="48" spans="1:7">
      <c r="A48" s="171" t="s">
        <v>75</v>
      </c>
      <c r="B48" s="33">
        <f t="shared" si="0"/>
        <v>202.36553784860561</v>
      </c>
      <c r="C48" s="33">
        <f>B48*10</f>
        <v>2023.6553784860562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94979.41350000001</v>
      </c>
      <c r="C5" s="17">
        <f>IF(ISERROR('Eigen informatie GS &amp; warmtenet'!B58),0,'Eigen informatie GS &amp; warmtenet'!B58)</f>
        <v>0</v>
      </c>
      <c r="D5" s="30">
        <f>SUM(D6:D12)</f>
        <v>70919.977073797345</v>
      </c>
      <c r="E5" s="17">
        <f>SUM(E6:E12)</f>
        <v>833.33944895961213</v>
      </c>
      <c r="F5" s="17">
        <f>SUM(F6:F12)</f>
        <v>12787.71070720551</v>
      </c>
      <c r="G5" s="18"/>
      <c r="H5" s="17"/>
      <c r="I5" s="17"/>
      <c r="J5" s="17">
        <f>SUM(J6:J12)</f>
        <v>0</v>
      </c>
      <c r="K5" s="17"/>
      <c r="L5" s="17"/>
      <c r="M5" s="17"/>
      <c r="N5" s="17">
        <f>SUM(N6:N12)</f>
        <v>4554.4963394985107</v>
      </c>
      <c r="O5" s="17">
        <f>B38*B39*B40</f>
        <v>3.1266666666666669</v>
      </c>
      <c r="P5" s="17">
        <f>B46*B47*B48/1000-B46*B47*B48/1000/B49</f>
        <v>19.066666666666666</v>
      </c>
      <c r="R5" s="32"/>
    </row>
    <row r="6" spans="1:18">
      <c r="A6" s="32" t="s">
        <v>54</v>
      </c>
      <c r="B6" s="37">
        <f>B26</f>
        <v>23531.453000000001</v>
      </c>
      <c r="C6" s="33"/>
      <c r="D6" s="37">
        <f>IF(ISERROR(TER_kantoor_gas_kWh/1000),0,TER_kantoor_gas_kWh/1000)*0.902</f>
        <v>19623.774322331607</v>
      </c>
      <c r="E6" s="33">
        <f>$C$26*'E Balans VL '!I12/100/3.6*1000000</f>
        <v>68.174071894701655</v>
      </c>
      <c r="F6" s="33">
        <f>$C$26*('E Balans VL '!L12+'E Balans VL '!N12)/100/3.6*1000000</f>
        <v>2663.2420414946882</v>
      </c>
      <c r="G6" s="34"/>
      <c r="H6" s="33"/>
      <c r="I6" s="33"/>
      <c r="J6" s="33">
        <f>$C$26*('E Balans VL '!D12+'E Balans VL '!E12)/100/3.6*1000000</f>
        <v>0</v>
      </c>
      <c r="K6" s="33"/>
      <c r="L6" s="33"/>
      <c r="M6" s="33"/>
      <c r="N6" s="33">
        <f>$C$26*'E Balans VL '!Y12/100/3.6*1000000</f>
        <v>235.53250578127583</v>
      </c>
      <c r="O6" s="33"/>
      <c r="P6" s="33"/>
      <c r="R6" s="32"/>
    </row>
    <row r="7" spans="1:18">
      <c r="A7" s="32" t="s">
        <v>53</v>
      </c>
      <c r="B7" s="37">
        <f t="shared" ref="B7:B12" si="0">B27</f>
        <v>2181.634</v>
      </c>
      <c r="C7" s="33"/>
      <c r="D7" s="37">
        <f>IF(ISERROR(TER_horeca_gas_kWh/1000),0,TER_horeca_gas_kWh/1000)*0.902</f>
        <v>2550.1464284819299</v>
      </c>
      <c r="E7" s="33">
        <f>$C$27*'E Balans VL '!I9/100/3.6*1000000</f>
        <v>91.578899955071776</v>
      </c>
      <c r="F7" s="33">
        <f>$C$27*('E Balans VL '!L9+'E Balans VL '!N9)/100/3.6*1000000</f>
        <v>468.76880351878492</v>
      </c>
      <c r="G7" s="34"/>
      <c r="H7" s="33"/>
      <c r="I7" s="33"/>
      <c r="J7" s="33">
        <f>$C$27*('E Balans VL '!D9+'E Balans VL '!E9)/100/3.6*1000000</f>
        <v>0</v>
      </c>
      <c r="K7" s="33"/>
      <c r="L7" s="33"/>
      <c r="M7" s="33"/>
      <c r="N7" s="33">
        <f>$C$27*'E Balans VL '!Y9/100/3.6*1000000</f>
        <v>0.5621880027185322</v>
      </c>
      <c r="O7" s="33"/>
      <c r="P7" s="33"/>
      <c r="R7" s="32"/>
    </row>
    <row r="8" spans="1:18">
      <c r="A8" s="6" t="s">
        <v>52</v>
      </c>
      <c r="B8" s="37">
        <f t="shared" si="0"/>
        <v>44688.612999999998</v>
      </c>
      <c r="C8" s="33"/>
      <c r="D8" s="37">
        <f>IF(ISERROR(TER_handel_gas_kWh/1000),0,TER_handel_gas_kWh/1000)*0.902</f>
        <v>19185.162050505365</v>
      </c>
      <c r="E8" s="33">
        <f>$C$28*'E Balans VL '!I13/100/3.6*1000000</f>
        <v>479.99289689532191</v>
      </c>
      <c r="F8" s="33">
        <f>$C$28*('E Balans VL '!L13+'E Balans VL '!N13)/100/3.6*1000000</f>
        <v>5785.3099838086564</v>
      </c>
      <c r="G8" s="34"/>
      <c r="H8" s="33"/>
      <c r="I8" s="33"/>
      <c r="J8" s="33">
        <f>$C$28*('E Balans VL '!D13+'E Balans VL '!E13)/100/3.6*1000000</f>
        <v>0</v>
      </c>
      <c r="K8" s="33"/>
      <c r="L8" s="33"/>
      <c r="M8" s="33"/>
      <c r="N8" s="33">
        <f>$C$28*'E Balans VL '!Y13/100/3.6*1000000</f>
        <v>362.51646876036438</v>
      </c>
      <c r="O8" s="33"/>
      <c r="P8" s="33"/>
      <c r="R8" s="32"/>
    </row>
    <row r="9" spans="1:18">
      <c r="A9" s="32" t="s">
        <v>51</v>
      </c>
      <c r="B9" s="37">
        <f t="shared" si="0"/>
        <v>1019.881</v>
      </c>
      <c r="C9" s="33"/>
      <c r="D9" s="37">
        <f>IF(ISERROR(TER_gezond_gas_kWh/1000),0,TER_gezond_gas_kWh/1000)*0.902</f>
        <v>786.79248551713658</v>
      </c>
      <c r="E9" s="33">
        <f>$C$29*'E Balans VL '!I10/100/3.6*1000000</f>
        <v>0.81189124013584835</v>
      </c>
      <c r="F9" s="33">
        <f>$C$29*('E Balans VL '!L10+'E Balans VL '!N10)/100/3.6*1000000</f>
        <v>123.98127415796237</v>
      </c>
      <c r="G9" s="34"/>
      <c r="H9" s="33"/>
      <c r="I9" s="33"/>
      <c r="J9" s="33">
        <f>$C$29*('E Balans VL '!D10+'E Balans VL '!E10)/100/3.6*1000000</f>
        <v>0</v>
      </c>
      <c r="K9" s="33"/>
      <c r="L9" s="33"/>
      <c r="M9" s="33"/>
      <c r="N9" s="33">
        <f>$C$29*'E Balans VL '!Y10/100/3.6*1000000</f>
        <v>8.2383285182821719</v>
      </c>
      <c r="O9" s="33"/>
      <c r="P9" s="33"/>
      <c r="R9" s="32"/>
    </row>
    <row r="10" spans="1:18">
      <c r="A10" s="32" t="s">
        <v>50</v>
      </c>
      <c r="B10" s="37">
        <f t="shared" si="0"/>
        <v>3170.32</v>
      </c>
      <c r="C10" s="33"/>
      <c r="D10" s="37">
        <f>IF(ISERROR(TER_ander_gas_kWh/1000),0,TER_ander_gas_kWh/1000)*0.902</f>
        <v>4102.7246763038993</v>
      </c>
      <c r="E10" s="33">
        <f>$C$30*'E Balans VL '!I14/100/3.6*1000000</f>
        <v>10.864853187263778</v>
      </c>
      <c r="F10" s="33">
        <f>$C$30*('E Balans VL '!L14+'E Balans VL '!N14)/100/3.6*1000000</f>
        <v>708.12066137052614</v>
      </c>
      <c r="G10" s="34"/>
      <c r="H10" s="33"/>
      <c r="I10" s="33"/>
      <c r="J10" s="33">
        <f>$C$30*('E Balans VL '!D14+'E Balans VL '!E14)/100/3.6*1000000</f>
        <v>0</v>
      </c>
      <c r="K10" s="33"/>
      <c r="L10" s="33"/>
      <c r="M10" s="33"/>
      <c r="N10" s="33">
        <f>$C$30*'E Balans VL '!Y14/100/3.6*1000000</f>
        <v>2233.1907271196178</v>
      </c>
      <c r="O10" s="33"/>
      <c r="P10" s="33"/>
      <c r="R10" s="32"/>
    </row>
    <row r="11" spans="1:18">
      <c r="A11" s="32" t="s">
        <v>55</v>
      </c>
      <c r="B11" s="37">
        <f t="shared" si="0"/>
        <v>288.59449999999998</v>
      </c>
      <c r="C11" s="33"/>
      <c r="D11" s="37">
        <f>IF(ISERROR(TER_onderwijs_gas_kWh/1000),0,TER_onderwijs_gas_kWh/1000)*0.902</f>
        <v>1340.9682356078335</v>
      </c>
      <c r="E11" s="33">
        <f>$C$31*'E Balans VL '!I11/100/3.6*1000000</f>
        <v>0.19949648983889748</v>
      </c>
      <c r="F11" s="33">
        <f>$C$31*('E Balans VL '!L11+'E Balans VL '!N11)/100/3.6*1000000</f>
        <v>75.545656998582075</v>
      </c>
      <c r="G11" s="34"/>
      <c r="H11" s="33"/>
      <c r="I11" s="33"/>
      <c r="J11" s="33">
        <f>$C$31*('E Balans VL '!D11+'E Balans VL '!E11)/100/3.6*1000000</f>
        <v>0</v>
      </c>
      <c r="K11" s="33"/>
      <c r="L11" s="33"/>
      <c r="M11" s="33"/>
      <c r="N11" s="33">
        <f>$C$31*'E Balans VL '!Y11/100/3.6*1000000</f>
        <v>0.28727124418797684</v>
      </c>
      <c r="O11" s="33"/>
      <c r="P11" s="33"/>
      <c r="R11" s="32"/>
    </row>
    <row r="12" spans="1:18">
      <c r="A12" s="32" t="s">
        <v>260</v>
      </c>
      <c r="B12" s="37">
        <f t="shared" si="0"/>
        <v>20098.918000000001</v>
      </c>
      <c r="C12" s="33"/>
      <c r="D12" s="37">
        <f>IF(ISERROR(TER_rest_gas_kWh/1000),0,TER_rest_gas_kWh/1000)*0.902</f>
        <v>23330.408875049579</v>
      </c>
      <c r="E12" s="33">
        <f>$C$32*'E Balans VL '!I8/100/3.6*1000000</f>
        <v>181.71733929727824</v>
      </c>
      <c r="F12" s="33">
        <f>$C$32*('E Balans VL '!L8+'E Balans VL '!N8)/100/3.6*1000000</f>
        <v>2962.7422858563118</v>
      </c>
      <c r="G12" s="34"/>
      <c r="H12" s="33"/>
      <c r="I12" s="33"/>
      <c r="J12" s="33">
        <f>$C$32*('E Balans VL '!D8+'E Balans VL '!E8)/100/3.6*1000000</f>
        <v>0</v>
      </c>
      <c r="K12" s="33"/>
      <c r="L12" s="33"/>
      <c r="M12" s="33"/>
      <c r="N12" s="33">
        <f>$C$32*'E Balans VL '!Y8/100/3.6*1000000</f>
        <v>1714.1688500720638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94979.41350000001</v>
      </c>
      <c r="C16" s="21">
        <f t="shared" ca="1" si="1"/>
        <v>0</v>
      </c>
      <c r="D16" s="21">
        <f t="shared" ca="1" si="1"/>
        <v>70919.977073797345</v>
      </c>
      <c r="E16" s="21">
        <f t="shared" si="1"/>
        <v>833.33944895961213</v>
      </c>
      <c r="F16" s="21">
        <f t="shared" ca="1" si="1"/>
        <v>12787.71070720551</v>
      </c>
      <c r="G16" s="21">
        <f t="shared" si="1"/>
        <v>0</v>
      </c>
      <c r="H16" s="21">
        <f t="shared" si="1"/>
        <v>0</v>
      </c>
      <c r="I16" s="21">
        <f t="shared" si="1"/>
        <v>0</v>
      </c>
      <c r="J16" s="21">
        <f t="shared" si="1"/>
        <v>0</v>
      </c>
      <c r="K16" s="21">
        <f t="shared" si="1"/>
        <v>0</v>
      </c>
      <c r="L16" s="21">
        <f t="shared" ca="1" si="1"/>
        <v>0</v>
      </c>
      <c r="M16" s="21">
        <f t="shared" si="1"/>
        <v>0</v>
      </c>
      <c r="N16" s="21">
        <f t="shared" ca="1" si="1"/>
        <v>4554.4963394985107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0.17436291810355908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16560.887697624577</v>
      </c>
      <c r="C20" s="23">
        <f t="shared" ref="C20:P20" ca="1" si="2">C16*C18</f>
        <v>0</v>
      </c>
      <c r="D20" s="23">
        <f t="shared" ca="1" si="2"/>
        <v>14325.835368907065</v>
      </c>
      <c r="E20" s="23">
        <f t="shared" si="2"/>
        <v>189.16805491383195</v>
      </c>
      <c r="F20" s="23">
        <f t="shared" ca="1" si="2"/>
        <v>3414.3187588238711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23531.453000000001</v>
      </c>
      <c r="C26" s="39">
        <f>IF(ISERROR(B26*3.6/1000000/'E Balans VL '!Z12*100),0,B26*3.6/1000000/'E Balans VL '!Z12*100)</f>
        <v>0.51689557022891008</v>
      </c>
      <c r="D26" s="237" t="s">
        <v>692</v>
      </c>
      <c r="F26" s="6"/>
    </row>
    <row r="27" spans="1:18">
      <c r="A27" s="231" t="s">
        <v>53</v>
      </c>
      <c r="B27" s="33">
        <f>IF(ISERROR(TER_horeca_ele_kWh/1000),0,TER_horeca_ele_kWh/1000)</f>
        <v>2181.634</v>
      </c>
      <c r="C27" s="39">
        <f>IF(ISERROR(B27*3.6/1000000/'E Balans VL '!Z9*100),0,B27*3.6/1000000/'E Balans VL '!Z9*100)</f>
        <v>0.175316038684565</v>
      </c>
      <c r="D27" s="237" t="s">
        <v>692</v>
      </c>
      <c r="F27" s="6"/>
    </row>
    <row r="28" spans="1:18">
      <c r="A28" s="171" t="s">
        <v>52</v>
      </c>
      <c r="B28" s="33">
        <f>IF(ISERROR(TER_handel_ele_kWh/1000),0,TER_handel_ele_kWh/1000)</f>
        <v>44688.612999999998</v>
      </c>
      <c r="C28" s="39">
        <f>IF(ISERROR(B28*3.6/1000000/'E Balans VL '!Z13*100),0,B28*3.6/1000000/'E Balans VL '!Z13*100)</f>
        <v>1.3214110662894427</v>
      </c>
      <c r="D28" s="237" t="s">
        <v>692</v>
      </c>
      <c r="F28" s="6"/>
    </row>
    <row r="29" spans="1:18">
      <c r="A29" s="231" t="s">
        <v>51</v>
      </c>
      <c r="B29" s="33">
        <f>IF(ISERROR(TER_gezond_ele_kWh/1000),0,TER_gezond_ele_kWh/1000)</f>
        <v>1019.881</v>
      </c>
      <c r="C29" s="39">
        <f>IF(ISERROR(B29*3.6/1000000/'E Balans VL '!Z10*100),0,B29*3.6/1000000/'E Balans VL '!Z10*100)</f>
        <v>0.11491425769366405</v>
      </c>
      <c r="D29" s="237" t="s">
        <v>692</v>
      </c>
      <c r="F29" s="6"/>
    </row>
    <row r="30" spans="1:18">
      <c r="A30" s="231" t="s">
        <v>50</v>
      </c>
      <c r="B30" s="33">
        <f>IF(ISERROR(TER_ander_ele_kWh/1000),0,TER_ander_ele_kWh/1000)</f>
        <v>3170.32</v>
      </c>
      <c r="C30" s="39">
        <f>IF(ISERROR(B30*3.6/1000000/'E Balans VL '!Z14*100),0,B30*3.6/1000000/'E Balans VL '!Z14*100)</f>
        <v>0.23976588218275538</v>
      </c>
      <c r="D30" s="237" t="s">
        <v>692</v>
      </c>
      <c r="F30" s="6"/>
    </row>
    <row r="31" spans="1:18">
      <c r="A31" s="231" t="s">
        <v>55</v>
      </c>
      <c r="B31" s="33">
        <f>IF(ISERROR(TER_onderwijs_ele_kWh/1000),0,TER_onderwijs_ele_kWh/1000)</f>
        <v>288.59449999999998</v>
      </c>
      <c r="C31" s="39">
        <f>IF(ISERROR(B31*3.6/1000000/'E Balans VL '!Z11*100),0,B31*3.6/1000000/'E Balans VL '!Z11*100)</f>
        <v>5.9905518766292028E-2</v>
      </c>
      <c r="D31" s="237" t="s">
        <v>692</v>
      </c>
    </row>
    <row r="32" spans="1:18">
      <c r="A32" s="231" t="s">
        <v>260</v>
      </c>
      <c r="B32" s="33">
        <f>IF(ISERROR(TER_rest_ele_kWh/1000),0,TER_rest_ele_kWh/1000)</f>
        <v>20098.918000000001</v>
      </c>
      <c r="C32" s="39">
        <f>IF(ISERROR(B32*3.6/1000000/'E Balans VL '!Z8*100),0,B32*3.6/1000000/'E Balans VL '!Z8*100)</f>
        <v>0.16932156035694915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14518.012220000001</v>
      </c>
      <c r="C5" s="17">
        <f>IF(ISERROR('Eigen informatie GS &amp; warmtenet'!B59),0,'Eigen informatie GS &amp; warmtenet'!B59)</f>
        <v>0</v>
      </c>
      <c r="D5" s="30">
        <f>SUM(D6:D15)</f>
        <v>13874.133134736954</v>
      </c>
      <c r="E5" s="17">
        <f>SUM(E6:E15)</f>
        <v>919.38146697164416</v>
      </c>
      <c r="F5" s="17">
        <f>SUM(F6:F15)</f>
        <v>11188.651525007715</v>
      </c>
      <c r="G5" s="18"/>
      <c r="H5" s="17"/>
      <c r="I5" s="17"/>
      <c r="J5" s="17">
        <f>SUM(J6:J15)</f>
        <v>136.54379225499292</v>
      </c>
      <c r="K5" s="17"/>
      <c r="L5" s="17"/>
      <c r="M5" s="17"/>
      <c r="N5" s="17">
        <f>SUM(N6:N15)</f>
        <v>4348.1341556323632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127.46510000000001</v>
      </c>
      <c r="C8" s="33"/>
      <c r="D8" s="37">
        <f>IF( ISERROR(IND_metaal_Gas_kWH/1000),0,IND_metaal_Gas_kWH/1000)*0.902</f>
        <v>0</v>
      </c>
      <c r="E8" s="33">
        <f>C30*'E Balans VL '!I18/100/3.6*1000000</f>
        <v>3.1900053347074615</v>
      </c>
      <c r="F8" s="33">
        <f>C30*'E Balans VL '!L18/100/3.6*1000000+C30*'E Balans VL '!N18/100/3.6*1000000</f>
        <v>39.948196384014999</v>
      </c>
      <c r="G8" s="34"/>
      <c r="H8" s="33"/>
      <c r="I8" s="33"/>
      <c r="J8" s="40">
        <f>C30*'E Balans VL '!D18/100/3.6*1000000+C30*'E Balans VL '!E18/100/3.6*1000000</f>
        <v>0</v>
      </c>
      <c r="K8" s="33"/>
      <c r="L8" s="33"/>
      <c r="M8" s="33"/>
      <c r="N8" s="33">
        <f>C30*'E Balans VL '!Y18/100/3.6*1000000</f>
        <v>3.2022541127805506</v>
      </c>
      <c r="O8" s="33"/>
      <c r="P8" s="33"/>
      <c r="R8" s="32"/>
    </row>
    <row r="9" spans="1:18">
      <c r="A9" s="6" t="s">
        <v>33</v>
      </c>
      <c r="B9" s="37">
        <f t="shared" si="0"/>
        <v>1593.62</v>
      </c>
      <c r="C9" s="33"/>
      <c r="D9" s="37">
        <f>IF( ISERROR(IND_andere_gas_kWh/1000),0,IND_andere_gas_kWh/1000)*0.902</f>
        <v>1482.6341628423518</v>
      </c>
      <c r="E9" s="33">
        <f>C31*'E Balans VL '!I19/100/3.6*1000000</f>
        <v>438.18013758710413</v>
      </c>
      <c r="F9" s="33">
        <f>C31*'E Balans VL '!L19/100/3.6*1000000+C31*'E Balans VL '!N19/100/3.6*1000000</f>
        <v>1256.0498697902774</v>
      </c>
      <c r="G9" s="34"/>
      <c r="H9" s="33"/>
      <c r="I9" s="33"/>
      <c r="J9" s="40">
        <f>C31*'E Balans VL '!D19/100/3.6*1000000+C31*'E Balans VL '!E19/100/3.6*1000000</f>
        <v>0</v>
      </c>
      <c r="K9" s="33"/>
      <c r="L9" s="33"/>
      <c r="M9" s="33"/>
      <c r="N9" s="33">
        <f>C31*'E Balans VL '!Y19/100/3.6*1000000</f>
        <v>515.89685852895775</v>
      </c>
      <c r="O9" s="33"/>
      <c r="P9" s="33"/>
      <c r="R9" s="32"/>
    </row>
    <row r="10" spans="1:18">
      <c r="A10" s="6" t="s">
        <v>41</v>
      </c>
      <c r="B10" s="37">
        <f t="shared" si="0"/>
        <v>4204.5370000000003</v>
      </c>
      <c r="C10" s="33"/>
      <c r="D10" s="37">
        <f>IF( ISERROR(IND_voed_gas_kWh/1000),0,IND_voed_gas_kWh/1000)*0.902</f>
        <v>5097.6027232696888</v>
      </c>
      <c r="E10" s="33">
        <f>C32*'E Balans VL '!I20/100/3.6*1000000</f>
        <v>42.862938422349885</v>
      </c>
      <c r="F10" s="33">
        <f>C32*'E Balans VL '!L20/100/3.6*1000000+C32*'E Balans VL '!N20/100/3.6*1000000</f>
        <v>7942.3440961595243</v>
      </c>
      <c r="G10" s="34"/>
      <c r="H10" s="33"/>
      <c r="I10" s="33"/>
      <c r="J10" s="40">
        <f>C32*'E Balans VL '!D20/100/3.6*1000000+C32*'E Balans VL '!E20/100/3.6*1000000</f>
        <v>100.6283277173488</v>
      </c>
      <c r="K10" s="33"/>
      <c r="L10" s="33"/>
      <c r="M10" s="33"/>
      <c r="N10" s="33">
        <f>C32*'E Balans VL '!Y20/100/3.6*1000000</f>
        <v>2216.2753022754055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26.548449999999999</v>
      </c>
      <c r="C12" s="33"/>
      <c r="D12" s="37">
        <f>IF( ISERROR(IND_min_gas_kWh/1000),0,IND_min_gas_kWh/1000)*0.902</f>
        <v>85.070920485255101</v>
      </c>
      <c r="E12" s="33">
        <f>C34*'E Balans VL '!I22/100/3.6*1000000</f>
        <v>8.0403245780779342E-2</v>
      </c>
      <c r="F12" s="33">
        <f>C34*'E Balans VL '!L22/100/3.6*1000000+C34*'E Balans VL '!N22/100/3.6*1000000</f>
        <v>0.82966188716099687</v>
      </c>
      <c r="G12" s="34"/>
      <c r="H12" s="33"/>
      <c r="I12" s="33"/>
      <c r="J12" s="40">
        <f>C34*'E Balans VL '!D22/100/3.6*1000000+C34*'E Balans VL '!E22/100/3.6*1000000</f>
        <v>3.9365457897783895E-2</v>
      </c>
      <c r="K12" s="33"/>
      <c r="L12" s="33"/>
      <c r="M12" s="33"/>
      <c r="N12" s="33">
        <f>C34*'E Balans VL '!Y22/100/3.6*1000000</f>
        <v>0</v>
      </c>
      <c r="O12" s="33"/>
      <c r="P12" s="33"/>
      <c r="R12" s="32"/>
    </row>
    <row r="13" spans="1:18">
      <c r="A13" s="6" t="s">
        <v>39</v>
      </c>
      <c r="B13" s="37">
        <f t="shared" si="0"/>
        <v>14.405670000000001</v>
      </c>
      <c r="C13" s="33"/>
      <c r="D13" s="37">
        <f>IF( ISERROR(IND_papier_gas_kWh/1000),0,IND_papier_gas_kWh/1000)*0.902</f>
        <v>3161.5249727250516</v>
      </c>
      <c r="E13" s="33">
        <f>C35*'E Balans VL '!I23/100/3.6*1000000</f>
        <v>2.9835114929310992E-2</v>
      </c>
      <c r="F13" s="33">
        <f>C35*'E Balans VL '!L23/100/3.6*1000000+C35*'E Balans VL '!N23/100/3.6*1000000</f>
        <v>0.28569531940185106</v>
      </c>
      <c r="G13" s="34"/>
      <c r="H13" s="33"/>
      <c r="I13" s="33"/>
      <c r="J13" s="40">
        <f>C35*'E Balans VL '!D23/100/3.6*1000000+C35*'E Balans VL '!E23/100/3.6*1000000</f>
        <v>0</v>
      </c>
      <c r="K13" s="33"/>
      <c r="L13" s="33"/>
      <c r="M13" s="33"/>
      <c r="N13" s="33">
        <f>C35*'E Balans VL '!Y23/100/3.6*1000000</f>
        <v>6.082763455851647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8551.4359999999997</v>
      </c>
      <c r="C15" s="33"/>
      <c r="D15" s="37">
        <f>IF( ISERROR(IND_rest_gas_kWh/1000),0,IND_rest_gas_kWh/1000)*0.902</f>
        <v>4047.3003554146067</v>
      </c>
      <c r="E15" s="33">
        <f>C37*'E Balans VL '!I15/100/3.6*1000000</f>
        <v>435.03814726677257</v>
      </c>
      <c r="F15" s="33">
        <f>C37*'E Balans VL '!L15/100/3.6*1000000+C37*'E Balans VL '!N15/100/3.6*1000000</f>
        <v>1949.1940054673364</v>
      </c>
      <c r="G15" s="34"/>
      <c r="H15" s="33"/>
      <c r="I15" s="33"/>
      <c r="J15" s="40">
        <f>C37*'E Balans VL '!D15/100/3.6*1000000+C37*'E Balans VL '!E15/100/3.6*1000000</f>
        <v>35.876099079746339</v>
      </c>
      <c r="K15" s="33"/>
      <c r="L15" s="33"/>
      <c r="M15" s="33"/>
      <c r="N15" s="33">
        <f>C37*'E Balans VL '!Y15/100/3.6*1000000</f>
        <v>1606.6769772593677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14518.012220000001</v>
      </c>
      <c r="C18" s="21">
        <f>C5+C16</f>
        <v>0</v>
      </c>
      <c r="D18" s="21">
        <f>MAX((D5+D16),0)</f>
        <v>13874.133134736954</v>
      </c>
      <c r="E18" s="21">
        <f>MAX((E5+E16),0)</f>
        <v>919.38146697164416</v>
      </c>
      <c r="F18" s="21">
        <f>MAX((F5+F16),0)</f>
        <v>11188.651525007715</v>
      </c>
      <c r="G18" s="21"/>
      <c r="H18" s="21"/>
      <c r="I18" s="21"/>
      <c r="J18" s="21">
        <f>MAX((J5+J16),0)</f>
        <v>136.54379225499292</v>
      </c>
      <c r="K18" s="21"/>
      <c r="L18" s="21">
        <f>MAX((L5+L16),0)</f>
        <v>0</v>
      </c>
      <c r="M18" s="21"/>
      <c r="N18" s="21">
        <f>MAX((N5+N16),0)</f>
        <v>4348.1341556323632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0.17436291810355908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2531.40297574233</v>
      </c>
      <c r="C22" s="23">
        <f ca="1">C18*C20</f>
        <v>0</v>
      </c>
      <c r="D22" s="23">
        <f>D18*D20</f>
        <v>2802.5748932168649</v>
      </c>
      <c r="E22" s="23">
        <f>E18*E20</f>
        <v>208.69959300256323</v>
      </c>
      <c r="F22" s="23">
        <f>F18*F20</f>
        <v>2987.3699571770603</v>
      </c>
      <c r="G22" s="23"/>
      <c r="H22" s="23"/>
      <c r="I22" s="23"/>
      <c r="J22" s="23">
        <f>J18*J20</f>
        <v>48.336502458267489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127.46510000000001</v>
      </c>
      <c r="C30" s="39">
        <f>IF(ISERROR(B30*3.6/1000000/'E Balans VL '!Z18*100),0,B30*3.6/1000000/'E Balans VL '!Z18*100)</f>
        <v>1.7840866178615522E-2</v>
      </c>
      <c r="D30" s="237" t="s">
        <v>692</v>
      </c>
    </row>
    <row r="31" spans="1:18">
      <c r="A31" s="6" t="s">
        <v>33</v>
      </c>
      <c r="B31" s="37">
        <f>IF( ISERROR(IND_ander_ele_kWh/1000),0,IND_ander_ele_kWh/1000)</f>
        <v>1593.62</v>
      </c>
      <c r="C31" s="39">
        <f>IF(ISERROR(B31*3.6/1000000/'E Balans VL '!Z19*100),0,B31*3.6/1000000/'E Balans VL '!Z19*100)</f>
        <v>6.9752488878106686E-2</v>
      </c>
      <c r="D31" s="237" t="s">
        <v>692</v>
      </c>
    </row>
    <row r="32" spans="1:18">
      <c r="A32" s="171" t="s">
        <v>41</v>
      </c>
      <c r="B32" s="37">
        <f>IF( ISERROR(IND_voed_ele_kWh/1000),0,IND_voed_ele_kWh/1000)</f>
        <v>4204.5370000000003</v>
      </c>
      <c r="C32" s="39">
        <f>IF(ISERROR(B32*3.6/1000000/'E Balans VL '!Z20*100),0,B32*3.6/1000000/'E Balans VL '!Z20*100)</f>
        <v>1.040903735413339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26.548449999999999</v>
      </c>
      <c r="C34" s="39">
        <f>IF(ISERROR(B34*3.6/1000000/'E Balans VL '!Z22*100),0,B34*3.6/1000000/'E Balans VL '!Z22*100)</f>
        <v>7.5333669914516164E-4</v>
      </c>
      <c r="D34" s="237" t="s">
        <v>692</v>
      </c>
    </row>
    <row r="35" spans="1:5">
      <c r="A35" s="171" t="s">
        <v>39</v>
      </c>
      <c r="B35" s="37">
        <f>IF( ISERROR(IND_papier_ele_kWh/1000),0,IND_papier_ele_kWh/1000)</f>
        <v>14.405670000000001</v>
      </c>
      <c r="C35" s="39">
        <f>IF(ISERROR(B35*3.6/1000000/'E Balans VL '!Z22*100),0,B35*3.6/1000000/'E Balans VL '!Z22*100)</f>
        <v>4.0877414262506778E-4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8551.4359999999997</v>
      </c>
      <c r="C37" s="39">
        <f>IF(ISERROR(B37*3.6/1000000/'E Balans VL '!Z15*100),0,B37*3.6/1000000/'E Balans VL '!Z15*100)</f>
        <v>6.3407433872202656E-2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990.07439999999997</v>
      </c>
      <c r="C5" s="17">
        <f>'Eigen informatie GS &amp; warmtenet'!B60</f>
        <v>0</v>
      </c>
      <c r="D5" s="30">
        <f>IF(ISERROR(SUM(LB_lb_gas_kWh,LB_rest_gas_kWh,onbekend_gas_kWh)/1000),0,SUM(LB_lb_gas_kWh,LB_rest_gas_kWh,onbekend_gas_kWh)/1000)*0.902</f>
        <v>8556.216543309296</v>
      </c>
      <c r="E5" s="17">
        <f>B17*'E Balans VL '!I25/3.6*1000000/100</f>
        <v>9.1704837740770202</v>
      </c>
      <c r="F5" s="17">
        <f>B17*('E Balans VL '!L25/3.6*1000000+'E Balans VL '!N25/3.6*1000000)/100</f>
        <v>2512.0073617796456</v>
      </c>
      <c r="G5" s="18"/>
      <c r="H5" s="17"/>
      <c r="I5" s="17"/>
      <c r="J5" s="17">
        <f>('E Balans VL '!D25+'E Balans VL '!E25)/3.6*1000000*landbouw!B17/100</f>
        <v>151.78945478255233</v>
      </c>
      <c r="K5" s="17"/>
      <c r="L5" s="17">
        <f>L6*(-1)</f>
        <v>59400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-59400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990.07439999999997</v>
      </c>
      <c r="C8" s="21">
        <f>C5+C6</f>
        <v>0</v>
      </c>
      <c r="D8" s="21">
        <f>MAX((D5+D6),0)</f>
        <v>8556.216543309296</v>
      </c>
      <c r="E8" s="21">
        <f>MAX((E5+E6),0)</f>
        <v>9.1704837740770202</v>
      </c>
      <c r="F8" s="21">
        <f>MAX((F5+F6),0)</f>
        <v>2512.0073617796456</v>
      </c>
      <c r="G8" s="21"/>
      <c r="H8" s="21"/>
      <c r="I8" s="21"/>
      <c r="J8" s="21">
        <f>MAX((J5+J6),0)</f>
        <v>151.78945478255233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0.17436291810355908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172.6322615236304</v>
      </c>
      <c r="C12" s="23">
        <f ca="1">C8*C10</f>
        <v>0</v>
      </c>
      <c r="D12" s="23">
        <f>D8*D10</f>
        <v>1728.3557417484778</v>
      </c>
      <c r="E12" s="23">
        <f>E8*E10</f>
        <v>2.0816998167154837</v>
      </c>
      <c r="F12" s="23">
        <f>F8*F10</f>
        <v>670.70596559516537</v>
      </c>
      <c r="G12" s="23"/>
      <c r="H12" s="23"/>
      <c r="I12" s="23"/>
      <c r="J12" s="23">
        <f>J8*J10</f>
        <v>53.733466993023519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0.14076758647406387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159.11052006306133</v>
      </c>
      <c r="C26" s="247">
        <f>B26*'GWP N2O_CH4'!B5</f>
        <v>3341.3209213242881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46.243024077964741</v>
      </c>
      <c r="C27" s="247">
        <f>B27*'GWP N2O_CH4'!B5</f>
        <v>971.10350563725956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2.9568549417676269</v>
      </c>
      <c r="C28" s="247">
        <f>B28*'GWP N2O_CH4'!B4</f>
        <v>916.62503194796432</v>
      </c>
      <c r="D28" s="50"/>
    </row>
    <row r="29" spans="1:4">
      <c r="A29" s="41" t="s">
        <v>277</v>
      </c>
      <c r="B29" s="247">
        <f>B34*'ha_N2O bodem landbouw'!B4</f>
        <v>15.96030681283799</v>
      </c>
      <c r="C29" s="247">
        <f>B29*'GWP N2O_CH4'!B4</f>
        <v>4947.6951119797768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3.5796156404408969E-3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1.7386122614394611E-4</v>
      </c>
      <c r="C5" s="464" t="s">
        <v>211</v>
      </c>
      <c r="D5" s="449">
        <f>SUM(D6:D11)</f>
        <v>4.6417403381964758E-4</v>
      </c>
      <c r="E5" s="449">
        <f>SUM(E6:E11)</f>
        <v>3.2390145778215902E-3</v>
      </c>
      <c r="F5" s="462" t="s">
        <v>211</v>
      </c>
      <c r="G5" s="449">
        <f>SUM(G6:G11)</f>
        <v>0.94075470726195953</v>
      </c>
      <c r="H5" s="449">
        <f>SUM(H6:H11)</f>
        <v>0.17830278421462525</v>
      </c>
      <c r="I5" s="464" t="s">
        <v>211</v>
      </c>
      <c r="J5" s="464" t="s">
        <v>211</v>
      </c>
      <c r="K5" s="464" t="s">
        <v>211</v>
      </c>
      <c r="L5" s="464" t="s">
        <v>211</v>
      </c>
      <c r="M5" s="449">
        <f>SUM(M6:M11)</f>
        <v>5.9907200368491141E-2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7.1913659560460746E-5</v>
      </c>
      <c r="C6" s="450"/>
      <c r="D6" s="963">
        <f>vkm_2011_GW_PW*SUMIFS(TableVerdeelsleutelVkm[CNG],TableVerdeelsleutelVkm[Voertuigtype],"Lichte voertuigen")*SUMIFS(TableECFTransport[EnergieConsumptieFactor (PJ per km)],TableECFTransport[Index],CONCATENATE($A6,"_CNG_CNG"))</f>
        <v>1.6634421192928886E-4</v>
      </c>
      <c r="E6" s="963">
        <f>vkm_2011_GW_PW*SUMIFS(TableVerdeelsleutelVkm[LPG],TableVerdeelsleutelVkm[Voertuigtype],"Lichte voertuigen")*SUMIFS(TableECFTransport[EnergieConsumptieFactor (PJ per km)],TableECFTransport[Index],CONCATENATE($A6,"_LPG_LPG"))</f>
        <v>1.0831330556276876E-3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0.22501287899595629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6.3426480558885251E-2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1.4968507510926933E-2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0.11388979550435363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3.8948241727454805E-5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6.5891702265840017E-3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3.0359342417972122E-5</v>
      </c>
      <c r="C8" s="450"/>
      <c r="D8" s="452">
        <f>vkm_2011_NGW_PW*SUMIFS(TableVerdeelsleutelVkm[CNG],TableVerdeelsleutelVkm[Voertuigtype],"Lichte voertuigen")*SUMIFS(TableECFTransport[EnergieConsumptieFactor (PJ per km)],TableECFTransport[Index],CONCATENATE($A8,"_CNG_CNG"))</f>
        <v>1.2420662035830102E-4</v>
      </c>
      <c r="E8" s="452">
        <f>vkm_2011_NGW_PW*SUMIFS(TableVerdeelsleutelVkm[LPG],TableVerdeelsleutelVkm[Voertuigtype],"Lichte voertuigen")*SUMIFS(TableECFTransport[EnergieConsumptieFactor (PJ per km)],TableECFTransport[Index],CONCATENATE($A8,"_LPG_LPG"))</f>
        <v>7.4639995900607477E-4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0.14494977552927921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4.5793352766311385E-2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9.7944041729169668E-3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4.0044817768809866E-2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1.295803656052983E-5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2.3167970168821309E-3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7.1588224165513239E-5</v>
      </c>
      <c r="C10" s="450"/>
      <c r="D10" s="452">
        <f>vkm_2011_SW_PW*SUMIFS(TableVerdeelsleutelVkm[CNG],TableVerdeelsleutelVkm[Voertuigtype],"Lichte voertuigen")*SUMIFS(TableECFTransport[EnergieConsumptieFactor (PJ per km)],TableECFTransport[Index],CONCATENATE($A10,"_CNG_CNG"))</f>
        <v>1.7362320153205773E-4</v>
      </c>
      <c r="E10" s="452">
        <f>vkm_2011_SW_PW*SUMIFS(TableVerdeelsleutelVkm[LPG],TableVerdeelsleutelVkm[Voertuigtype],"Lichte voertuigen")*SUMIFS(TableECFTransport[EnergieConsumptieFactor (PJ per km)],TableECFTransport[Index],CONCATENATE($A10,"_LPG_LPG"))</f>
        <v>1.4094815631878277E-3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0.26361352203423538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6.8974564686192272E-2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1.737216679437523E-2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0.15324391742932519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5.6479924948374083E-5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8.866154646805879E-3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48.29478503998503</v>
      </c>
      <c r="C14" s="21"/>
      <c r="D14" s="21">
        <f t="shared" ref="D14:M14" si="0">((D5)*10^9/3600)+D12</f>
        <v>128.93723161656877</v>
      </c>
      <c r="E14" s="21">
        <f t="shared" si="0"/>
        <v>899.7262716171083</v>
      </c>
      <c r="F14" s="21"/>
      <c r="G14" s="21">
        <f t="shared" si="0"/>
        <v>261320.75201721099</v>
      </c>
      <c r="H14" s="21">
        <f t="shared" si="0"/>
        <v>49528.551170729232</v>
      </c>
      <c r="I14" s="21"/>
      <c r="J14" s="21"/>
      <c r="K14" s="21"/>
      <c r="L14" s="21"/>
      <c r="M14" s="21">
        <f t="shared" si="0"/>
        <v>16640.888991247539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0.17436291810355908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8.4208196487559004</v>
      </c>
      <c r="C18" s="23"/>
      <c r="D18" s="23">
        <f t="shared" ref="D18:M18" si="1">D14*D16</f>
        <v>26.045320786546892</v>
      </c>
      <c r="E18" s="23">
        <f t="shared" si="1"/>
        <v>204.23786365708358</v>
      </c>
      <c r="F18" s="23"/>
      <c r="G18" s="23">
        <f t="shared" si="1"/>
        <v>69772.640788595338</v>
      </c>
      <c r="H18" s="23">
        <f t="shared" si="1"/>
        <v>12332.609241511578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1.7018507843099689E-2</v>
      </c>
      <c r="H50" s="321">
        <f t="shared" si="2"/>
        <v>0</v>
      </c>
      <c r="I50" s="321">
        <f t="shared" si="2"/>
        <v>0</v>
      </c>
      <c r="J50" s="321">
        <f t="shared" si="2"/>
        <v>0</v>
      </c>
      <c r="K50" s="321">
        <f t="shared" si="2"/>
        <v>0</v>
      </c>
      <c r="L50" s="321">
        <f t="shared" si="2"/>
        <v>0</v>
      </c>
      <c r="M50" s="321">
        <f t="shared" si="2"/>
        <v>9.7051589066160483E-4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1.7018507843099689E-2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9.7051589066160483E-4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4727.3632897499137</v>
      </c>
      <c r="H54" s="21">
        <f t="shared" si="3"/>
        <v>0</v>
      </c>
      <c r="I54" s="21">
        <f t="shared" si="3"/>
        <v>0</v>
      </c>
      <c r="J54" s="21">
        <f t="shared" si="3"/>
        <v>0</v>
      </c>
      <c r="K54" s="21">
        <f t="shared" si="3"/>
        <v>0</v>
      </c>
      <c r="L54" s="21">
        <f t="shared" si="3"/>
        <v>0</v>
      </c>
      <c r="M54" s="21">
        <f t="shared" si="3"/>
        <v>269.58774740600131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0.17436291810355908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1262.2059983632271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11188.82971097637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23760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34948.829710976366</v>
      </c>
      <c r="C9" s="595">
        <f t="shared" ref="C9:L9" si="0">SUM(C7:C8)</f>
        <v>0</v>
      </c>
      <c r="D9" s="595">
        <f t="shared" si="0"/>
        <v>0</v>
      </c>
      <c r="E9" s="595">
        <f t="shared" si="0"/>
        <v>0</v>
      </c>
      <c r="F9" s="595">
        <f t="shared" si="0"/>
        <v>0</v>
      </c>
      <c r="G9" s="595">
        <f t="shared" si="0"/>
        <v>0</v>
      </c>
      <c r="H9" s="595">
        <f t="shared" si="0"/>
        <v>0</v>
      </c>
      <c r="I9" s="595">
        <f t="shared" si="0"/>
        <v>59400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23002</v>
      </c>
      <c r="C63" s="852">
        <v>1730</v>
      </c>
      <c r="D63" s="675" t="s">
        <v>871</v>
      </c>
      <c r="E63" s="675" t="s">
        <v>872</v>
      </c>
      <c r="F63" s="675" t="s">
        <v>873</v>
      </c>
      <c r="G63" s="675" t="s">
        <v>874</v>
      </c>
      <c r="H63" s="675" t="s">
        <v>875</v>
      </c>
      <c r="I63" s="675" t="s">
        <v>872</v>
      </c>
      <c r="J63" s="851">
        <v>38353</v>
      </c>
      <c r="K63" s="851">
        <v>38505</v>
      </c>
      <c r="L63" s="675" t="s">
        <v>876</v>
      </c>
      <c r="M63" s="675">
        <v>5280</v>
      </c>
      <c r="N63" s="675">
        <v>23760</v>
      </c>
      <c r="O63" s="675">
        <v>0</v>
      </c>
      <c r="P63" s="675">
        <v>0</v>
      </c>
      <c r="Q63" s="675">
        <v>0</v>
      </c>
      <c r="R63" s="675">
        <v>0</v>
      </c>
      <c r="S63" s="675">
        <v>0</v>
      </c>
      <c r="T63" s="675">
        <v>59400</v>
      </c>
      <c r="U63" s="675">
        <v>0</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5280</v>
      </c>
      <c r="N88" s="630">
        <f t="shared" ref="N88:W88" si="5">SUM(N63:N87)</f>
        <v>23760</v>
      </c>
      <c r="O88" s="630">
        <f t="shared" si="5"/>
        <v>0</v>
      </c>
      <c r="P88" s="630">
        <f t="shared" si="5"/>
        <v>0</v>
      </c>
      <c r="Q88" s="630">
        <f t="shared" si="5"/>
        <v>0</v>
      </c>
      <c r="R88" s="630">
        <f t="shared" si="5"/>
        <v>0</v>
      </c>
      <c r="S88" s="630">
        <f t="shared" si="5"/>
        <v>0</v>
      </c>
      <c r="T88" s="630">
        <f t="shared" si="5"/>
        <v>59400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5280</v>
      </c>
      <c r="N91" s="635">
        <f t="shared" si="8"/>
        <v>23760</v>
      </c>
      <c r="O91" s="635">
        <f t="shared" si="8"/>
        <v>0</v>
      </c>
      <c r="P91" s="635">
        <f t="shared" si="8"/>
        <v>0</v>
      </c>
      <c r="Q91" s="635">
        <f t="shared" si="8"/>
        <v>0</v>
      </c>
      <c r="R91" s="635">
        <f t="shared" si="8"/>
        <v>0</v>
      </c>
      <c r="S91" s="635">
        <f t="shared" si="8"/>
        <v>0</v>
      </c>
      <c r="T91" s="635">
        <f t="shared" si="8"/>
        <v>59400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96983.799500000008</v>
      </c>
      <c r="D10" s="719">
        <f ca="1">tertiair!C16</f>
        <v>0</v>
      </c>
      <c r="E10" s="719">
        <f ca="1">tertiair!D16</f>
        <v>70919.977073797345</v>
      </c>
      <c r="F10" s="719">
        <f>tertiair!E16</f>
        <v>833.33944895961213</v>
      </c>
      <c r="G10" s="719">
        <f ca="1">tertiair!F16</f>
        <v>12787.71070720551</v>
      </c>
      <c r="H10" s="719">
        <f>tertiair!G16</f>
        <v>0</v>
      </c>
      <c r="I10" s="719">
        <f>tertiair!H16</f>
        <v>0</v>
      </c>
      <c r="J10" s="719">
        <f>tertiair!I16</f>
        <v>0</v>
      </c>
      <c r="K10" s="719">
        <f>tertiair!J16</f>
        <v>0</v>
      </c>
      <c r="L10" s="719">
        <f>tertiair!K16</f>
        <v>0</v>
      </c>
      <c r="M10" s="719">
        <f ca="1">tertiair!L16</f>
        <v>0</v>
      </c>
      <c r="N10" s="719">
        <f>tertiair!M16</f>
        <v>0</v>
      </c>
      <c r="O10" s="719">
        <f ca="1">tertiair!N16</f>
        <v>4554.4963394985107</v>
      </c>
      <c r="P10" s="719">
        <f>tertiair!O16</f>
        <v>3.1266666666666669</v>
      </c>
      <c r="Q10" s="720">
        <f>tertiair!P16</f>
        <v>19.066666666666666</v>
      </c>
      <c r="R10" s="722">
        <f ca="1">SUM(C10:Q10)</f>
        <v>186101.51640279437</v>
      </c>
      <c r="S10" s="67"/>
    </row>
    <row r="11" spans="1:19" s="475" customFormat="1">
      <c r="A11" s="871" t="s">
        <v>225</v>
      </c>
      <c r="B11" s="876"/>
      <c r="C11" s="719">
        <f>huishoudens!B8</f>
        <v>53072.482924924218</v>
      </c>
      <c r="D11" s="719">
        <f>huishoudens!C8</f>
        <v>0</v>
      </c>
      <c r="E11" s="719">
        <f>huishoudens!D8</f>
        <v>102084.77764037828</v>
      </c>
      <c r="F11" s="719">
        <f>huishoudens!E8</f>
        <v>3985.6001964849656</v>
      </c>
      <c r="G11" s="719">
        <f>huishoudens!F8</f>
        <v>61245.817044107491</v>
      </c>
      <c r="H11" s="719">
        <f>huishoudens!G8</f>
        <v>0</v>
      </c>
      <c r="I11" s="719">
        <f>huishoudens!H8</f>
        <v>0</v>
      </c>
      <c r="J11" s="719">
        <f>huishoudens!I8</f>
        <v>0</v>
      </c>
      <c r="K11" s="719">
        <f>huishoudens!J8</f>
        <v>0</v>
      </c>
      <c r="L11" s="719">
        <f>huishoudens!K8</f>
        <v>0</v>
      </c>
      <c r="M11" s="719">
        <f>huishoudens!L8</f>
        <v>0</v>
      </c>
      <c r="N11" s="719">
        <f>huishoudens!M8</f>
        <v>0</v>
      </c>
      <c r="O11" s="719">
        <f>huishoudens!N8</f>
        <v>11450.329569946078</v>
      </c>
      <c r="P11" s="719">
        <f>huishoudens!O8</f>
        <v>167.27666666666667</v>
      </c>
      <c r="Q11" s="720">
        <f>huishoudens!P8</f>
        <v>991.4666666666667</v>
      </c>
      <c r="R11" s="722">
        <f>SUM(C11:Q11)</f>
        <v>232997.7507091744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14518.012220000001</v>
      </c>
      <c r="D13" s="719">
        <f>industrie!C18</f>
        <v>0</v>
      </c>
      <c r="E13" s="719">
        <f>industrie!D18</f>
        <v>13874.133134736954</v>
      </c>
      <c r="F13" s="719">
        <f>industrie!E18</f>
        <v>919.38146697164416</v>
      </c>
      <c r="G13" s="719">
        <f>industrie!F18</f>
        <v>11188.651525007715</v>
      </c>
      <c r="H13" s="719">
        <f>industrie!G18</f>
        <v>0</v>
      </c>
      <c r="I13" s="719">
        <f>industrie!H18</f>
        <v>0</v>
      </c>
      <c r="J13" s="719">
        <f>industrie!I18</f>
        <v>0</v>
      </c>
      <c r="K13" s="719">
        <f>industrie!J18</f>
        <v>136.54379225499292</v>
      </c>
      <c r="L13" s="719">
        <f>industrie!K18</f>
        <v>0</v>
      </c>
      <c r="M13" s="719">
        <f>industrie!L18</f>
        <v>0</v>
      </c>
      <c r="N13" s="719">
        <f>industrie!M18</f>
        <v>0</v>
      </c>
      <c r="O13" s="719">
        <f>industrie!N18</f>
        <v>4348.1341556323632</v>
      </c>
      <c r="P13" s="719">
        <f>industrie!O18</f>
        <v>0</v>
      </c>
      <c r="Q13" s="720">
        <f>industrie!P18</f>
        <v>0</v>
      </c>
      <c r="R13" s="722">
        <f>SUM(C13:Q13)</f>
        <v>44984.856294603662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164574.29464492423</v>
      </c>
      <c r="D15" s="724">
        <f t="shared" ref="D15:Q15" ca="1" si="0">SUM(D9:D14)</f>
        <v>0</v>
      </c>
      <c r="E15" s="724">
        <f t="shared" ca="1" si="0"/>
        <v>186878.88784891256</v>
      </c>
      <c r="F15" s="724">
        <f t="shared" si="0"/>
        <v>5738.3211124162217</v>
      </c>
      <c r="G15" s="724">
        <f t="shared" ca="1" si="0"/>
        <v>85222.17927632072</v>
      </c>
      <c r="H15" s="724">
        <f t="shared" si="0"/>
        <v>0</v>
      </c>
      <c r="I15" s="724">
        <f t="shared" si="0"/>
        <v>0</v>
      </c>
      <c r="J15" s="724">
        <f t="shared" si="0"/>
        <v>0</v>
      </c>
      <c r="K15" s="724">
        <f t="shared" si="0"/>
        <v>136.54379225499292</v>
      </c>
      <c r="L15" s="724">
        <f t="shared" si="0"/>
        <v>0</v>
      </c>
      <c r="M15" s="724">
        <f t="shared" ca="1" si="0"/>
        <v>0</v>
      </c>
      <c r="N15" s="724">
        <f t="shared" si="0"/>
        <v>0</v>
      </c>
      <c r="O15" s="724">
        <f t="shared" ca="1" si="0"/>
        <v>20352.960065076953</v>
      </c>
      <c r="P15" s="724">
        <f t="shared" si="0"/>
        <v>170.40333333333334</v>
      </c>
      <c r="Q15" s="725">
        <f t="shared" si="0"/>
        <v>1010.5333333333334</v>
      </c>
      <c r="R15" s="726">
        <f ca="1">SUM(R9:R14)</f>
        <v>464084.12340657244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4727.3632897499137</v>
      </c>
      <c r="I18" s="719">
        <f>transport!H54</f>
        <v>0</v>
      </c>
      <c r="J18" s="719">
        <f>transport!I54</f>
        <v>0</v>
      </c>
      <c r="K18" s="719">
        <f>transport!J54</f>
        <v>0</v>
      </c>
      <c r="L18" s="719">
        <f>transport!K54</f>
        <v>0</v>
      </c>
      <c r="M18" s="719">
        <f>transport!L54</f>
        <v>0</v>
      </c>
      <c r="N18" s="719">
        <f>transport!M54</f>
        <v>269.58774740600131</v>
      </c>
      <c r="O18" s="719">
        <f>transport!N54</f>
        <v>0</v>
      </c>
      <c r="P18" s="719">
        <f>transport!O54</f>
        <v>0</v>
      </c>
      <c r="Q18" s="720">
        <f>transport!P54</f>
        <v>0</v>
      </c>
      <c r="R18" s="722">
        <f>SUM(C18:Q18)</f>
        <v>4996.9510371559154</v>
      </c>
      <c r="S18" s="67"/>
    </row>
    <row r="19" spans="1:19" s="475" customFormat="1" ht="15" thickBot="1">
      <c r="A19" s="871" t="s">
        <v>307</v>
      </c>
      <c r="B19" s="876"/>
      <c r="C19" s="728">
        <f>transport!B14</f>
        <v>48.29478503998503</v>
      </c>
      <c r="D19" s="728">
        <f>transport!C14</f>
        <v>0</v>
      </c>
      <c r="E19" s="728">
        <f>transport!D14</f>
        <v>128.93723161656877</v>
      </c>
      <c r="F19" s="728">
        <f>transport!E14</f>
        <v>899.7262716171083</v>
      </c>
      <c r="G19" s="728">
        <f>transport!F14</f>
        <v>0</v>
      </c>
      <c r="H19" s="728">
        <f>transport!G14</f>
        <v>261320.75201721099</v>
      </c>
      <c r="I19" s="728">
        <f>transport!H14</f>
        <v>49528.551170729232</v>
      </c>
      <c r="J19" s="728">
        <f>transport!I14</f>
        <v>0</v>
      </c>
      <c r="K19" s="728">
        <f>transport!J14</f>
        <v>0</v>
      </c>
      <c r="L19" s="728">
        <f>transport!K14</f>
        <v>0</v>
      </c>
      <c r="M19" s="728">
        <f>transport!L14</f>
        <v>0</v>
      </c>
      <c r="N19" s="728">
        <f>transport!M14</f>
        <v>16640.888991247539</v>
      </c>
      <c r="O19" s="728">
        <f>transport!N14</f>
        <v>0</v>
      </c>
      <c r="P19" s="728">
        <f>transport!O14</f>
        <v>0</v>
      </c>
      <c r="Q19" s="729">
        <f>transport!P14</f>
        <v>0</v>
      </c>
      <c r="R19" s="730">
        <f>SUM(C19:Q19)</f>
        <v>328567.15046746138</v>
      </c>
      <c r="S19" s="67"/>
    </row>
    <row r="20" spans="1:19" s="475" customFormat="1" ht="15.75" thickBot="1">
      <c r="A20" s="731" t="s">
        <v>230</v>
      </c>
      <c r="B20" s="879"/>
      <c r="C20" s="874">
        <f>SUM(C17:C19)</f>
        <v>48.29478503998503</v>
      </c>
      <c r="D20" s="732">
        <f t="shared" ref="D20:R20" si="1">SUM(D17:D19)</f>
        <v>0</v>
      </c>
      <c r="E20" s="732">
        <f t="shared" si="1"/>
        <v>128.93723161656877</v>
      </c>
      <c r="F20" s="732">
        <f t="shared" si="1"/>
        <v>899.7262716171083</v>
      </c>
      <c r="G20" s="732">
        <f t="shared" si="1"/>
        <v>0</v>
      </c>
      <c r="H20" s="732">
        <f t="shared" si="1"/>
        <v>266048.11530696088</v>
      </c>
      <c r="I20" s="732">
        <f t="shared" si="1"/>
        <v>49528.551170729232</v>
      </c>
      <c r="J20" s="732">
        <f t="shared" si="1"/>
        <v>0</v>
      </c>
      <c r="K20" s="732">
        <f t="shared" si="1"/>
        <v>0</v>
      </c>
      <c r="L20" s="732">
        <f t="shared" si="1"/>
        <v>0</v>
      </c>
      <c r="M20" s="732">
        <f t="shared" si="1"/>
        <v>0</v>
      </c>
      <c r="N20" s="732">
        <f t="shared" si="1"/>
        <v>16910.476738653539</v>
      </c>
      <c r="O20" s="732">
        <f t="shared" si="1"/>
        <v>0</v>
      </c>
      <c r="P20" s="732">
        <f t="shared" si="1"/>
        <v>0</v>
      </c>
      <c r="Q20" s="733">
        <f t="shared" si="1"/>
        <v>0</v>
      </c>
      <c r="R20" s="734">
        <f t="shared" si="1"/>
        <v>333564.10150461731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990.07439999999997</v>
      </c>
      <c r="D22" s="728">
        <f>+landbouw!C8</f>
        <v>0</v>
      </c>
      <c r="E22" s="728">
        <f>+landbouw!D8</f>
        <v>8556.216543309296</v>
      </c>
      <c r="F22" s="728">
        <f>+landbouw!E8</f>
        <v>9.1704837740770202</v>
      </c>
      <c r="G22" s="728">
        <f>+landbouw!F8</f>
        <v>2512.0073617796456</v>
      </c>
      <c r="H22" s="728">
        <f>+landbouw!G8</f>
        <v>0</v>
      </c>
      <c r="I22" s="728">
        <f>+landbouw!H8</f>
        <v>0</v>
      </c>
      <c r="J22" s="728">
        <f>+landbouw!I8</f>
        <v>0</v>
      </c>
      <c r="K22" s="728">
        <f>+landbouw!J8</f>
        <v>151.78945478255233</v>
      </c>
      <c r="L22" s="728">
        <f>+landbouw!K8</f>
        <v>0</v>
      </c>
      <c r="M22" s="728">
        <f>+landbouw!L8</f>
        <v>0</v>
      </c>
      <c r="N22" s="728">
        <f>+landbouw!M8</f>
        <v>0</v>
      </c>
      <c r="O22" s="728">
        <f>+landbouw!N8</f>
        <v>0</v>
      </c>
      <c r="P22" s="728">
        <f>+landbouw!O8</f>
        <v>0</v>
      </c>
      <c r="Q22" s="729">
        <f>+landbouw!P8</f>
        <v>0</v>
      </c>
      <c r="R22" s="730">
        <f>SUM(C22:Q22)</f>
        <v>12219.25824364557</v>
      </c>
      <c r="S22" s="67"/>
    </row>
    <row r="23" spans="1:19" s="475" customFormat="1" ht="17.25" thickTop="1" thickBot="1">
      <c r="A23" s="735" t="s">
        <v>116</v>
      </c>
      <c r="B23" s="865"/>
      <c r="C23" s="736">
        <f ca="1">C20+C15+C22</f>
        <v>165612.66382996424</v>
      </c>
      <c r="D23" s="736">
        <f t="shared" ref="D23:Q23" ca="1" si="2">D20+D15+D22</f>
        <v>0</v>
      </c>
      <c r="E23" s="736">
        <f t="shared" ca="1" si="2"/>
        <v>195564.04162383845</v>
      </c>
      <c r="F23" s="736">
        <f t="shared" si="2"/>
        <v>6647.2178678074069</v>
      </c>
      <c r="G23" s="736">
        <f t="shared" ca="1" si="2"/>
        <v>87734.186638100364</v>
      </c>
      <c r="H23" s="736">
        <f t="shared" si="2"/>
        <v>266048.11530696088</v>
      </c>
      <c r="I23" s="736">
        <f t="shared" si="2"/>
        <v>49528.551170729232</v>
      </c>
      <c r="J23" s="736">
        <f t="shared" si="2"/>
        <v>0</v>
      </c>
      <c r="K23" s="736">
        <f t="shared" si="2"/>
        <v>288.33324703754522</v>
      </c>
      <c r="L23" s="736">
        <f t="shared" si="2"/>
        <v>0</v>
      </c>
      <c r="M23" s="736">
        <f t="shared" ca="1" si="2"/>
        <v>0</v>
      </c>
      <c r="N23" s="736">
        <f t="shared" si="2"/>
        <v>16910.476738653539</v>
      </c>
      <c r="O23" s="736">
        <f t="shared" ca="1" si="2"/>
        <v>20352.960065076953</v>
      </c>
      <c r="P23" s="736">
        <f t="shared" si="2"/>
        <v>170.40333333333334</v>
      </c>
      <c r="Q23" s="737">
        <f t="shared" si="2"/>
        <v>1010.5333333333334</v>
      </c>
      <c r="R23" s="738">
        <f ca="1">R20+R15+R22</f>
        <v>809867.4831548353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16910.378289590499</v>
      </c>
      <c r="D36" s="719">
        <f ca="1">tertiair!C20</f>
        <v>0</v>
      </c>
      <c r="E36" s="719">
        <f ca="1">tertiair!D20</f>
        <v>14325.835368907065</v>
      </c>
      <c r="F36" s="719">
        <f>tertiair!E20</f>
        <v>189.16805491383195</v>
      </c>
      <c r="G36" s="719">
        <f ca="1">tertiair!F20</f>
        <v>3414.3187588238711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34839.700472235265</v>
      </c>
    </row>
    <row r="37" spans="1:18">
      <c r="A37" s="886" t="s">
        <v>225</v>
      </c>
      <c r="B37" s="893"/>
      <c r="C37" s="719">
        <f ca="1">huishoudens!B12</f>
        <v>9253.8729937910994</v>
      </c>
      <c r="D37" s="719">
        <f ca="1">huishoudens!C12</f>
        <v>0</v>
      </c>
      <c r="E37" s="719">
        <f>huishoudens!D12</f>
        <v>20621.125083356412</v>
      </c>
      <c r="F37" s="719">
        <f>huishoudens!E12</f>
        <v>904.73124460208726</v>
      </c>
      <c r="G37" s="719">
        <f>huishoudens!F12</f>
        <v>16352.633150776701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47132.3624725263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2531.40297574233</v>
      </c>
      <c r="D39" s="719">
        <f ca="1">industrie!C22</f>
        <v>0</v>
      </c>
      <c r="E39" s="719">
        <f>industrie!D22</f>
        <v>2802.5748932168649</v>
      </c>
      <c r="F39" s="719">
        <f>industrie!E22</f>
        <v>208.69959300256323</v>
      </c>
      <c r="G39" s="719">
        <f>industrie!F22</f>
        <v>2987.3699571770603</v>
      </c>
      <c r="H39" s="719">
        <f>industrie!G22</f>
        <v>0</v>
      </c>
      <c r="I39" s="719">
        <f>industrie!H22</f>
        <v>0</v>
      </c>
      <c r="J39" s="719">
        <f>industrie!I22</f>
        <v>0</v>
      </c>
      <c r="K39" s="719">
        <f>industrie!J22</f>
        <v>48.336502458267489</v>
      </c>
      <c r="L39" s="719">
        <f>industrie!K22</f>
        <v>0</v>
      </c>
      <c r="M39" s="719">
        <f>industrie!L22</f>
        <v>0</v>
      </c>
      <c r="N39" s="719">
        <f>industrie!M22</f>
        <v>0</v>
      </c>
      <c r="O39" s="719">
        <f>industrie!N22</f>
        <v>0</v>
      </c>
      <c r="P39" s="719">
        <f>industrie!O22</f>
        <v>0</v>
      </c>
      <c r="Q39" s="829">
        <f>industrie!P22</f>
        <v>0</v>
      </c>
      <c r="R39" s="919">
        <f ca="1">SUM(C39:Q39)</f>
        <v>8578.3839215970856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28695.65425912393</v>
      </c>
      <c r="D41" s="764">
        <f t="shared" ref="D41:R41" ca="1" si="4">SUM(D35:D40)</f>
        <v>0</v>
      </c>
      <c r="E41" s="764">
        <f t="shared" ca="1" si="4"/>
        <v>37749.535345480341</v>
      </c>
      <c r="F41" s="764">
        <f t="shared" si="4"/>
        <v>1302.5988925184824</v>
      </c>
      <c r="G41" s="764">
        <f t="shared" ca="1" si="4"/>
        <v>22754.321866777631</v>
      </c>
      <c r="H41" s="764">
        <f t="shared" si="4"/>
        <v>0</v>
      </c>
      <c r="I41" s="764">
        <f t="shared" si="4"/>
        <v>0</v>
      </c>
      <c r="J41" s="764">
        <f t="shared" si="4"/>
        <v>0</v>
      </c>
      <c r="K41" s="764">
        <f t="shared" si="4"/>
        <v>48.336502458267489</v>
      </c>
      <c r="L41" s="764">
        <f t="shared" si="4"/>
        <v>0</v>
      </c>
      <c r="M41" s="764">
        <f t="shared" ca="1" si="4"/>
        <v>0</v>
      </c>
      <c r="N41" s="764">
        <f t="shared" si="4"/>
        <v>0</v>
      </c>
      <c r="O41" s="764">
        <f t="shared" ca="1" si="4"/>
        <v>0</v>
      </c>
      <c r="P41" s="764">
        <f t="shared" si="4"/>
        <v>0</v>
      </c>
      <c r="Q41" s="765">
        <f t="shared" si="4"/>
        <v>0</v>
      </c>
      <c r="R41" s="766">
        <f t="shared" ca="1" si="4"/>
        <v>90550.446866358645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1262.2059983632271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1262.2059983632271</v>
      </c>
    </row>
    <row r="45" spans="1:18" ht="15" thickBot="1">
      <c r="A45" s="889" t="s">
        <v>307</v>
      </c>
      <c r="B45" s="899"/>
      <c r="C45" s="728">
        <f ca="1">transport!B18</f>
        <v>8.4208196487559004</v>
      </c>
      <c r="D45" s="728">
        <f>transport!C18</f>
        <v>0</v>
      </c>
      <c r="E45" s="728">
        <f>transport!D18</f>
        <v>26.045320786546892</v>
      </c>
      <c r="F45" s="728">
        <f>transport!E18</f>
        <v>204.23786365708358</v>
      </c>
      <c r="G45" s="728">
        <f>transport!F18</f>
        <v>0</v>
      </c>
      <c r="H45" s="728">
        <f>transport!G18</f>
        <v>69772.640788595338</v>
      </c>
      <c r="I45" s="728">
        <f>transport!H18</f>
        <v>12332.609241511578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82343.954034199298</v>
      </c>
    </row>
    <row r="46" spans="1:18" ht="15.75" thickBot="1">
      <c r="A46" s="887" t="s">
        <v>230</v>
      </c>
      <c r="B46" s="900"/>
      <c r="C46" s="764">
        <f t="shared" ref="C46:R46" ca="1" si="5">SUM(C43:C45)</f>
        <v>8.4208196487559004</v>
      </c>
      <c r="D46" s="764">
        <f t="shared" ca="1" si="5"/>
        <v>0</v>
      </c>
      <c r="E46" s="764">
        <f t="shared" si="5"/>
        <v>26.045320786546892</v>
      </c>
      <c r="F46" s="764">
        <f t="shared" si="5"/>
        <v>204.23786365708358</v>
      </c>
      <c r="G46" s="764">
        <f t="shared" si="5"/>
        <v>0</v>
      </c>
      <c r="H46" s="764">
        <f t="shared" si="5"/>
        <v>71034.846786958558</v>
      </c>
      <c r="I46" s="764">
        <f t="shared" si="5"/>
        <v>12332.609241511578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83606.160032562519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172.6322615236304</v>
      </c>
      <c r="D48" s="719">
        <f ca="1">+landbouw!C12</f>
        <v>0</v>
      </c>
      <c r="E48" s="719">
        <f>+landbouw!D12</f>
        <v>1728.3557417484778</v>
      </c>
      <c r="F48" s="719">
        <f>+landbouw!E12</f>
        <v>2.0816998167154837</v>
      </c>
      <c r="G48" s="719">
        <f>+landbouw!F12</f>
        <v>670.70596559516537</v>
      </c>
      <c r="H48" s="719">
        <f>+landbouw!G12</f>
        <v>0</v>
      </c>
      <c r="I48" s="719">
        <f>+landbouw!H12</f>
        <v>0</v>
      </c>
      <c r="J48" s="719">
        <f>+landbouw!I12</f>
        <v>0</v>
      </c>
      <c r="K48" s="719">
        <f>+landbouw!J12</f>
        <v>53.733466993023519</v>
      </c>
      <c r="L48" s="719">
        <f>+landbouw!K12</f>
        <v>0</v>
      </c>
      <c r="M48" s="719">
        <f>+landbouw!L12</f>
        <v>0</v>
      </c>
      <c r="N48" s="719">
        <f>+landbouw!M12</f>
        <v>0</v>
      </c>
      <c r="O48" s="719">
        <f>+landbouw!N12</f>
        <v>0</v>
      </c>
      <c r="P48" s="719">
        <f>+landbouw!O12</f>
        <v>0</v>
      </c>
      <c r="Q48" s="720">
        <f>+landbouw!P12</f>
        <v>0</v>
      </c>
      <c r="R48" s="762">
        <f ca="1">SUM(C48:Q48)</f>
        <v>2627.5091356770126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28876.707340296318</v>
      </c>
      <c r="D53" s="774">
        <f t="shared" ref="D53:Q53" ca="1" si="6">D41+D46+D48</f>
        <v>0</v>
      </c>
      <c r="E53" s="774">
        <f t="shared" ca="1" si="6"/>
        <v>39503.936408015368</v>
      </c>
      <c r="F53" s="774">
        <f t="shared" si="6"/>
        <v>1508.9184559922815</v>
      </c>
      <c r="G53" s="774">
        <f t="shared" ca="1" si="6"/>
        <v>23425.027832372798</v>
      </c>
      <c r="H53" s="774">
        <f t="shared" si="6"/>
        <v>71034.846786958558</v>
      </c>
      <c r="I53" s="774">
        <f t="shared" si="6"/>
        <v>12332.609241511578</v>
      </c>
      <c r="J53" s="774">
        <f t="shared" si="6"/>
        <v>0</v>
      </c>
      <c r="K53" s="774">
        <f t="shared" si="6"/>
        <v>102.069969451291</v>
      </c>
      <c r="L53" s="774">
        <f t="shared" si="6"/>
        <v>0</v>
      </c>
      <c r="M53" s="774">
        <f t="shared" ca="1" si="6"/>
        <v>0</v>
      </c>
      <c r="N53" s="774">
        <f t="shared" si="6"/>
        <v>0</v>
      </c>
      <c r="O53" s="774">
        <f t="shared" ca="1" si="6"/>
        <v>0</v>
      </c>
      <c r="P53" s="774">
        <f>P41+P46+P48</f>
        <v>0</v>
      </c>
      <c r="Q53" s="775">
        <f t="shared" si="6"/>
        <v>0</v>
      </c>
      <c r="R53" s="776">
        <f ca="1">R41+R46+R48</f>
        <v>176784.11603459818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0.17436291810355908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11188.82971097637</v>
      </c>
      <c r="C66" s="796">
        <f>'lokale energieproductie'!B6</f>
        <v>11188.82971097637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23760</v>
      </c>
      <c r="C68" s="795">
        <f>B68*IFERROR(SUM(J68:L68)/SUM(D68:M68),0)</f>
        <v>23760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59400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34948.829710976366</v>
      </c>
      <c r="C69" s="804">
        <f>SUM(C64:C68)</f>
        <v>34948.829710976366</v>
      </c>
      <c r="D69" s="805">
        <f t="shared" ref="D69:M69" si="8">SUM(D67:D68)</f>
        <v>0</v>
      </c>
      <c r="E69" s="805">
        <f t="shared" si="8"/>
        <v>0</v>
      </c>
      <c r="F69" s="805">
        <f t="shared" si="8"/>
        <v>0</v>
      </c>
      <c r="G69" s="805">
        <f t="shared" si="8"/>
        <v>0</v>
      </c>
      <c r="H69" s="805">
        <f t="shared" si="8"/>
        <v>0</v>
      </c>
      <c r="I69" s="805">
        <f t="shared" si="8"/>
        <v>0</v>
      </c>
      <c r="J69" s="805">
        <f t="shared" si="8"/>
        <v>59400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53072.482924924218</v>
      </c>
      <c r="C4" s="479">
        <f>huishoudens!C8</f>
        <v>0</v>
      </c>
      <c r="D4" s="479">
        <f>huishoudens!D8</f>
        <v>102084.77764037828</v>
      </c>
      <c r="E4" s="479">
        <f>huishoudens!E8</f>
        <v>3985.6001964849656</v>
      </c>
      <c r="F4" s="479">
        <f>huishoudens!F8</f>
        <v>61245.817044107491</v>
      </c>
      <c r="G4" s="479">
        <f>huishoudens!G8</f>
        <v>0</v>
      </c>
      <c r="H4" s="479">
        <f>huishoudens!H8</f>
        <v>0</v>
      </c>
      <c r="I4" s="479">
        <f>huishoudens!I8</f>
        <v>0</v>
      </c>
      <c r="J4" s="479">
        <f>huishoudens!J8</f>
        <v>0</v>
      </c>
      <c r="K4" s="479">
        <f>huishoudens!K8</f>
        <v>0</v>
      </c>
      <c r="L4" s="479">
        <f>huishoudens!L8</f>
        <v>0</v>
      </c>
      <c r="M4" s="479">
        <f>huishoudens!M8</f>
        <v>0</v>
      </c>
      <c r="N4" s="479">
        <f>huishoudens!N8</f>
        <v>11450.329569946078</v>
      </c>
      <c r="O4" s="479">
        <f>huishoudens!O8</f>
        <v>167.27666666666667</v>
      </c>
      <c r="P4" s="480">
        <f>huishoudens!P8</f>
        <v>991.4666666666667</v>
      </c>
      <c r="Q4" s="481">
        <f>SUM(B4:P4)</f>
        <v>232997.7507091744</v>
      </c>
    </row>
    <row r="5" spans="1:17">
      <c r="A5" s="478" t="s">
        <v>156</v>
      </c>
      <c r="B5" s="479">
        <f ca="1">tertiair!B16</f>
        <v>94979.41350000001</v>
      </c>
      <c r="C5" s="479">
        <f ca="1">tertiair!C16</f>
        <v>0</v>
      </c>
      <c r="D5" s="479">
        <f ca="1">tertiair!D16</f>
        <v>70919.977073797345</v>
      </c>
      <c r="E5" s="479">
        <f>tertiair!E16</f>
        <v>833.33944895961213</v>
      </c>
      <c r="F5" s="479">
        <f ca="1">tertiair!F16</f>
        <v>12787.71070720551</v>
      </c>
      <c r="G5" s="479">
        <f>tertiair!G16</f>
        <v>0</v>
      </c>
      <c r="H5" s="479">
        <f>tertiair!H16</f>
        <v>0</v>
      </c>
      <c r="I5" s="479">
        <f>tertiair!I16</f>
        <v>0</v>
      </c>
      <c r="J5" s="479">
        <f>tertiair!J16</f>
        <v>0</v>
      </c>
      <c r="K5" s="479">
        <f>tertiair!K16</f>
        <v>0</v>
      </c>
      <c r="L5" s="479">
        <f ca="1">tertiair!L16</f>
        <v>0</v>
      </c>
      <c r="M5" s="479">
        <f>tertiair!M16</f>
        <v>0</v>
      </c>
      <c r="N5" s="479">
        <f ca="1">tertiair!N16</f>
        <v>4554.4963394985107</v>
      </c>
      <c r="O5" s="479">
        <f>tertiair!O16</f>
        <v>3.1266666666666669</v>
      </c>
      <c r="P5" s="480">
        <f>tertiair!P16</f>
        <v>19.066666666666666</v>
      </c>
      <c r="Q5" s="478">
        <f t="shared" ref="Q5:Q13" ca="1" si="0">SUM(B5:P5)</f>
        <v>184097.13040279437</v>
      </c>
    </row>
    <row r="6" spans="1:17">
      <c r="A6" s="478" t="s">
        <v>194</v>
      </c>
      <c r="B6" s="479">
        <f>'openbare verlichting'!B8</f>
        <v>2004.386</v>
      </c>
      <c r="C6" s="479"/>
      <c r="D6" s="479"/>
      <c r="E6" s="479"/>
      <c r="F6" s="479"/>
      <c r="G6" s="479"/>
      <c r="H6" s="479"/>
      <c r="I6" s="479"/>
      <c r="J6" s="479"/>
      <c r="K6" s="479"/>
      <c r="L6" s="479"/>
      <c r="M6" s="479"/>
      <c r="N6" s="479"/>
      <c r="O6" s="479"/>
      <c r="P6" s="480"/>
      <c r="Q6" s="478">
        <f t="shared" si="0"/>
        <v>2004.386</v>
      </c>
    </row>
    <row r="7" spans="1:17">
      <c r="A7" s="478" t="s">
        <v>112</v>
      </c>
      <c r="B7" s="479">
        <f>landbouw!B8</f>
        <v>990.07439999999997</v>
      </c>
      <c r="C7" s="479">
        <f>landbouw!C8</f>
        <v>0</v>
      </c>
      <c r="D7" s="479">
        <f>landbouw!D8</f>
        <v>8556.216543309296</v>
      </c>
      <c r="E7" s="479">
        <f>landbouw!E8</f>
        <v>9.1704837740770202</v>
      </c>
      <c r="F7" s="479">
        <f>landbouw!F8</f>
        <v>2512.0073617796456</v>
      </c>
      <c r="G7" s="479">
        <f>landbouw!G8</f>
        <v>0</v>
      </c>
      <c r="H7" s="479">
        <f>landbouw!H8</f>
        <v>0</v>
      </c>
      <c r="I7" s="479">
        <f>landbouw!I8</f>
        <v>0</v>
      </c>
      <c r="J7" s="479">
        <f>landbouw!J8</f>
        <v>151.78945478255233</v>
      </c>
      <c r="K7" s="479">
        <f>landbouw!K8</f>
        <v>0</v>
      </c>
      <c r="L7" s="479">
        <f>landbouw!L8</f>
        <v>0</v>
      </c>
      <c r="M7" s="479">
        <f>landbouw!M8</f>
        <v>0</v>
      </c>
      <c r="N7" s="479">
        <f>landbouw!N8</f>
        <v>0</v>
      </c>
      <c r="O7" s="479">
        <f>landbouw!O8</f>
        <v>0</v>
      </c>
      <c r="P7" s="480">
        <f>landbouw!P8</f>
        <v>0</v>
      </c>
      <c r="Q7" s="478">
        <f t="shared" si="0"/>
        <v>12219.25824364557</v>
      </c>
    </row>
    <row r="8" spans="1:17">
      <c r="A8" s="478" t="s">
        <v>650</v>
      </c>
      <c r="B8" s="479">
        <f>industrie!B18</f>
        <v>14518.012220000001</v>
      </c>
      <c r="C8" s="479">
        <f>industrie!C18</f>
        <v>0</v>
      </c>
      <c r="D8" s="479">
        <f>industrie!D18</f>
        <v>13874.133134736954</v>
      </c>
      <c r="E8" s="479">
        <f>industrie!E18</f>
        <v>919.38146697164416</v>
      </c>
      <c r="F8" s="479">
        <f>industrie!F18</f>
        <v>11188.651525007715</v>
      </c>
      <c r="G8" s="479">
        <f>industrie!G18</f>
        <v>0</v>
      </c>
      <c r="H8" s="479">
        <f>industrie!H18</f>
        <v>0</v>
      </c>
      <c r="I8" s="479">
        <f>industrie!I18</f>
        <v>0</v>
      </c>
      <c r="J8" s="479">
        <f>industrie!J18</f>
        <v>136.54379225499292</v>
      </c>
      <c r="K8" s="479">
        <f>industrie!K18</f>
        <v>0</v>
      </c>
      <c r="L8" s="479">
        <f>industrie!L18</f>
        <v>0</v>
      </c>
      <c r="M8" s="479">
        <f>industrie!M18</f>
        <v>0</v>
      </c>
      <c r="N8" s="479">
        <f>industrie!N18</f>
        <v>4348.1341556323632</v>
      </c>
      <c r="O8" s="479">
        <f>industrie!O18</f>
        <v>0</v>
      </c>
      <c r="P8" s="480">
        <f>industrie!P18</f>
        <v>0</v>
      </c>
      <c r="Q8" s="478">
        <f t="shared" si="0"/>
        <v>44984.856294603662</v>
      </c>
    </row>
    <row r="9" spans="1:17" s="484" customFormat="1">
      <c r="A9" s="482" t="s">
        <v>571</v>
      </c>
      <c r="B9" s="483">
        <f>transport!B14</f>
        <v>48.29478503998503</v>
      </c>
      <c r="C9" s="483"/>
      <c r="D9" s="483">
        <f>transport!D14</f>
        <v>128.93723161656877</v>
      </c>
      <c r="E9" s="483">
        <f>transport!E14</f>
        <v>899.7262716171083</v>
      </c>
      <c r="F9" s="483"/>
      <c r="G9" s="483">
        <f>transport!G14</f>
        <v>261320.75201721099</v>
      </c>
      <c r="H9" s="483">
        <f>transport!H14</f>
        <v>49528.551170729232</v>
      </c>
      <c r="I9" s="483"/>
      <c r="J9" s="483"/>
      <c r="K9" s="483"/>
      <c r="L9" s="483"/>
      <c r="M9" s="483">
        <f>transport!M14</f>
        <v>16640.888991247539</v>
      </c>
      <c r="N9" s="483"/>
      <c r="O9" s="483"/>
      <c r="P9" s="483"/>
      <c r="Q9" s="482">
        <f>SUM(B9:P9)</f>
        <v>328567.15046746138</v>
      </c>
    </row>
    <row r="10" spans="1:17">
      <c r="A10" s="478" t="s">
        <v>561</v>
      </c>
      <c r="B10" s="479">
        <f>transport!B54</f>
        <v>0</v>
      </c>
      <c r="C10" s="479"/>
      <c r="D10" s="479">
        <f>transport!D54</f>
        <v>0</v>
      </c>
      <c r="E10" s="479"/>
      <c r="F10" s="479"/>
      <c r="G10" s="479">
        <f>transport!G54</f>
        <v>4727.3632897499137</v>
      </c>
      <c r="H10" s="479"/>
      <c r="I10" s="479"/>
      <c r="J10" s="479"/>
      <c r="K10" s="479"/>
      <c r="L10" s="479"/>
      <c r="M10" s="479">
        <f>transport!M54</f>
        <v>269.58774740600131</v>
      </c>
      <c r="N10" s="479"/>
      <c r="O10" s="479"/>
      <c r="P10" s="480"/>
      <c r="Q10" s="478">
        <f t="shared" si="0"/>
        <v>4996.9510371559154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165612.66382996424</v>
      </c>
      <c r="C14" s="489">
        <f t="shared" ref="C14:Q14" ca="1" si="1">SUM(C4:C13)</f>
        <v>0</v>
      </c>
      <c r="D14" s="489">
        <f t="shared" ca="1" si="1"/>
        <v>195564.04162383845</v>
      </c>
      <c r="E14" s="489">
        <f t="shared" si="1"/>
        <v>6647.2178678074069</v>
      </c>
      <c r="F14" s="489">
        <f t="shared" ca="1" si="1"/>
        <v>87734.186638100364</v>
      </c>
      <c r="G14" s="489">
        <f t="shared" si="1"/>
        <v>266048.11530696088</v>
      </c>
      <c r="H14" s="489">
        <f t="shared" si="1"/>
        <v>49528.551170729232</v>
      </c>
      <c r="I14" s="489">
        <f t="shared" si="1"/>
        <v>0</v>
      </c>
      <c r="J14" s="489">
        <f t="shared" si="1"/>
        <v>288.33324703754522</v>
      </c>
      <c r="K14" s="489">
        <f t="shared" si="1"/>
        <v>0</v>
      </c>
      <c r="L14" s="489">
        <f t="shared" ca="1" si="1"/>
        <v>0</v>
      </c>
      <c r="M14" s="489">
        <f t="shared" si="1"/>
        <v>16910.476738653539</v>
      </c>
      <c r="N14" s="489">
        <f t="shared" ca="1" si="1"/>
        <v>20352.960065076953</v>
      </c>
      <c r="O14" s="489">
        <f t="shared" si="1"/>
        <v>170.40333333333334</v>
      </c>
      <c r="P14" s="490">
        <f t="shared" si="1"/>
        <v>1010.5333333333334</v>
      </c>
      <c r="Q14" s="490">
        <f t="shared" ca="1" si="1"/>
        <v>809867.48315483541</v>
      </c>
    </row>
    <row r="16" spans="1:17">
      <c r="A16" s="492" t="s">
        <v>566</v>
      </c>
      <c r="B16" s="842">
        <f ca="1">huishoudens!B10</f>
        <v>0.17436291810355908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9253.8729937910994</v>
      </c>
      <c r="C21" s="479">
        <f t="shared" ref="C21:C28" ca="1" si="3">C4*$C$16</f>
        <v>0</v>
      </c>
      <c r="D21" s="479">
        <f t="shared" ref="D21:D30" si="4">D4*$D$16</f>
        <v>20621.125083356412</v>
      </c>
      <c r="E21" s="479">
        <f t="shared" ref="E21:E30" si="5">E4*$E$16</f>
        <v>904.73124460208726</v>
      </c>
      <c r="F21" s="479">
        <f t="shared" ref="F21:F28" si="6">F4*$F$16</f>
        <v>16352.633150776701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47132.3624725263</v>
      </c>
    </row>
    <row r="22" spans="1:17">
      <c r="A22" s="478" t="s">
        <v>156</v>
      </c>
      <c r="B22" s="479">
        <f t="shared" ca="1" si="2"/>
        <v>16560.887697624577</v>
      </c>
      <c r="C22" s="479">
        <f t="shared" ca="1" si="3"/>
        <v>0</v>
      </c>
      <c r="D22" s="479">
        <f t="shared" ca="1" si="4"/>
        <v>14325.835368907065</v>
      </c>
      <c r="E22" s="479">
        <f t="shared" si="5"/>
        <v>189.16805491383195</v>
      </c>
      <c r="F22" s="479">
        <f t="shared" ca="1" si="6"/>
        <v>3414.3187588238711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34490.209880269344</v>
      </c>
    </row>
    <row r="23" spans="1:17">
      <c r="A23" s="478" t="s">
        <v>194</v>
      </c>
      <c r="B23" s="479">
        <f t="shared" ca="1" si="2"/>
        <v>349.49059196592037</v>
      </c>
      <c r="C23" s="479"/>
      <c r="D23" s="479"/>
      <c r="E23" s="479"/>
      <c r="F23" s="479"/>
      <c r="G23" s="479"/>
      <c r="H23" s="479"/>
      <c r="I23" s="479"/>
      <c r="J23" s="479"/>
      <c r="K23" s="479"/>
      <c r="L23" s="479"/>
      <c r="M23" s="479"/>
      <c r="N23" s="479"/>
      <c r="O23" s="479"/>
      <c r="P23" s="480"/>
      <c r="Q23" s="478">
        <f t="shared" ca="1" si="17"/>
        <v>349.49059196592037</v>
      </c>
    </row>
    <row r="24" spans="1:17">
      <c r="A24" s="478" t="s">
        <v>112</v>
      </c>
      <c r="B24" s="479">
        <f t="shared" ca="1" si="2"/>
        <v>172.6322615236304</v>
      </c>
      <c r="C24" s="479">
        <f t="shared" ca="1" si="3"/>
        <v>0</v>
      </c>
      <c r="D24" s="479">
        <f t="shared" si="4"/>
        <v>1728.3557417484778</v>
      </c>
      <c r="E24" s="479">
        <f t="shared" si="5"/>
        <v>2.0816998167154837</v>
      </c>
      <c r="F24" s="479">
        <f t="shared" si="6"/>
        <v>670.70596559516537</v>
      </c>
      <c r="G24" s="479">
        <f t="shared" si="7"/>
        <v>0</v>
      </c>
      <c r="H24" s="479">
        <f t="shared" si="8"/>
        <v>0</v>
      </c>
      <c r="I24" s="479">
        <f t="shared" si="9"/>
        <v>0</v>
      </c>
      <c r="J24" s="479">
        <f t="shared" si="10"/>
        <v>53.733466993023519</v>
      </c>
      <c r="K24" s="479">
        <f t="shared" si="11"/>
        <v>0</v>
      </c>
      <c r="L24" s="479">
        <f t="shared" si="12"/>
        <v>0</v>
      </c>
      <c r="M24" s="479">
        <f t="shared" si="13"/>
        <v>0</v>
      </c>
      <c r="N24" s="479">
        <f t="shared" si="14"/>
        <v>0</v>
      </c>
      <c r="O24" s="479">
        <f t="shared" si="15"/>
        <v>0</v>
      </c>
      <c r="P24" s="480">
        <f t="shared" si="16"/>
        <v>0</v>
      </c>
      <c r="Q24" s="478">
        <f t="shared" ca="1" si="17"/>
        <v>2627.5091356770126</v>
      </c>
    </row>
    <row r="25" spans="1:17">
      <c r="A25" s="478" t="s">
        <v>650</v>
      </c>
      <c r="B25" s="479">
        <f t="shared" ca="1" si="2"/>
        <v>2531.40297574233</v>
      </c>
      <c r="C25" s="479">
        <f t="shared" ca="1" si="3"/>
        <v>0</v>
      </c>
      <c r="D25" s="479">
        <f t="shared" si="4"/>
        <v>2802.5748932168649</v>
      </c>
      <c r="E25" s="479">
        <f t="shared" si="5"/>
        <v>208.69959300256323</v>
      </c>
      <c r="F25" s="479">
        <f t="shared" si="6"/>
        <v>2987.3699571770603</v>
      </c>
      <c r="G25" s="479">
        <f t="shared" si="7"/>
        <v>0</v>
      </c>
      <c r="H25" s="479">
        <f t="shared" si="8"/>
        <v>0</v>
      </c>
      <c r="I25" s="479">
        <f t="shared" si="9"/>
        <v>0</v>
      </c>
      <c r="J25" s="479">
        <f t="shared" si="10"/>
        <v>48.336502458267489</v>
      </c>
      <c r="K25" s="479">
        <f t="shared" si="11"/>
        <v>0</v>
      </c>
      <c r="L25" s="479">
        <f t="shared" si="12"/>
        <v>0</v>
      </c>
      <c r="M25" s="479">
        <f t="shared" si="13"/>
        <v>0</v>
      </c>
      <c r="N25" s="479">
        <f t="shared" si="14"/>
        <v>0</v>
      </c>
      <c r="O25" s="479">
        <f t="shared" si="15"/>
        <v>0</v>
      </c>
      <c r="P25" s="480">
        <f t="shared" si="16"/>
        <v>0</v>
      </c>
      <c r="Q25" s="478">
        <f t="shared" ca="1" si="17"/>
        <v>8578.3839215970856</v>
      </c>
    </row>
    <row r="26" spans="1:17" s="484" customFormat="1">
      <c r="A26" s="482" t="s">
        <v>571</v>
      </c>
      <c r="B26" s="836">
        <f t="shared" ca="1" si="2"/>
        <v>8.4208196487559004</v>
      </c>
      <c r="C26" s="483"/>
      <c r="D26" s="483">
        <f t="shared" si="4"/>
        <v>26.045320786546892</v>
      </c>
      <c r="E26" s="483">
        <f t="shared" si="5"/>
        <v>204.23786365708358</v>
      </c>
      <c r="F26" s="483"/>
      <c r="G26" s="483">
        <f t="shared" si="7"/>
        <v>69772.640788595338</v>
      </c>
      <c r="H26" s="483">
        <f t="shared" si="8"/>
        <v>12332.609241511578</v>
      </c>
      <c r="I26" s="483"/>
      <c r="J26" s="483"/>
      <c r="K26" s="483"/>
      <c r="L26" s="483"/>
      <c r="M26" s="483">
        <f t="shared" si="13"/>
        <v>0</v>
      </c>
      <c r="N26" s="483"/>
      <c r="O26" s="483"/>
      <c r="P26" s="494"/>
      <c r="Q26" s="482">
        <f t="shared" ca="1" si="17"/>
        <v>82343.954034199298</v>
      </c>
    </row>
    <row r="27" spans="1:17">
      <c r="A27" s="478" t="s">
        <v>561</v>
      </c>
      <c r="B27" s="479">
        <f t="shared" ca="1" si="2"/>
        <v>0</v>
      </c>
      <c r="C27" s="479"/>
      <c r="D27" s="483">
        <f t="shared" si="4"/>
        <v>0</v>
      </c>
      <c r="E27" s="479"/>
      <c r="F27" s="479"/>
      <c r="G27" s="479">
        <f t="shared" si="7"/>
        <v>1262.2059983632271</v>
      </c>
      <c r="H27" s="479"/>
      <c r="I27" s="479"/>
      <c r="J27" s="479"/>
      <c r="K27" s="479"/>
      <c r="L27" s="479"/>
      <c r="M27" s="479">
        <f t="shared" si="13"/>
        <v>0</v>
      </c>
      <c r="N27" s="479"/>
      <c r="O27" s="479"/>
      <c r="P27" s="480"/>
      <c r="Q27" s="478">
        <f t="shared" ca="1" si="17"/>
        <v>1262.2059983632271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28876.707340296318</v>
      </c>
      <c r="C31" s="489">
        <f t="shared" ca="1" si="18"/>
        <v>0</v>
      </c>
      <c r="D31" s="489">
        <f t="shared" ca="1" si="18"/>
        <v>39503.936408015368</v>
      </c>
      <c r="E31" s="489">
        <f t="shared" si="18"/>
        <v>1508.9184559922815</v>
      </c>
      <c r="F31" s="489">
        <f t="shared" ca="1" si="18"/>
        <v>23425.027832372798</v>
      </c>
      <c r="G31" s="489">
        <f t="shared" si="18"/>
        <v>71034.846786958558</v>
      </c>
      <c r="H31" s="489">
        <f t="shared" si="18"/>
        <v>12332.609241511578</v>
      </c>
      <c r="I31" s="489">
        <f t="shared" si="18"/>
        <v>0</v>
      </c>
      <c r="J31" s="489">
        <f t="shared" si="18"/>
        <v>102.069969451291</v>
      </c>
      <c r="K31" s="489">
        <f t="shared" si="18"/>
        <v>0</v>
      </c>
      <c r="L31" s="489">
        <f t="shared" ca="1" si="18"/>
        <v>0</v>
      </c>
      <c r="M31" s="489">
        <f t="shared" si="18"/>
        <v>0</v>
      </c>
      <c r="N31" s="489">
        <f t="shared" ca="1" si="18"/>
        <v>0</v>
      </c>
      <c r="O31" s="489">
        <f t="shared" si="18"/>
        <v>0</v>
      </c>
      <c r="P31" s="490">
        <f t="shared" si="18"/>
        <v>0</v>
      </c>
      <c r="Q31" s="490">
        <f t="shared" ca="1" si="18"/>
        <v>176784.11603459818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0.17436291810355908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0.17436291810355908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0.17436291810355908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2019-01-01T21:30:52Z</dcterms:modified>
</cp:coreProperties>
</file>