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N20"/>
  <c r="N23" s="1"/>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F8" i="48"/>
  <c r="Q4"/>
  <c r="N22"/>
  <c r="R11" i="14"/>
  <c r="J21" i="48"/>
  <c r="C29" i="20" l="1"/>
  <c r="C17" i="19"/>
  <c r="C19" s="1"/>
  <c r="D35" i="14" s="1"/>
  <c r="C20" i="16"/>
  <c r="C22" s="1"/>
  <c r="D39" i="14" s="1"/>
  <c r="C18" i="15"/>
  <c r="C20" s="1"/>
  <c r="D36" i="14" s="1"/>
  <c r="C10" i="13"/>
  <c r="C16" i="48" s="1"/>
  <c r="C21" s="1"/>
  <c r="C16" i="22"/>
  <c r="C10" i="17"/>
  <c r="C12" s="1"/>
  <c r="D48" i="14" s="1"/>
  <c r="C56" i="22"/>
  <c r="C58" s="1"/>
  <c r="D44" i="14" s="1"/>
  <c r="D46" s="1"/>
  <c r="C17" i="49"/>
  <c r="Q5" i="48"/>
  <c r="O13" i="14"/>
  <c r="O15" s="1"/>
  <c r="K13"/>
  <c r="E31" i="48"/>
  <c r="N22" i="16"/>
  <c r="O39" i="14" s="1"/>
  <c r="O41" s="1"/>
  <c r="O53" s="1"/>
  <c r="N25" i="48"/>
  <c r="N14"/>
  <c r="N31"/>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C24" i="48"/>
  <c r="C28"/>
  <c r="R13" i="14"/>
  <c r="R15" s="1"/>
  <c r="F25" i="48"/>
  <c r="F31" s="1"/>
  <c r="F14"/>
  <c r="D41" i="14" l="1"/>
  <c r="D53" s="1"/>
  <c r="D55" s="1"/>
  <c r="C22" i="48"/>
  <c r="C31" s="1"/>
  <c r="C25"/>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<sst xmlns="http://schemas.openxmlformats.org/spreadsheetml/2006/main" count="2227" uniqueCount="906">
  <si>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</si>
  <si>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</si>
  <si>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</si>
  <si>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</si>
  <si>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</si>
  <si>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</si>
  <si>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</si>
  <si>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</si>
  <si>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</si>
  <si>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</si>
  <si>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</si>
  <si>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</si>
  <si>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</si>
  <si>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</si>
  <si>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</si>
  <si>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</si>
  <si>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</si>
  <si>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</si>
  <si>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</si>
  <si>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</si>
  <si>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</si>
  <si>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</si>
  <si>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</si>
  <si>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</si>
  <si>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</si>
  <si>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</si>
  <si>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</si>
  <si>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</si>
  <si>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</si>
  <si>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</si>
  <si>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</si>
  <si>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</si>
  <si>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</si>
  <si>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</si>
  <si>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</si>
  <si>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</si>
  <si>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</si>
  <si>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</si>
  <si>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</si>
  <si>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</si>
  <si>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</si>
  <si>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</si>
  <si>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</si>
  <si>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</si>
  <si>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</si>
  <si>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</si>
  <si>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</si>
  <si>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</si>
  <si>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</si>
  <si>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</si>
  <si>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</si>
  <si>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</si>
  <si>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</si>
  <si>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</si>
  <si>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</si>
  <si>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</si>
  <si>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</si>
  <si>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</si>
  <si>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</si>
  <si>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</si>
  <si>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</si>
  <si>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</si>
  <si>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</si>
  <si>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</si>
  <si>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</si>
  <si>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</si>
  <si>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</si>
  <si>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</si>
  <si>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</si>
  <si>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</si>
  <si>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</si>
  <si>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</si>
  <si>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</si>
  <si>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</si>
  <si>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</si>
  <si>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</si>
  <si>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</si>
  <si>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</si>
  <si>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</si>
  <si>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</si>
  <si>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</si>
  <si>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</si>
  <si>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</si>
  <si>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</si>
  <si>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</si>
  <si>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</si>
  <si>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</si>
  <si>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</si>
  <si>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</si>
  <si>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</si>
  <si>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</si>
  <si>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</si>
  <si>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</si>
  <si>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</si>
  <si>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</si>
  <si>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</si>
  <si>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</si>
  <si>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</si>
  <si>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</si>
  <si>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</si>
  <si>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</si>
  <si>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</si>
  <si>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</si>
  <si>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</si>
  <si>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</si>
  <si>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</si>
  <si>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</si>
  <si>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</si>
  <si>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</si>
  <si>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</si>
  <si>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</si>
  <si>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</si>
  <si>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</si>
  <si>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</si>
  <si>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</si>
  <si>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</si>
  <si>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</si>
  <si>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</si>
  <si>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</si>
  <si>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</si>
  <si>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</si>
  <si>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</si>
  <si>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</si>
  <si>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</si>
  <si>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</si>
  <si>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</si>
  <si>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</si>
  <si>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</si>
  <si>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</si>
  <si>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</si>
  <si>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</si>
  <si>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</si>
  <si>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</si>
  <si>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</si>
  <si>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</si>
  <si>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</si>
  <si>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</si>
  <si>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</si>
  <si>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</si>
  <si>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</si>
  <si>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</si>
  <si>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</si>
  <si>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</si>
  <si>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</si>
  <si>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</si>
  <si>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</si>
  <si>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</si>
  <si>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</si>
  <si>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</si>
  <si>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</si>
  <si>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</si>
  <si>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</si>
  <si>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</si>
  <si>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</si>
  <si>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</si>
  <si>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</si>
  <si>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</si>
  <si>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</si>
  <si>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</si>
  <si>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</si>
  <si>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</si>
  <si>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</si>
  <si>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</si>
  <si>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</si>
  <si>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</si>
  <si>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</si>
  <si>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</si>
  <si>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</si>
  <si>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</si>
  <si>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</si>
  <si>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</si>
  <si>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</si>
  <si>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</si>
  <si>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</si>
  <si>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</si>
  <si>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</si>
  <si>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</si>
  <si>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</si>
  <si>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</si>
  <si>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</si>
  <si>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</si>
  <si>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</si>
  <si>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</si>
  <si>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</si>
  <si>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</si>
  <si>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</si>
  <si>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</si>
  <si>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</si>
  <si>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</si>
  <si>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</si>
  <si>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</si>
  <si>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</si>
  <si>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</si>
  <si>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</si>
  <si>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</si>
  <si>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</si>
  <si>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</si>
  <si>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</si>
  <si>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</si>
  <si>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</si>
  <si>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</si>
  <si>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</si>
  <si>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</si>
  <si>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</si>
  <si>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</si>
  <si>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</si>
  <si>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</si>
  <si>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</si>
  <si>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</si>
  <si>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</si>
  <si>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</si>
  <si>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</si>
  <si>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</si>
  <si>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</si>
  <si>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</si>
  <si>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</si>
  <si>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</si>
  <si>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</si>
  <si>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</si>
  <si>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</si>
  <si>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</si>
  <si>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</si>
  <si>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</si>
  <si>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</si>
  <si>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</si>
  <si>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</si>
  <si>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</si>
  <si>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</si>
  <si>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</si>
  <si>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</si>
  <si>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</si>
  <si>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</si>
  <si>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</si>
  <si>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</si>
  <si>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</si>
  <si>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</si>
  <si>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</si>
  <si>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</si>
  <si>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</si>
  <si>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</si>
  <si>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</si>
  <si>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</si>
  <si>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</si>
  <si>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</si>
  <si>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</si>
  <si>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</si>
  <si>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</si>
  <si>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</si>
  <si>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</si>
  <si>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</si>
  <si>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</si>
  <si>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</si>
  <si>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</si>
  <si>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</si>
  <si>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</si>
  <si>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</si>
  <si>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</si>
  <si>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</si>
  <si>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</si>
  <si>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</si>
  <si>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</si>
  <si>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</si>
  <si>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</si>
  <si>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</si>
  <si>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</si>
  <si>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</si>
  <si>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</si>
  <si>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</si>
  <si>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</si>
  <si>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</si>
  <si>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</si>
  <si>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</si>
  <si>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</si>
  <si>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</si>
  <si>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</si>
  <si>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</si>
  <si>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</si>
  <si>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</si>
  <si>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</si>
  <si>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</si>
  <si>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</si>
  <si>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</si>
  <si>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</si>
  <si>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</si>
  <si>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</si>
  <si>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</si>
  <si>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</si>
  <si>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</si>
  <si>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</si>
  <si>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</si>
  <si>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</si>
  <si>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</si>
  <si>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</si>
  <si>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</si>
  <si>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</si>
  <si>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</si>
  <si>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</si>
  <si>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</si>
  <si>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</si>
  <si>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</si>
  <si>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</si>
  <si>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</si>
  <si>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</si>
  <si>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</si>
  <si>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</si>
  <si>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</si>
  <si>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</si>
  <si>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</si>
  <si>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</si>
  <si>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</si>
  <si>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</si>
  <si>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</si>
  <si>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</si>
  <si>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</si>
  <si>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</si>
  <si>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</si>
  <si>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</si>
  <si>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</si>
  <si>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</si>
  <si>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</si>
  <si>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</si>
  <si>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</si>
  <si>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</si>
  <si>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</si>
  <si>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</si>
  <si>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</si>
  <si>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</si>
  <si>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</si>
  <si>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</si>
  <si>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</si>
  <si>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</si>
  <si>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</si>
  <si>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</si>
  <si>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</si>
  <si>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</si>
  <si>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</si>
  <si>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</si>
  <si>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</si>
  <si>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</si>
  <si>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</si>
  <si>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</si>
  <si>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</si>
  <si>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</si>
  <si>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</si>
  <si>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</si>
  <si>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</si>
  <si>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</si>
  <si>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</si>
  <si>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</si>
  <si>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</si>
  <si>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</si>
  <si>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</si>
  <si>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</si>
  <si>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</si>
  <si>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</si>
  <si>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</si>
  <si>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</si>
  <si>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</si>
  <si>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</si>
  <si>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</si>
  <si>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</si>
  <si>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</si>
  <si>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</si>
  <si>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</si>
  <si>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</si>
  <si>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</si>
  <si>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</si>
  <si>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</si>
  <si>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</si>
  <si>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</si>
  <si>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</si>
  <si>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</si>
  <si>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</si>
  <si>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</si>
  <si>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</si>
  <si>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</si>
  <si>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</si>
  <si>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</si>
  <si>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</si>
  <si>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</si>
  <si>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</si>
  <si>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</si>
  <si>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</si>
  <si>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</si>
  <si>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</si>
  <si>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</si>
  <si>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</si>
  <si>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</si>
  <si>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</si>
  <si>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</si>
  <si>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</si>
  <si>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</si>
  <si>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</si>
  <si>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</si>
  <si>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</si>
  <si>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</si>
  <si>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</si>
  <si>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</si>
  <si>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</si>
  <si>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</si>
  <si>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</si>
  <si>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</si>
  <si>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</si>
  <si>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</si>
  <si>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</si>
  <si>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</si>
  <si>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</si>
  <si>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</si>
  <si>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</si>
  <si>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</si>
  <si>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</si>
  <si>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</si>
  <si>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</si>
  <si>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</si>
  <si>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</si>
  <si>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</si>
  <si>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</si>
  <si>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</si>
  <si>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</si>
  <si>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</si>
  <si>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</si>
  <si>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</si>
  <si>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</si>
  <si>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</si>
  <si>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</si>
  <si>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</si>
  <si>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</si>
  <si>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</si>
  <si>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</si>
  <si>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</si>
  <si>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</si>
  <si>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</si>
  <si>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</si>
  <si>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</si>
  <si>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</si>
  <si>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</si>
  <si>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</si>
  <si>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</si>
  <si>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</si>
  <si>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</si>
  <si>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</si>
  <si>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</si>
  <si>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</si>
  <si>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</si>
  <si>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</si>
  <si>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</si>
  <si>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</si>
  <si>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</si>
  <si>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</si>
  <si>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</si>
  <si>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</si>
  <si>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</si>
  <si>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</si>
  <si>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</si>
  <si>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</si>
  <si>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</si>
  <si>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</si>
  <si>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</si>
  <si>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</si>
  <si>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</si>
  <si>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</si>
  <si>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</si>
  <si>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</si>
  <si>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</si>
  <si>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</si>
  <si>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</si>
  <si>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</si>
  <si>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</si>
  <si>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</si>
  <si>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</si>
  <si>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</si>
  <si>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</si>
  <si>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</si>
  <si>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</si>
  <si>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</si>
  <si>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</si>
  <si>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</si>
  <si>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</si>
  <si>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</si>
  <si>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</si>
  <si>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</si>
  <si>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</si>
  <si>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</si>
  <si>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</si>
  <si>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</si>
  <si>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</si>
  <si>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</si>
  <si>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</si>
  <si>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</si>
  <si>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</si>
  <si>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</si>
  <si>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</si>
  <si>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</si>
  <si>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</si>
  <si>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</si>
  <si>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</si>
  <si>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</si>
  <si>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</si>
  <si>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</si>
  <si>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</si>
  <si>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</si>
  <si>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</si>
  <si>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</si>
  <si>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</si>
  <si>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</si>
  <si>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</si>
  <si>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</si>
  <si>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</si>
  <si>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</si>
  <si>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</si>
  <si>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</si>
  <si>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</si>
  <si>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</si>
  <si>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</si>
  <si>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</si>
  <si>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</si>
  <si>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</si>
  <si>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</si>
  <si>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</si>
  <si>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</si>
  <si>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</si>
  <si>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</si>
  <si>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</si>
  <si>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</si>
  <si>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</si>
  <si>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</si>
  <si>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</si>
  <si>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</si>
  <si>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</si>
  <si>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</si>
  <si>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</si>
  <si>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</si>
  <si>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</si>
  <si>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</si>
  <si>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</si>
  <si>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</si>
  <si>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</si>
  <si>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</si>
  <si>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</si>
  <si>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</si>
  <si>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</si>
  <si>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</si>
  <si>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</si>
  <si>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</si>
  <si>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</si>
  <si>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</si>
  <si>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</si>
  <si>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</si>
  <si>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</si>
  <si>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</si>
  <si>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</si>
  <si>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</si>
  <si>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</si>
  <si>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</si>
  <si>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</si>
  <si>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</si>
  <si>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</si>
  <si>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</si>
  <si>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</si>
  <si>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</si>
  <si>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</si>
  <si>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</si>
  <si>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</si>
  <si>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</si>
  <si>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</si>
  <si>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</si>
  <si>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</si>
  <si>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</si>
  <si>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</si>
  <si>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</si>
  <si>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</si>
  <si>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</si>
  <si>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</si>
  <si>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</si>
  <si>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</si>
  <si>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</si>
  <si>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</si>
  <si>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</si>
  <si>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</si>
  <si>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</si>
  <si>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</si>
  <si>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</si>
  <si>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</si>
  <si>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</si>
  <si>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</si>
  <si>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</si>
  <si>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</si>
  <si>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</si>
  <si>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</si>
  <si>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</si>
  <si>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</si>
  <si>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</si>
  <si>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</si>
  <si>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</si>
  <si>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</si>
  <si>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</si>
  <si>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</si>
  <si>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</si>
  <si>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</si>
  <si>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</si>
  <si>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</si>
  <si>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</si>
  <si>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</si>
  <si>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</si>
  <si>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</si>
  <si>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</si>
  <si>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</si>
  <si>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</si>
  <si>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</si>
  <si>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</si>
  <si>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</si>
  <si>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</si>
  <si>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</si>
  <si>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</si>
  <si>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</si>
  <si>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</si>
  <si>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</si>
  <si>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</si>
  <si>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</si>
  <si>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</si>
  <si>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</si>
  <si>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</si>
  <si>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</si>
  <si>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</si>
  <si>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</si>
  <si>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</si>
  <si>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</si>
  <si>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</si>
  <si>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</si>
  <si>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</si>
  <si>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</si>
  <si>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</si>
  <si>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</si>
  <si>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</si>
  <si>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</si>
  <si>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</si>
  <si>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</si>
  <si>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</si>
  <si>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</si>
  <si>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</si>
  <si>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</si>
  <si>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</si>
  <si>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</si>
  <si>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</si>
  <si>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</si>
  <si>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</si>
  <si>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</si>
  <si>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</si>
  <si>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</si>
  <si>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</si>
  <si>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</si>
  <si>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</si>
  <si>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</si>
  <si>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</si>
  <si>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</si>
  <si>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</si>
  <si>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</si>
  <si>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</si>
  <si>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</si>
  <si>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</si>
  <si>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</si>
  <si>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</si>
  <si>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</si>
  <si>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</si>
  <si>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</si>
  <si>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</si>
  <si>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</si>
  <si>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</si>
  <si>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</si>
  <si>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</si>
  <si>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</si>
  <si>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</si>
  <si>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</si>
  <si>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</si>
  <si>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</si>
  <si>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</si>
  <si>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</si>
  <si>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</si>
  <si>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</si>
  <si>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</si>
  <si>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</si>
  <si>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</si>
  <si>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</si>
  <si>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</si>
  <si>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</si>
  <si>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</si>
  <si>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</si>
  <si>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</si>
  <si>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</si>
  <si>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</si>
  <si>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</si>
  <si>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</si>
  <si>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</si>
  <si>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</si>
  <si>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</si>
  <si>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</si>
  <si>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</si>
  <si>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</si>
  <si>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</si>
  <si>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</si>
  <si>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</si>
  <si>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</si>
  <si>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</si>
  <si>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</si>
  <si>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</si>
  <si>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</si>
  <si>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</si>
  <si>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</si>
  <si>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</si>
  <si>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</si>
  <si>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</si>
  <si>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</si>
  <si>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</si>
  <si>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</si>
  <si>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</si>
  <si>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</si>
  <si>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</si>
  <si>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</si>
  <si>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</si>
  <si>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</si>
  <si>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</si>
  <si>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</si>
  <si>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</si>
  <si>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</si>
  <si>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</si>
  <si>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</si>
  <si>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</si>
  <si>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</si>
  <si>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</si>
  <si>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</si>
  <si>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</si>
  <si>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</si>
  <si>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</si>
  <si>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</si>
  <si>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</si>
  <si>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</si>
  <si>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</si>
  <si>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</si>
  <si>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</si>
  <si>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</si>
  <si>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</si>
  <si>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</si>
  <si>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</si>
  <si>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</si>
  <si>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</si>
  <si>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</si>
  <si>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</si>
  <si>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</si>
  <si>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</si>
  <si>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</si>
  <si>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</si>
  <si>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</si>
  <si>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</si>
  <si>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</si>
  <si>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</si>
  <si>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</si>
  <si>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</si>
  <si>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</si>
  <si>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</si>
  <si>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</si>
  <si>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</si>
  <si>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</si>
  <si>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</si>
  <si>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</si>
  <si>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</si>
  <si>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</si>
  <si>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</si>
  <si>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</si>
  <si>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</si>
  <si>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</si>
  <si>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</si>
  <si>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</si>
  <si>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</si>
  <si>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</si>
  <si>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</si>
  <si>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</si>
  <si>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</si>
  <si>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</si>
  <si>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</si>
  <si>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</si>
  <si>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</si>
  <si>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</si>
  <si>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</si>
  <si>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</si>
  <si>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</si>
  <si>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</si>
  <si>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</si>
  <si>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</si>
  <si>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</si>
  <si>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</si>
  <si>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</si>
  <si>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</si>
  <si>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</si>
  <si>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</si>
  <si>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</si>
  <si>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</si>
  <si>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</si>
  <si>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</si>
  <si>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</si>
  <si>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</si>
  <si>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</si>
  <si>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</si>
  <si>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</si>
  <si>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</si>
  <si>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</si>
  <si>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</si>
  <si>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</si>
  <si>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</si>
  <si>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</si>
  <si>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</si>
  <si>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</si>
  <si>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</si>
  <si>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</si>
  <si>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</si>
  <si>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</si>
  <si>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</si>
  <si>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</si>
  <si>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</si>
  <si>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</si>
  <si>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</si>
  <si>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</si>
  <si>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</si>
  <si>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</si>
  <si>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</si>
  <si>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</si>
  <si>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</si>
  <si>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</si>
  <si>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</si>
  <si>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</si>
  <si>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</si>
  <si>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</si>
  <si>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</si>
  <si>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</si>
  <si>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</si>
  <si>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</si>
  <si>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</si>
  <si>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</si>
  <si>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</si>
  <si>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</si>
  <si>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</si>
  <si>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</si>
  <si>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</si>
  <si>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</si>
  <si>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</si>
  <si>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</si>
  <si>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</si>
  <si>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</si>
  <si>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</si>
  <si>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</si>
  <si>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</si>
  <si>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</si>
  <si>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</si>
  <si>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</si>
  <si>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</si>
  <si>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</si>
  <si>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</si>
  <si>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</si>
  <si>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</si>
  <si>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</si>
  <si>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</si>
  <si>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</si>
  <si>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</si>
  <si>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</si>
  <si>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13037</t>
  </si>
  <si>
    <t>RIJKEVORSEL</t>
  </si>
  <si>
    <t>Paarden&amp;pony's 200 - 600 kg</t>
  </si>
  <si>
    <t>Paarden&amp;pony's &lt; 200 kg</t>
  </si>
  <si>
    <t>referentietaak LNE (2017); Jaarverslag De Lijn (2014)</t>
  </si>
  <si>
    <t>op basis van VEA (maart 2018) en Inventaris Hernieuwbare Energiebronnen (juni 2018)</t>
  </si>
  <si>
    <t>VEA (maart 2016)</t>
  </si>
  <si>
    <t>VEA (juni 2018)</t>
  </si>
  <si>
    <t>VGT Energie cvba</t>
  </si>
  <si>
    <t>Bolksedijk 8, 2310 Rijkevorsel</t>
  </si>
  <si>
    <t>WKK-0014 VGT Rijkevorsel</t>
  </si>
  <si>
    <t>interne verbrandingsmotor</t>
  </si>
  <si>
    <t>WKK interne verbrandinsgmotor (gas)</t>
  </si>
  <si>
    <t>Bolkse dijk 8, 2310 Rijkevorsel</t>
  </si>
  <si>
    <t>IVEKA</t>
  </si>
  <si>
    <t>Stoffels bvba</t>
  </si>
  <si>
    <t>Kleine Gammel 61, 2310 Rijkevorsel</t>
  </si>
  <si>
    <t>WKK-0112 Stoffels</t>
  </si>
  <si>
    <t>Hortigro bvba</t>
  </si>
  <si>
    <t>Helhoek 23, 2310 Rijkevorsel</t>
  </si>
  <si>
    <t>WKK-0142 Hortigro bvba</t>
  </si>
  <si>
    <t>Tomana bvba</t>
  </si>
  <si>
    <t>Brandgravenweg 7, 2310 Rijkevorsel</t>
  </si>
  <si>
    <t>WKK-0148 Tomana bvba</t>
  </si>
  <si>
    <t>BIO7 nv</t>
  </si>
  <si>
    <t>Berkenrijs 6, 2960 Sint-Lenaarts</t>
  </si>
  <si>
    <t>WKK-0154 Bio7</t>
  </si>
  <si>
    <t>Berkenrijs 6, 2310 Rijkevorsel</t>
  </si>
  <si>
    <t>Varom bvba</t>
  </si>
  <si>
    <t>Vrouwkensblok 5, 2310 Rijkevorsel</t>
  </si>
  <si>
    <t>WKK-0166 Varom bvba</t>
  </si>
  <si>
    <t>Mepetom nv</t>
  </si>
  <si>
    <t>Oude Baan 8, 2310 Rijkevorsel</t>
  </si>
  <si>
    <t xml:space="preserve">WKK-0161 Mepetom </t>
  </si>
  <si>
    <t>Ludo Van Rompaey</t>
  </si>
  <si>
    <t>Oude Baan 9 , 2310 Rijkevorsel</t>
  </si>
  <si>
    <t>WKK-0178 Ludo Van Rompaey</t>
  </si>
  <si>
    <t>Biolectric nv</t>
  </si>
  <si>
    <t>Jan de Malschelaan 4 B, 9140 Temse</t>
  </si>
  <si>
    <t>WKK-0477 Raf Van Riel</t>
  </si>
  <si>
    <t>Helhoek 19 , 2310 Rijkevorsel</t>
  </si>
  <si>
    <t>WKK-0547 Hermans Tomana</t>
  </si>
  <si>
    <t>Brandgravenweg 7 , 2310 Rijkevorsel</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</si>
</sst>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84137.076829954109</c:v>
                </c:pt>
                <c:pt idx="1">
                  <c:v>34299.323832319002</c:v>
                </c:pt>
                <c:pt idx="2">
                  <c:v>745.94399999999996</c:v>
                </c:pt>
                <c:pt idx="3">
                  <c:v>210763.68259388671</c:v>
                </c:pt>
                <c:pt idx="4">
                  <c:v>44576.439880053964</c:v>
                </c:pt>
                <c:pt idx="5">
                  <c:v>52209.434218472859</c:v>
                </c:pt>
                <c:pt idx="6">
                  <c:v>1434.5160145177676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61312"/>
        <c:axId val="184083584"/>
      </c:barChart>
      <c:catAx>
        <c:axId val="184061312"/>
        <c:scaling>
          <c:orientation val="minMax"/>
        </c:scaling>
        <c:axPos val="b"/>
        <c:numFmt formatCode="General" sourceLinked="0"/>
        <c:tickLblPos val="nextTo"/>
        <c:crossAx val="184083584"/>
        <c:crosses val="autoZero"/>
        <c:auto val="1"/>
        <c:lblAlgn val="ctr"/>
        <c:lblOffset val="100"/>
      </c:catAx>
      <c:valAx>
        <c:axId val="184083584"/>
        <c:scaling>
          <c:orientation val="minMax"/>
        </c:scaling>
        <c:axPos val="l"/>
        <c:majorGridlines/>
        <c:numFmt formatCode="#,##0" sourceLinked="1"/>
        <c:tickLblPos val="nextTo"/>
        <c:crossAx val="1840613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84137.076829954109</c:v>
                </c:pt>
                <c:pt idx="1">
                  <c:v>34299.323832319002</c:v>
                </c:pt>
                <c:pt idx="2">
                  <c:v>745.94399999999996</c:v>
                </c:pt>
                <c:pt idx="3">
                  <c:v>210763.68259388671</c:v>
                </c:pt>
                <c:pt idx="4">
                  <c:v>44576.439880053964</c:v>
                </c:pt>
                <c:pt idx="5">
                  <c:v>52209.434218472859</c:v>
                </c:pt>
                <c:pt idx="6">
                  <c:v>1434.5160145177676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14268.665490515214</c:v>
                </c:pt>
                <c:pt idx="1">
                  <c:v>6807.6097949988398</c:v>
                </c:pt>
                <c:pt idx="2">
                  <c:v>154.62233566496175</c:v>
                </c:pt>
                <c:pt idx="3">
                  <c:v>45982.827756476821</c:v>
                </c:pt>
                <c:pt idx="4">
                  <c:v>8862.0236124402418</c:v>
                </c:pt>
                <c:pt idx="5">
                  <c:v>13088.490730170312</c:v>
                </c:pt>
                <c:pt idx="6">
                  <c:v>362.35190315232626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6144"/>
        <c:axId val="184537088"/>
      </c:barChart>
      <c:catAx>
        <c:axId val="184486144"/>
        <c:scaling>
          <c:orientation val="minMax"/>
        </c:scaling>
        <c:axPos val="b"/>
        <c:numFmt formatCode="General" sourceLinked="0"/>
        <c:tickLblPos val="nextTo"/>
        <c:crossAx val="184537088"/>
        <c:crosses val="autoZero"/>
        <c:auto val="1"/>
        <c:lblAlgn val="ctr"/>
        <c:lblOffset val="100"/>
      </c:catAx>
      <c:valAx>
        <c:axId val="184537088"/>
        <c:scaling>
          <c:orientation val="minMax"/>
        </c:scaling>
        <c:axPos val="l"/>
        <c:majorGridlines/>
        <c:numFmt formatCode="#,##0" sourceLinked="1"/>
        <c:tickLblPos val="nextTo"/>
        <c:crossAx val="184486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14268.665490515214</c:v>
                </c:pt>
                <c:pt idx="1">
                  <c:v>6807.6097949988398</c:v>
                </c:pt>
                <c:pt idx="2">
                  <c:v>154.62233566496175</c:v>
                </c:pt>
                <c:pt idx="3">
                  <c:v>45982.827756476821</c:v>
                </c:pt>
                <c:pt idx="4">
                  <c:v>8862.0236124402418</c:v>
                </c:pt>
                <c:pt idx="5">
                  <c:v>13088.490730170312</c:v>
                </c:pt>
                <c:pt idx="6">
                  <c:v>362.35190315232626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13037</v>
      </c>
      <c r="B6" s="416"/>
      <c r="C6" s="417"/>
    </row>
    <row r="7" spans="1:7" s="414" customFormat="1" ht="15.75" customHeight="1">
      <c r="A7" s="418" t="str">
        <f>txtMunicipality</f>
        <v>RIJKEVORSEL</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4525</v>
      </c>
      <c r="C9" s="342">
        <v>4957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2861</v>
      </c>
    </row>
    <row r="15" spans="1:6">
      <c r="A15" s="348" t="s">
        <v>184</v>
      </c>
      <c r="B15" s="334">
        <v>1701</v>
      </c>
    </row>
    <row r="16" spans="1:6">
      <c r="A16" s="348" t="s">
        <v>6</v>
      </c>
      <c r="B16" s="334">
        <v>2291</v>
      </c>
    </row>
    <row r="17" spans="1:6">
      <c r="A17" s="348" t="s">
        <v>7</v>
      </c>
      <c r="B17" s="334">
        <v>795</v>
      </c>
    </row>
    <row r="18" spans="1:6">
      <c r="A18" s="348" t="s">
        <v>8</v>
      </c>
      <c r="B18" s="334">
        <v>1904</v>
      </c>
    </row>
    <row r="19" spans="1:6">
      <c r="A19" s="348" t="s">
        <v>9</v>
      </c>
      <c r="B19" s="334">
        <v>1887</v>
      </c>
    </row>
    <row r="20" spans="1:6">
      <c r="A20" s="348" t="s">
        <v>10</v>
      </c>
      <c r="B20" s="334">
        <v>1258</v>
      </c>
    </row>
    <row r="21" spans="1:6">
      <c r="A21" s="348" t="s">
        <v>11</v>
      </c>
      <c r="B21" s="334">
        <v>18802</v>
      </c>
    </row>
    <row r="22" spans="1:6">
      <c r="A22" s="348" t="s">
        <v>12</v>
      </c>
      <c r="B22" s="334">
        <v>36392</v>
      </c>
    </row>
    <row r="23" spans="1:6">
      <c r="A23" s="348" t="s">
        <v>13</v>
      </c>
      <c r="B23" s="334">
        <v>633</v>
      </c>
    </row>
    <row r="24" spans="1:6">
      <c r="A24" s="348" t="s">
        <v>14</v>
      </c>
      <c r="B24" s="334">
        <v>56</v>
      </c>
    </row>
    <row r="25" spans="1:6">
      <c r="A25" s="348" t="s">
        <v>15</v>
      </c>
      <c r="B25" s="334">
        <v>2746</v>
      </c>
    </row>
    <row r="26" spans="1:6">
      <c r="A26" s="348" t="s">
        <v>16</v>
      </c>
      <c r="B26" s="334">
        <v>119</v>
      </c>
    </row>
    <row r="27" spans="1:6">
      <c r="A27" s="348" t="s">
        <v>17</v>
      </c>
      <c r="B27" s="334">
        <v>0</v>
      </c>
    </row>
    <row r="28" spans="1:6" s="356" customFormat="1">
      <c r="A28" s="355" t="s">
        <v>18</v>
      </c>
      <c r="B28" s="355">
        <v>723510</v>
      </c>
    </row>
    <row r="29" spans="1:6">
      <c r="A29" s="355" t="s">
        <v>865</v>
      </c>
      <c r="B29" s="355">
        <v>108</v>
      </c>
      <c r="C29" s="356"/>
      <c r="D29" s="356"/>
      <c r="E29" s="356"/>
      <c r="F29" s="356"/>
    </row>
    <row r="30" spans="1:6">
      <c r="A30" s="341" t="s">
        <v>866</v>
      </c>
      <c r="B30" s="341">
        <v>17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7</v>
      </c>
      <c r="F35" s="334">
        <v>5351990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3</v>
      </c>
      <c r="D38" s="334">
        <v>75224194.655693904</v>
      </c>
      <c r="E38" s="334">
        <v>6</v>
      </c>
      <c r="F38" s="334">
        <v>1570960</v>
      </c>
    </row>
    <row r="39" spans="1:6">
      <c r="A39" s="348" t="s">
        <v>30</v>
      </c>
      <c r="B39" s="348" t="s">
        <v>31</v>
      </c>
      <c r="C39" s="334">
        <v>3103</v>
      </c>
      <c r="D39" s="334">
        <v>47968686.313537799</v>
      </c>
      <c r="E39" s="334">
        <v>4546</v>
      </c>
      <c r="F39" s="334">
        <v>19557729</v>
      </c>
    </row>
    <row r="40" spans="1:6">
      <c r="A40" s="348" t="s">
        <v>30</v>
      </c>
      <c r="B40" s="348" t="s">
        <v>29</v>
      </c>
      <c r="C40" s="334">
        <v>0</v>
      </c>
      <c r="D40" s="334">
        <v>0</v>
      </c>
      <c r="E40" s="334">
        <v>0</v>
      </c>
      <c r="F40" s="334">
        <v>0</v>
      </c>
    </row>
    <row r="41" spans="1:6">
      <c r="A41" s="348" t="s">
        <v>32</v>
      </c>
      <c r="B41" s="348" t="s">
        <v>33</v>
      </c>
      <c r="C41" s="334">
        <v>39</v>
      </c>
      <c r="D41" s="334">
        <v>855926.37869184895</v>
      </c>
      <c r="E41" s="334">
        <v>118</v>
      </c>
      <c r="F41" s="334">
        <v>3393220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20</v>
      </c>
      <c r="F44" s="334">
        <v>477401.5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25</v>
      </c>
      <c r="D48" s="334">
        <v>20425095.066224501</v>
      </c>
      <c r="E48" s="334">
        <v>30</v>
      </c>
      <c r="F48" s="334">
        <v>9871236</v>
      </c>
    </row>
    <row r="49" spans="1:6">
      <c r="A49" s="348" t="s">
        <v>32</v>
      </c>
      <c r="B49" s="348" t="s">
        <v>40</v>
      </c>
      <c r="C49" s="334">
        <v>0</v>
      </c>
      <c r="D49" s="334">
        <v>0</v>
      </c>
      <c r="E49" s="334">
        <v>0</v>
      </c>
      <c r="F49" s="334">
        <v>0</v>
      </c>
    </row>
    <row r="50" spans="1:6">
      <c r="A50" s="348" t="s">
        <v>32</v>
      </c>
      <c r="B50" s="348" t="s">
        <v>41</v>
      </c>
      <c r="C50" s="334">
        <v>9</v>
      </c>
      <c r="D50" s="334">
        <v>594601.51219955506</v>
      </c>
      <c r="E50" s="334">
        <v>12</v>
      </c>
      <c r="F50" s="334">
        <v>456497.5</v>
      </c>
    </row>
    <row r="51" spans="1:6">
      <c r="A51" s="348" t="s">
        <v>42</v>
      </c>
      <c r="B51" s="348" t="s">
        <v>43</v>
      </c>
      <c r="C51" s="334">
        <v>13</v>
      </c>
      <c r="D51" s="334">
        <v>282388917.63661802</v>
      </c>
      <c r="E51" s="334">
        <v>138</v>
      </c>
      <c r="F51" s="334">
        <v>5580191</v>
      </c>
    </row>
    <row r="52" spans="1:6">
      <c r="A52" s="348" t="s">
        <v>42</v>
      </c>
      <c r="B52" s="348" t="s">
        <v>29</v>
      </c>
      <c r="C52" s="334">
        <v>11</v>
      </c>
      <c r="D52" s="334">
        <v>3237945.2484880998</v>
      </c>
      <c r="E52" s="334">
        <v>5</v>
      </c>
      <c r="F52" s="334">
        <v>51703.94</v>
      </c>
    </row>
    <row r="53" spans="1:6">
      <c r="A53" s="348" t="s">
        <v>44</v>
      </c>
      <c r="B53" s="348" t="s">
        <v>45</v>
      </c>
      <c r="C53" s="334">
        <v>64</v>
      </c>
      <c r="D53" s="334">
        <v>1020924.92566988</v>
      </c>
      <c r="E53" s="334">
        <v>177</v>
      </c>
      <c r="F53" s="334">
        <v>956985.2</v>
      </c>
    </row>
    <row r="54" spans="1:6">
      <c r="A54" s="348" t="s">
        <v>46</v>
      </c>
      <c r="B54" s="348" t="s">
        <v>47</v>
      </c>
      <c r="C54" s="334">
        <v>0</v>
      </c>
      <c r="D54" s="334">
        <v>0</v>
      </c>
      <c r="E54" s="334">
        <v>1</v>
      </c>
      <c r="F54" s="334">
        <v>745944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1227399.66754469</v>
      </c>
      <c r="E57" s="334">
        <v>35</v>
      </c>
      <c r="F57" s="334">
        <v>1716455</v>
      </c>
    </row>
    <row r="58" spans="1:6">
      <c r="A58" s="348" t="s">
        <v>49</v>
      </c>
      <c r="B58" s="348" t="s">
        <v>51</v>
      </c>
      <c r="C58" s="334">
        <v>0</v>
      </c>
      <c r="D58" s="334">
        <v>0</v>
      </c>
      <c r="E58" s="334">
        <v>18</v>
      </c>
      <c r="F58" s="334">
        <v>544278.19999999995</v>
      </c>
    </row>
    <row r="59" spans="1:6">
      <c r="A59" s="348" t="s">
        <v>49</v>
      </c>
      <c r="B59" s="348" t="s">
        <v>52</v>
      </c>
      <c r="C59" s="334">
        <v>36</v>
      </c>
      <c r="D59" s="334">
        <v>2501023.2464679698</v>
      </c>
      <c r="E59" s="334">
        <v>100</v>
      </c>
      <c r="F59" s="334">
        <v>4232583</v>
      </c>
    </row>
    <row r="60" spans="1:6">
      <c r="A60" s="348" t="s">
        <v>49</v>
      </c>
      <c r="B60" s="348" t="s">
        <v>53</v>
      </c>
      <c r="C60" s="334">
        <v>32</v>
      </c>
      <c r="D60" s="334">
        <v>1214415.53044109</v>
      </c>
      <c r="E60" s="334">
        <v>47</v>
      </c>
      <c r="F60" s="334">
        <v>1683686</v>
      </c>
    </row>
    <row r="61" spans="1:6">
      <c r="A61" s="348" t="s">
        <v>49</v>
      </c>
      <c r="B61" s="348" t="s">
        <v>54</v>
      </c>
      <c r="C61" s="334">
        <v>32</v>
      </c>
      <c r="D61" s="334">
        <v>1167696.3133662799</v>
      </c>
      <c r="E61" s="334">
        <v>125</v>
      </c>
      <c r="F61" s="334">
        <v>1447277</v>
      </c>
    </row>
    <row r="62" spans="1:6">
      <c r="A62" s="348" t="s">
        <v>49</v>
      </c>
      <c r="B62" s="348" t="s">
        <v>55</v>
      </c>
      <c r="C62" s="334">
        <v>3</v>
      </c>
      <c r="D62" s="334">
        <v>251070.533724318</v>
      </c>
      <c r="E62" s="334">
        <v>4</v>
      </c>
      <c r="F62" s="334">
        <v>86581.89</v>
      </c>
    </row>
    <row r="63" spans="1:6">
      <c r="A63" s="348" t="s">
        <v>49</v>
      </c>
      <c r="B63" s="348" t="s">
        <v>29</v>
      </c>
      <c r="C63" s="334">
        <v>87</v>
      </c>
      <c r="D63" s="334">
        <v>4494784.9169731401</v>
      </c>
      <c r="E63" s="334">
        <v>107</v>
      </c>
      <c r="F63" s="334">
        <v>9550484</v>
      </c>
    </row>
    <row r="64" spans="1:6">
      <c r="A64" s="348" t="s">
        <v>56</v>
      </c>
      <c r="B64" s="348" t="s">
        <v>57</v>
      </c>
      <c r="C64" s="334">
        <v>0</v>
      </c>
      <c r="D64" s="334">
        <v>0</v>
      </c>
      <c r="E64" s="334">
        <v>0</v>
      </c>
      <c r="F64" s="334">
        <v>0</v>
      </c>
    </row>
    <row r="65" spans="1:6">
      <c r="A65" s="348" t="s">
        <v>56</v>
      </c>
      <c r="B65" s="348" t="s">
        <v>29</v>
      </c>
      <c r="C65" s="334">
        <v>3</v>
      </c>
      <c r="D65" s="334">
        <v>77564.144043789405</v>
      </c>
      <c r="E65" s="334">
        <v>3</v>
      </c>
      <c r="F65" s="334">
        <v>116273.1</v>
      </c>
    </row>
    <row r="66" spans="1:6">
      <c r="A66" s="348" t="s">
        <v>56</v>
      </c>
      <c r="B66" s="348" t="s">
        <v>58</v>
      </c>
      <c r="C66" s="334">
        <v>0</v>
      </c>
      <c r="D66" s="334">
        <v>0</v>
      </c>
      <c r="E66" s="334">
        <v>3</v>
      </c>
      <c r="F66" s="334">
        <v>2545.0189999999998</v>
      </c>
    </row>
    <row r="67" spans="1:6">
      <c r="A67" s="355" t="s">
        <v>56</v>
      </c>
      <c r="B67" s="355" t="s">
        <v>59</v>
      </c>
      <c r="C67" s="334">
        <v>0</v>
      </c>
      <c r="D67" s="334">
        <v>0</v>
      </c>
      <c r="E67" s="334">
        <v>0</v>
      </c>
      <c r="F67" s="334">
        <v>0</v>
      </c>
    </row>
    <row r="68" spans="1:6">
      <c r="A68" s="341" t="s">
        <v>56</v>
      </c>
      <c r="B68" s="341" t="s">
        <v>60</v>
      </c>
      <c r="C68" s="334">
        <v>0</v>
      </c>
      <c r="D68" s="334">
        <v>0</v>
      </c>
      <c r="E68" s="334">
        <v>6</v>
      </c>
      <c r="F68" s="334">
        <v>68176.81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47304407</v>
      </c>
      <c r="E73" s="477">
        <v>48702574.270100348</v>
      </c>
    </row>
    <row r="74" spans="1:6">
      <c r="A74" s="348" t="s">
        <v>64</v>
      </c>
      <c r="B74" s="348" t="s">
        <v>714</v>
      </c>
      <c r="C74" s="1288" t="s">
        <v>716</v>
      </c>
      <c r="D74" s="477">
        <v>5948164.5362500437</v>
      </c>
      <c r="E74" s="477">
        <v>6140329.8454472525</v>
      </c>
    </row>
    <row r="75" spans="1:6">
      <c r="A75" s="348" t="s">
        <v>65</v>
      </c>
      <c r="B75" s="348" t="s">
        <v>713</v>
      </c>
      <c r="C75" s="1288" t="s">
        <v>717</v>
      </c>
      <c r="D75" s="477">
        <v>8934886</v>
      </c>
      <c r="E75" s="477">
        <v>9213554.4517974183</v>
      </c>
    </row>
    <row r="76" spans="1:6">
      <c r="A76" s="348" t="s">
        <v>65</v>
      </c>
      <c r="B76" s="348" t="s">
        <v>714</v>
      </c>
      <c r="C76" s="1288" t="s">
        <v>718</v>
      </c>
      <c r="D76" s="477">
        <v>86117.536250043602</v>
      </c>
      <c r="E76" s="477">
        <v>98160.663372926763</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383336.9274999128</v>
      </c>
      <c r="C83" s="477">
        <v>378993.68810436863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2813.9930860916529</v>
      </c>
    </row>
    <row r="92" spans="1:6">
      <c r="A92" s="341" t="s">
        <v>69</v>
      </c>
      <c r="B92" s="342">
        <v>1622.9443806253264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1914</v>
      </c>
    </row>
    <row r="98" spans="1:6">
      <c r="A98" s="348" t="s">
        <v>72</v>
      </c>
      <c r="B98" s="334">
        <v>6</v>
      </c>
    </row>
    <row r="99" spans="1:6">
      <c r="A99" s="348" t="s">
        <v>73</v>
      </c>
      <c r="B99" s="334">
        <v>114</v>
      </c>
    </row>
    <row r="100" spans="1:6">
      <c r="A100" s="348" t="s">
        <v>74</v>
      </c>
      <c r="B100" s="334">
        <v>381</v>
      </c>
    </row>
    <row r="101" spans="1:6">
      <c r="A101" s="348" t="s">
        <v>75</v>
      </c>
      <c r="B101" s="334">
        <v>105</v>
      </c>
    </row>
    <row r="102" spans="1:6">
      <c r="A102" s="348" t="s">
        <v>76</v>
      </c>
      <c r="B102" s="334">
        <v>41</v>
      </c>
    </row>
    <row r="103" spans="1:6">
      <c r="A103" s="348" t="s">
        <v>77</v>
      </c>
      <c r="B103" s="334">
        <v>117</v>
      </c>
    </row>
    <row r="104" spans="1:6">
      <c r="A104" s="348" t="s">
        <v>78</v>
      </c>
      <c r="B104" s="334">
        <v>1106</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15</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82</v>
      </c>
    </row>
    <row r="130" spans="1:6">
      <c r="A130" s="348" t="s">
        <v>295</v>
      </c>
      <c r="B130" s="334">
        <v>1</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62216.968909221207</v>
      </c>
      <c r="C3" s="43" t="s">
        <v>170</v>
      </c>
      <c r="D3" s="43"/>
      <c r="E3" s="154"/>
      <c r="F3" s="43"/>
      <c r="G3" s="43"/>
      <c r="H3" s="43"/>
      <c r="I3" s="43"/>
      <c r="J3" s="43"/>
      <c r="K3" s="96"/>
    </row>
    <row r="4" spans="1:11">
      <c r="A4" s="384" t="s">
        <v>171</v>
      </c>
      <c r="B4" s="49">
        <f>IF(ISERROR('SEAP template'!B69),0,'SEAP template'!B69)</f>
        <v>137385.83746671697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28477.900588235298</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0.20728410666881394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40682.715126050425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189926.99999999997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0.21420185190125907</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745.94399999999996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745.94399999999996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0.20728410666881394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154.62233566496175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19557.728999999999</v>
      </c>
      <c r="C5" s="17">
        <f>IF(ISERROR('Eigen informatie GS &amp; warmtenet'!B57),0,'Eigen informatie GS &amp; warmtenet'!B57)</f>
        <v>0</v>
      </c>
      <c r="D5" s="30">
        <f>(SUM(HH_hh_gas_kWh,HH_rest_gas_kWh)/1000)*0.902</f>
        <v>43267.755054811096</v>
      </c>
      <c r="E5" s="17">
        <f>B46*B57</f>
        <v>3926.3283796691121</v>
      </c>
      <c r="F5" s="17">
        <f>B51*B62</f>
        <v>0</v>
      </c>
      <c r="G5" s="18"/>
      <c r="H5" s="17"/>
      <c r="I5" s="17"/>
      <c r="J5" s="17">
        <f>B50*B61+C50*C61</f>
        <v>0</v>
      </c>
      <c r="K5" s="17"/>
      <c r="L5" s="17"/>
      <c r="M5" s="17"/>
      <c r="N5" s="17">
        <f>B48*B59+C48*C59</f>
        <v>13714.161309382271</v>
      </c>
      <c r="O5" s="17">
        <f>B69*B70*B71</f>
        <v>151.64333333333335</v>
      </c>
      <c r="P5" s="17">
        <f>B77*B78*B79/1000-B77*B78*B79/1000/B80</f>
        <v>705.4666666666667</v>
      </c>
    </row>
    <row r="6" spans="1:16">
      <c r="A6" s="16" t="s">
        <v>631</v>
      </c>
      <c r="B6" s="844">
        <f>kWh_PV_kleiner_dan_10kW</f>
        <v>2813.9930860916529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22371.722086091653</v>
      </c>
      <c r="C8" s="21">
        <f>C5</f>
        <v>0</v>
      </c>
      <c r="D8" s="21">
        <f>D5</f>
        <v>43267.755054811096</v>
      </c>
      <c r="E8" s="21">
        <f>E5</f>
        <v>3926.3283796691121</v>
      </c>
      <c r="F8" s="21">
        <f>F5</f>
        <v>0</v>
      </c>
      <c r="G8" s="21"/>
      <c r="H8" s="21"/>
      <c r="I8" s="21"/>
      <c r="J8" s="21">
        <f>J5</f>
        <v>0</v>
      </c>
      <c r="K8" s="21"/>
      <c r="L8" s="21">
        <f>L5</f>
        <v>0</v>
      </c>
      <c r="M8" s="21">
        <f>M5</f>
        <v>0</v>
      </c>
      <c r="N8" s="21">
        <f>N5</f>
        <v>13714.161309382271</v>
      </c>
      <c r="O8" s="21">
        <f>O5</f>
        <v>151.64333333333335</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0.20728410666881394</v>
      </c>
      <c r="C10" s="25">
        <f ca="1">'EF ele_warmte'!B22</f>
        <v>0.21420185190125907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4637.3024272584835</v>
      </c>
      <c r="C12" s="23">
        <f ca="1">C10*C8</f>
        <v>0</v>
      </c>
      <c r="D12" s="23">
        <f>D8*D10</f>
        <v>8740.0865210718421</v>
      </c>
      <c r="E12" s="23">
        <f>E10*E8</f>
        <v>891.27654218488851</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1914</v>
      </c>
      <c r="C18" s="166" t="s">
        <v>111</v>
      </c>
      <c r="D18" s="228"/>
      <c r="E18" s="15"/>
    </row>
    <row r="19" spans="1:7">
      <c r="A19" s="171" t="s">
        <v>72</v>
      </c>
      <c r="B19" s="37">
        <f>aantalw2001_ander</f>
        <v>6</v>
      </c>
      <c r="C19" s="166" t="s">
        <v>111</v>
      </c>
      <c r="D19" s="229"/>
      <c r="E19" s="15"/>
    </row>
    <row r="20" spans="1:7">
      <c r="A20" s="171" t="s">
        <v>73</v>
      </c>
      <c r="B20" s="37">
        <f>aantalw2001_propaan</f>
        <v>114</v>
      </c>
      <c r="C20" s="167">
        <f>IF(ISERROR(B20/SUM($B$20,$B$21,$B$22)*100),0,B20/SUM($B$20,$B$21,$B$22)*100)</f>
        <v>19</v>
      </c>
      <c r="D20" s="229"/>
      <c r="E20" s="15"/>
    </row>
    <row r="21" spans="1:7">
      <c r="A21" s="171" t="s">
        <v>74</v>
      </c>
      <c r="B21" s="37">
        <f>aantalw2001_elektriciteit</f>
        <v>381</v>
      </c>
      <c r="C21" s="167">
        <f>IF(ISERROR(B21/SUM($B$20,$B$21,$B$22)*100),0,B21/SUM($B$20,$B$21,$B$22)*100)</f>
        <v>63.5</v>
      </c>
      <c r="D21" s="229"/>
      <c r="E21" s="15"/>
    </row>
    <row r="22" spans="1:7">
      <c r="A22" s="171" t="s">
        <v>75</v>
      </c>
      <c r="B22" s="37">
        <f>aantalw2001_hout</f>
        <v>105</v>
      </c>
      <c r="C22" s="167">
        <f>IF(ISERROR(B22/SUM($B$20,$B$21,$B$22)*100),0,B22/SUM($B$20,$B$21,$B$22)*100)</f>
        <v>17.5</v>
      </c>
      <c r="D22" s="229"/>
      <c r="E22" s="15"/>
    </row>
    <row r="23" spans="1:7">
      <c r="A23" s="171" t="s">
        <v>76</v>
      </c>
      <c r="B23" s="37">
        <f>aantalw2001_niet_gespec</f>
        <v>41</v>
      </c>
      <c r="C23" s="166" t="s">
        <v>111</v>
      </c>
      <c r="D23" s="228"/>
      <c r="E23" s="15"/>
    </row>
    <row r="24" spans="1:7">
      <c r="A24" s="171" t="s">
        <v>77</v>
      </c>
      <c r="B24" s="37">
        <f>aantalw2001_steenkool</f>
        <v>117</v>
      </c>
      <c r="C24" s="166" t="s">
        <v>111</v>
      </c>
      <c r="D24" s="229"/>
      <c r="E24" s="15"/>
    </row>
    <row r="25" spans="1:7">
      <c r="A25" s="171" t="s">
        <v>78</v>
      </c>
      <c r="B25" s="37">
        <f>aantalw2001_stookolie</f>
        <v>1106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4525</v>
      </c>
      <c r="C28" s="36"/>
      <c r="D28" s="228"/>
    </row>
    <row r="29" spans="1:7" s="15" customFormat="1">
      <c r="A29" s="230" t="s">
        <v>741</v>
      </c>
      <c r="B29" s="37">
        <f>SUM(HH_hh_gas_aantal,HH_rest_gas_aantal)</f>
        <v>3103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3103</v>
      </c>
      <c r="C32" s="167">
        <f>IF(ISERROR(B32/SUM($B$32,$B$34,$B$35,$B$36,$B$38,$B$39)*100),0,B32/SUM($B$32,$B$34,$B$35,$B$36,$B$38,$B$39)*100)</f>
        <v>69.139928698752229</v>
      </c>
      <c r="D32" s="233"/>
      <c r="G32" s="15"/>
    </row>
    <row r="33" spans="1:7">
      <c r="A33" s="171" t="s">
        <v>72</v>
      </c>
      <c r="B33" s="34" t="s">
        <v>111</v>
      </c>
      <c r="C33" s="167"/>
      <c r="D33" s="233"/>
      <c r="G33" s="15"/>
    </row>
    <row r="34" spans="1:7">
      <c r="A34" s="171" t="s">
        <v>73</v>
      </c>
      <c r="B34" s="33">
        <f>IF((($B$28-$B$32-$B$39-$B$77-$B$38)*C20/100)&lt;0,0,($B$28-$B$32-$B$39-$B$77-$B$38)*C20/100)</f>
        <v>263.14999999999998</v>
      </c>
      <c r="C34" s="167">
        <f>IF(ISERROR(B34/SUM($B$32,$B$34,$B$35,$B$36,$B$38,$B$39)*100),0,B34/SUM($B$32,$B$34,$B$35,$B$36,$B$38,$B$39)*100)</f>
        <v>5.8634135472370765</v>
      </c>
      <c r="D34" s="233"/>
      <c r="G34" s="15"/>
    </row>
    <row r="35" spans="1:7">
      <c r="A35" s="171" t="s">
        <v>74</v>
      </c>
      <c r="B35" s="33">
        <f>IF((($B$28-$B$32-$B$39-$B$77-$B$38)*C21/100)&lt;0,0,($B$28-$B$32-$B$39-$B$77-$B$38)*C21/100)</f>
        <v>879.47500000000002</v>
      </c>
      <c r="C35" s="167">
        <f>IF(ISERROR(B35/SUM($B$32,$B$34,$B$35,$B$36,$B$38,$B$39)*100),0,B35/SUM($B$32,$B$34,$B$35,$B$36,$B$38,$B$39)*100)</f>
        <v>19.596145276292333</v>
      </c>
      <c r="D35" s="233"/>
      <c r="G35" s="15"/>
    </row>
    <row r="36" spans="1:7">
      <c r="A36" s="171" t="s">
        <v>75</v>
      </c>
      <c r="B36" s="33">
        <f>IF((($B$28-$B$32-$B$39-$B$77-$B$38)*C22/100)&lt;0,0,($B$28-$B$32-$B$39-$B$77-$B$38)*C22/100)</f>
        <v>242.375</v>
      </c>
      <c r="C36" s="167">
        <f>IF(ISERROR(B36/SUM($B$32,$B$34,$B$35,$B$36,$B$38,$B$39)*100),0,B36/SUM($B$32,$B$34,$B$35,$B$36,$B$38,$B$39)*100)</f>
        <v>5.40051247771836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3103</v>
      </c>
      <c r="C44" s="34" t="s">
        <v>111</v>
      </c>
      <c r="D44" s="174"/>
    </row>
    <row r="45" spans="1:7">
      <c r="A45" s="171" t="s">
        <v>72</v>
      </c>
      <c r="B45" s="33" t="str">
        <f t="shared" si="0"/>
        <v>-</v>
      </c>
      <c r="C45" s="34" t="s">
        <v>111</v>
      </c>
      <c r="D45" s="174"/>
    </row>
    <row r="46" spans="1:7">
      <c r="A46" s="171" t="s">
        <v>73</v>
      </c>
      <c r="B46" s="33">
        <f t="shared" si="0"/>
        <v>263.14999999999998</v>
      </c>
      <c r="C46" s="34" t="s">
        <v>111</v>
      </c>
      <c r="D46" s="174"/>
    </row>
    <row r="47" spans="1:7">
      <c r="A47" s="171" t="s">
        <v>74</v>
      </c>
      <c r="B47" s="33">
        <f t="shared" si="0"/>
        <v>879.47500000000002</v>
      </c>
      <c r="C47" s="34" t="s">
        <v>111</v>
      </c>
      <c r="D47" s="174"/>
    </row>
    <row r="48" spans="1:7">
      <c r="A48" s="171" t="s">
        <v>75</v>
      </c>
      <c r="B48" s="33">
        <f t="shared" si="0"/>
        <v>242.375</v>
      </c>
      <c r="C48" s="33">
        <f>B48*10</f>
        <v>2423.75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19261.345089999999</v>
      </c>
      <c r="C5" s="17">
        <f>IF(ISERROR('Eigen informatie GS &amp; warmtenet'!B58),0,'Eigen informatie GS &amp; warmtenet'!B58)</f>
        <v>0</v>
      </c>
      <c r="D5" s="30">
        <f>SUM(D6:D12)</f>
        <v>9792.4639680827731</v>
      </c>
      <c r="E5" s="17">
        <f>SUM(E6:E12)</f>
        <v>213.05374722586507</v>
      </c>
      <c r="F5" s="17">
        <f>SUM(F6:F12)</f>
        <v>2953.551170806938</v>
      </c>
      <c r="G5" s="18"/>
      <c r="H5" s="17"/>
      <c r="I5" s="17"/>
      <c r="J5" s="17">
        <f>SUM(J6:J12)</f>
        <v>0</v>
      </c>
      <c r="K5" s="17"/>
      <c r="L5" s="17"/>
      <c r="M5" s="17"/>
      <c r="N5" s="17">
        <f>SUM(N6:N12)</f>
        <v>2077.3465228700966</v>
      </c>
      <c r="O5" s="17">
        <f>B38*B39*B40</f>
        <v>1.5633333333333335</v>
      </c>
      <c r="P5" s="17">
        <f>B46*B47*B48/1000-B46*B47*B48/1000/B49</f>
        <v>0</v>
      </c>
      <c r="R5" s="32"/>
    </row>
    <row r="6" spans="1:18">
      <c r="A6" s="32" t="s">
        <v>54</v>
      </c>
      <c r="B6" s="37">
        <f>B26</f>
        <v>1447.277</v>
      </c>
      <c r="C6" s="33"/>
      <c r="D6" s="37">
        <f>IF(ISERROR(TER_kantoor_gas_kWh/1000),0,TER_kantoor_gas_kWh/1000)*0.902</f>
        <v>1053.2620746563846</v>
      </c>
      <c r="E6" s="33">
        <f>$C$26*'E Balans VL '!I12/100/3.6*1000000</f>
        <v>4.1929738146449411</v>
      </c>
      <c r="F6" s="33">
        <f>$C$26*('E Balans VL '!L12+'E Balans VL '!N12)/100/3.6*1000000</f>
        <v>163.79987041549487</v>
      </c>
      <c r="G6" s="34"/>
      <c r="H6" s="33"/>
      <c r="I6" s="33"/>
      <c r="J6" s="33">
        <f>$C$26*('E Balans VL '!D12+'E Balans VL '!E12)/100/3.6*1000000</f>
        <v>0</v>
      </c>
      <c r="K6" s="33"/>
      <c r="L6" s="33"/>
      <c r="M6" s="33"/>
      <c r="N6" s="33">
        <f>$C$26*'E Balans VL '!Y12/100/3.6*1000000</f>
        <v>14.486176368692897</v>
      </c>
      <c r="O6" s="33"/>
      <c r="P6" s="33"/>
      <c r="R6" s="32"/>
    </row>
    <row r="7" spans="1:18">
      <c r="A7" s="32" t="s">
        <v>53</v>
      </c>
      <c r="B7" s="37">
        <f t="shared" ref="B7:B12" si="0">B27</f>
        <v>1683.6859999999999</v>
      </c>
      <c r="C7" s="33"/>
      <c r="D7" s="37">
        <f>IF(ISERROR(TER_horeca_gas_kWh/1000),0,TER_horeca_gas_kWh/1000)*0.902</f>
        <v>1095.4028084578631</v>
      </c>
      <c r="E7" s="33">
        <f>$C$27*'E Balans VL '!I9/100/3.6*1000000</f>
        <v>70.676434154287548</v>
      </c>
      <c r="F7" s="33">
        <f>$C$27*('E Balans VL '!L9+'E Balans VL '!N9)/100/3.6*1000000</f>
        <v>361.77446433330658</v>
      </c>
      <c r="G7" s="34"/>
      <c r="H7" s="33"/>
      <c r="I7" s="33"/>
      <c r="J7" s="33">
        <f>$C$27*('E Balans VL '!D9+'E Balans VL '!E9)/100/3.6*1000000</f>
        <v>0</v>
      </c>
      <c r="K7" s="33"/>
      <c r="L7" s="33"/>
      <c r="M7" s="33"/>
      <c r="N7" s="33">
        <f>$C$27*'E Balans VL '!Y9/100/3.6*1000000</f>
        <v>0.43387115783176949</v>
      </c>
      <c r="O7" s="33"/>
      <c r="P7" s="33"/>
      <c r="R7" s="32"/>
    </row>
    <row r="8" spans="1:18">
      <c r="A8" s="6" t="s">
        <v>52</v>
      </c>
      <c r="B8" s="37">
        <f t="shared" si="0"/>
        <v>4232.5829999999996</v>
      </c>
      <c r="C8" s="33"/>
      <c r="D8" s="37">
        <f>IF(ISERROR(TER_handel_gas_kWh/1000),0,TER_handel_gas_kWh/1000)*0.902</f>
        <v>2255.9229683141089</v>
      </c>
      <c r="E8" s="33">
        <f>$C$28*'E Balans VL '!I13/100/3.6*1000000</f>
        <v>45.461464098693156</v>
      </c>
      <c r="F8" s="33">
        <f>$C$28*('E Balans VL '!L13+'E Balans VL '!N13)/100/3.6*1000000</f>
        <v>547.94282129988676</v>
      </c>
      <c r="G8" s="34"/>
      <c r="H8" s="33"/>
      <c r="I8" s="33"/>
      <c r="J8" s="33">
        <f>$C$28*('E Balans VL '!D13+'E Balans VL '!E13)/100/3.6*1000000</f>
        <v>0</v>
      </c>
      <c r="K8" s="33"/>
      <c r="L8" s="33"/>
      <c r="M8" s="33"/>
      <c r="N8" s="33">
        <f>$C$28*'E Balans VL '!Y13/100/3.6*1000000</f>
        <v>34.334944405080307</v>
      </c>
      <c r="O8" s="33"/>
      <c r="P8" s="33"/>
      <c r="R8" s="32"/>
    </row>
    <row r="9" spans="1:18">
      <c r="A9" s="32" t="s">
        <v>51</v>
      </c>
      <c r="B9" s="37">
        <f t="shared" si="0"/>
        <v>544.27819999999997</v>
      </c>
      <c r="C9" s="33"/>
      <c r="D9" s="37">
        <f>IF(ISERROR(TER_gezond_gas_kWh/1000),0,TER_gezond_gas_kWh/1000)*0.902</f>
        <v>0</v>
      </c>
      <c r="E9" s="33">
        <f>$C$29*'E Balans VL '!I10/100/3.6*1000000</f>
        <v>0.43328065017086054</v>
      </c>
      <c r="F9" s="33">
        <f>$C$29*('E Balans VL '!L10+'E Balans VL '!N10)/100/3.6*1000000</f>
        <v>66.164880738441326</v>
      </c>
      <c r="G9" s="34"/>
      <c r="H9" s="33"/>
      <c r="I9" s="33"/>
      <c r="J9" s="33">
        <f>$C$29*('E Balans VL '!D10+'E Balans VL '!E10)/100/3.6*1000000</f>
        <v>0</v>
      </c>
      <c r="K9" s="33"/>
      <c r="L9" s="33"/>
      <c r="M9" s="33"/>
      <c r="N9" s="33">
        <f>$C$29*'E Balans VL '!Y10/100/3.6*1000000</f>
        <v>4.3965351025651893</v>
      </c>
      <c r="O9" s="33"/>
      <c r="P9" s="33"/>
      <c r="R9" s="32"/>
    </row>
    <row r="10" spans="1:18">
      <c r="A10" s="32" t="s">
        <v>50</v>
      </c>
      <c r="B10" s="37">
        <f t="shared" si="0"/>
        <v>1716.4549999999999</v>
      </c>
      <c r="C10" s="33"/>
      <c r="D10" s="37">
        <f>IF(ISERROR(TER_ander_gas_kWh/1000),0,TER_ander_gas_kWh/1000)*0.902</f>
        <v>1107.1145001253103</v>
      </c>
      <c r="E10" s="33">
        <f>$C$30*'E Balans VL '!I14/100/3.6*1000000</f>
        <v>5.882381455987046</v>
      </c>
      <c r="F10" s="33">
        <f>$C$30*('E Balans VL '!L14+'E Balans VL '!N14)/100/3.6*1000000</f>
        <v>383.38629848493105</v>
      </c>
      <c r="G10" s="34"/>
      <c r="H10" s="33"/>
      <c r="I10" s="33"/>
      <c r="J10" s="33">
        <f>$C$30*('E Balans VL '!D14+'E Balans VL '!E14)/100/3.6*1000000</f>
        <v>0</v>
      </c>
      <c r="K10" s="33"/>
      <c r="L10" s="33"/>
      <c r="M10" s="33"/>
      <c r="N10" s="33">
        <f>$C$30*'E Balans VL '!Y14/100/3.6*1000000</f>
        <v>1209.0802788103738</v>
      </c>
      <c r="O10" s="33"/>
      <c r="P10" s="33"/>
      <c r="R10" s="32"/>
    </row>
    <row r="11" spans="1:18">
      <c r="A11" s="32" t="s">
        <v>55</v>
      </c>
      <c r="B11" s="37">
        <f t="shared" si="0"/>
        <v>86.581890000000001</v>
      </c>
      <c r="C11" s="33"/>
      <c r="D11" s="37">
        <f>IF(ISERROR(TER_onderwijs_gas_kWh/1000),0,TER_onderwijs_gas_kWh/1000)*0.902</f>
        <v>226.46562141933484</v>
      </c>
      <c r="E11" s="33">
        <f>$C$31*'E Balans VL '!I11/100/3.6*1000000</f>
        <v>5.9851394044645831E-2</v>
      </c>
      <c r="F11" s="33">
        <f>$C$31*('E Balans VL '!L11+'E Balans VL '!N11)/100/3.6*1000000</f>
        <v>22.664623768744608</v>
      </c>
      <c r="G11" s="34"/>
      <c r="H11" s="33"/>
      <c r="I11" s="33"/>
      <c r="J11" s="33">
        <f>$C$31*('E Balans VL '!D11+'E Balans VL '!E11)/100/3.6*1000000</f>
        <v>0</v>
      </c>
      <c r="K11" s="33"/>
      <c r="L11" s="33"/>
      <c r="M11" s="33"/>
      <c r="N11" s="33">
        <f>$C$31*'E Balans VL '!Y11/100/3.6*1000000</f>
        <v>8.6184897024879387E-2</v>
      </c>
      <c r="O11" s="33"/>
      <c r="P11" s="33"/>
      <c r="R11" s="32"/>
    </row>
    <row r="12" spans="1:18">
      <c r="A12" s="32" t="s">
        <v>260</v>
      </c>
      <c r="B12" s="37">
        <f t="shared" si="0"/>
        <v>9550.4840000000004</v>
      </c>
      <c r="C12" s="33"/>
      <c r="D12" s="37">
        <f>IF(ISERROR(TER_rest_gas_kWh/1000),0,TER_rest_gas_kWh/1000)*0.902</f>
        <v>4054.2959951097723</v>
      </c>
      <c r="E12" s="33">
        <f>$C$32*'E Balans VL '!I8/100/3.6*1000000</f>
        <v>86.347361658036874</v>
      </c>
      <c r="F12" s="33">
        <f>$C$32*('E Balans VL '!L8+'E Balans VL '!N8)/100/3.6*1000000</f>
        <v>1407.8182117661324</v>
      </c>
      <c r="G12" s="34"/>
      <c r="H12" s="33"/>
      <c r="I12" s="33"/>
      <c r="J12" s="33">
        <f>$C$32*('E Balans VL '!D8+'E Balans VL '!E8)/100/3.6*1000000</f>
        <v>0</v>
      </c>
      <c r="K12" s="33"/>
      <c r="L12" s="33"/>
      <c r="M12" s="33"/>
      <c r="N12" s="33">
        <f>$C$32*'E Balans VL '!Y8/100/3.6*1000000</f>
        <v>814.52853212852779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19261.345089999999</v>
      </c>
      <c r="C16" s="21">
        <f t="shared" ca="1" si="1"/>
        <v>0</v>
      </c>
      <c r="D16" s="21">
        <f t="shared" ca="1" si="1"/>
        <v>9792.4639680827731</v>
      </c>
      <c r="E16" s="21">
        <f t="shared" si="1"/>
        <v>213.05374722586507</v>
      </c>
      <c r="F16" s="21">
        <f t="shared" ca="1" si="1"/>
        <v>2953.551170806938</v>
      </c>
      <c r="G16" s="21">
        <f t="shared" si="1"/>
        <v>0</v>
      </c>
      <c r="H16" s="21">
        <f t="shared" si="1"/>
        <v>0</v>
      </c>
      <c r="I16" s="21">
        <f t="shared" si="1"/>
        <v>0</v>
      </c>
      <c r="J16" s="21">
        <f t="shared" si="1"/>
        <v>0</v>
      </c>
      <c r="K16" s="21">
        <f t="shared" si="1"/>
        <v>0</v>
      </c>
      <c r="L16" s="21">
        <f t="shared" ca="1" si="1"/>
        <v>0</v>
      </c>
      <c r="M16" s="21">
        <f t="shared" si="1"/>
        <v>0</v>
      </c>
      <c r="N16" s="21">
        <f t="shared" ca="1" si="1"/>
        <v>2077.3465228700966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0.20728410666881394</v>
      </c>
      <c r="C18" s="25">
        <f ca="1">'EF ele_warmte'!B22</f>
        <v>0.21420185190125907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3992.5707102203955</v>
      </c>
      <c r="C20" s="23">
        <f t="shared" ref="C20:P20" ca="1" si="2">C16*C18</f>
        <v>0</v>
      </c>
      <c r="D20" s="23">
        <f t="shared" ca="1" si="2"/>
        <v>1978.0777215527203</v>
      </c>
      <c r="E20" s="23">
        <f t="shared" si="2"/>
        <v>48.363200620271371</v>
      </c>
      <c r="F20" s="23">
        <f t="shared" ca="1" si="2"/>
        <v>788.59816260545244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1447.277</v>
      </c>
      <c r="C26" s="39">
        <f>IF(ISERROR(B26*3.6/1000000/'E Balans VL '!Z12*100),0,B26*3.6/1000000/'E Balans VL '!Z12*100)</f>
        <v>3.1791112524763618E-2</v>
      </c>
      <c r="D26" s="237" t="s">
        <v>692</v>
      </c>
      <c r="F26" s="6"/>
    </row>
    <row r="27" spans="1:18">
      <c r="A27" s="231" t="s">
        <v>53</v>
      </c>
      <c r="B27" s="33">
        <f>IF(ISERROR(TER_horeca_ele_kWh/1000),0,TER_horeca_ele_kWh/1000)</f>
        <v>1683.6859999999999</v>
      </c>
      <c r="C27" s="39">
        <f>IF(ISERROR(B27*3.6/1000000/'E Balans VL '!Z9*100),0,B27*3.6/1000000/'E Balans VL '!Z9*100)</f>
        <v>0.13530095328027547</v>
      </c>
      <c r="D27" s="237" t="s">
        <v>692</v>
      </c>
      <c r="F27" s="6"/>
    </row>
    <row r="28" spans="1:18">
      <c r="A28" s="171" t="s">
        <v>52</v>
      </c>
      <c r="B28" s="33">
        <f>IF(ISERROR(TER_handel_ele_kWh/1000),0,TER_handel_ele_kWh/1000)</f>
        <v>4232.5829999999996</v>
      </c>
      <c r="C28" s="39">
        <f>IF(ISERROR(B28*3.6/1000000/'E Balans VL '!Z13*100),0,B28*3.6/1000000/'E Balans VL '!Z13*100)</f>
        <v>0.12515452236543048</v>
      </c>
      <c r="D28" s="237" t="s">
        <v>692</v>
      </c>
      <c r="F28" s="6"/>
    </row>
    <row r="29" spans="1:18">
      <c r="A29" s="231" t="s">
        <v>51</v>
      </c>
      <c r="B29" s="33">
        <f>IF(ISERROR(TER_gezond_ele_kWh/1000),0,TER_gezond_ele_kWh/1000)</f>
        <v>544.27819999999997</v>
      </c>
      <c r="C29" s="39">
        <f>IF(ISERROR(B29*3.6/1000000/'E Balans VL '!Z10*100),0,B29*3.6/1000000/'E Balans VL '!Z10*100)</f>
        <v>6.1326101115565086E-2</v>
      </c>
      <c r="D29" s="237" t="s">
        <v>692</v>
      </c>
      <c r="F29" s="6"/>
    </row>
    <row r="30" spans="1:18">
      <c r="A30" s="231" t="s">
        <v>50</v>
      </c>
      <c r="B30" s="33">
        <f>IF(ISERROR(TER_ander_ele_kWh/1000),0,TER_ander_ele_kWh/1000)</f>
        <v>1716.4549999999999</v>
      </c>
      <c r="C30" s="39">
        <f>IF(ISERROR(B30*3.6/1000000/'E Balans VL '!Z14*100),0,B30*3.6/1000000/'E Balans VL '!Z14*100)</f>
        <v>0.12981255750271312</v>
      </c>
      <c r="D30" s="237" t="s">
        <v>692</v>
      </c>
      <c r="F30" s="6"/>
    </row>
    <row r="31" spans="1:18">
      <c r="A31" s="231" t="s">
        <v>55</v>
      </c>
      <c r="B31" s="33">
        <f>IF(ISERROR(TER_onderwijs_ele_kWh/1000),0,TER_onderwijs_ele_kWh/1000)</f>
        <v>86.581890000000001</v>
      </c>
      <c r="C31" s="39">
        <f>IF(ISERROR(B31*3.6/1000000/'E Balans VL '!Z11*100),0,B31*3.6/1000000/'E Balans VL '!Z11*100)</f>
        <v>1.7972390451710039E-2</v>
      </c>
      <c r="D31" s="237" t="s">
        <v>692</v>
      </c>
    </row>
    <row r="32" spans="1:18">
      <c r="A32" s="231" t="s">
        <v>260</v>
      </c>
      <c r="B32" s="33">
        <f>IF(ISERROR(TER_rest_ele_kWh/1000),0,TER_rest_ele_kWh/1000)</f>
        <v>9550.4840000000004</v>
      </c>
      <c r="C32" s="39">
        <f>IF(ISERROR(B32*3.6/1000000/'E Balans VL '!Z8*100),0,B32*3.6/1000000/'E Balans VL '!Z8*100)</f>
        <v>8.0457209340526553E-2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14198.355</v>
      </c>
      <c r="C5" s="17">
        <f>IF(ISERROR('Eigen informatie GS &amp; warmtenet'!B59),0,'Eigen informatie GS &amp; warmtenet'!B59)</f>
        <v>0</v>
      </c>
      <c r="D5" s="30">
        <f>SUM(D6:D15)</f>
        <v>19731.811907318548</v>
      </c>
      <c r="E5" s="17">
        <f>SUM(E6:E15)</f>
        <v>1451.7782344000159</v>
      </c>
      <c r="F5" s="17">
        <f>SUM(F6:F15)</f>
        <v>5936.4148317813506</v>
      </c>
      <c r="G5" s="18"/>
      <c r="H5" s="17"/>
      <c r="I5" s="17"/>
      <c r="J5" s="17">
        <f>SUM(J6:J15)</f>
        <v>52.33857493159104</v>
      </c>
      <c r="K5" s="17"/>
      <c r="L5" s="17"/>
      <c r="M5" s="17"/>
      <c r="N5" s="17">
        <f>SUM(N6:N15)</f>
        <v>3205.741331622457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477.4015</v>
      </c>
      <c r="C8" s="33"/>
      <c r="D8" s="37">
        <f>IF( ISERROR(IND_metaal_Gas_kWH/1000),0,IND_metaal_Gas_kWH/1000)*0.902</f>
        <v>0</v>
      </c>
      <c r="E8" s="33">
        <f>C30*'E Balans VL '!I18/100/3.6*1000000</f>
        <v>11.947688675546045</v>
      </c>
      <c r="F8" s="33">
        <f>C30*'E Balans VL '!L18/100/3.6*1000000+C30*'E Balans VL '!N18/100/3.6*1000000</f>
        <v>149.62000481718789</v>
      </c>
      <c r="G8" s="34"/>
      <c r="H8" s="33"/>
      <c r="I8" s="33"/>
      <c r="J8" s="40">
        <f>C30*'E Balans VL '!D18/100/3.6*1000000+C30*'E Balans VL '!E18/100/3.6*1000000</f>
        <v>0</v>
      </c>
      <c r="K8" s="33"/>
      <c r="L8" s="33"/>
      <c r="M8" s="33"/>
      <c r="N8" s="33">
        <f>C30*'E Balans VL '!Y18/100/3.6*1000000</f>
        <v>11.993564644931075</v>
      </c>
      <c r="O8" s="33"/>
      <c r="P8" s="33"/>
      <c r="R8" s="32"/>
    </row>
    <row r="9" spans="1:18">
      <c r="A9" s="6" t="s">
        <v>33</v>
      </c>
      <c r="B9" s="37">
        <f t="shared" si="0"/>
        <v>3393.22</v>
      </c>
      <c r="C9" s="33"/>
      <c r="D9" s="37">
        <f>IF( ISERROR(IND_andere_gas_kWh/1000),0,IND_andere_gas_kWh/1000)*0.902</f>
        <v>772.04559358004781</v>
      </c>
      <c r="E9" s="33">
        <f>C31*'E Balans VL '!I19/100/3.6*1000000</f>
        <v>932.99632689305645</v>
      </c>
      <c r="F9" s="33">
        <f>C31*'E Balans VL '!L19/100/3.6*1000000+C31*'E Balans VL '!N19/100/3.6*1000000</f>
        <v>2674.4478226740148</v>
      </c>
      <c r="G9" s="34"/>
      <c r="H9" s="33"/>
      <c r="I9" s="33"/>
      <c r="J9" s="40">
        <f>C31*'E Balans VL '!D19/100/3.6*1000000+C31*'E Balans VL '!E19/100/3.6*1000000</f>
        <v>0</v>
      </c>
      <c r="K9" s="33"/>
      <c r="L9" s="33"/>
      <c r="M9" s="33"/>
      <c r="N9" s="33">
        <f>C31*'E Balans VL '!Y19/100/3.6*1000000</f>
        <v>1098.4748800200987</v>
      </c>
      <c r="O9" s="33"/>
      <c r="P9" s="33"/>
      <c r="R9" s="32"/>
    </row>
    <row r="10" spans="1:18">
      <c r="A10" s="6" t="s">
        <v>41</v>
      </c>
      <c r="B10" s="37">
        <f t="shared" si="0"/>
        <v>456.4975</v>
      </c>
      <c r="C10" s="33"/>
      <c r="D10" s="37">
        <f>IF( ISERROR(IND_voed_gas_kWh/1000),0,IND_voed_gas_kWh/1000)*0.902</f>
        <v>536.33056400399869</v>
      </c>
      <c r="E10" s="33">
        <f>C32*'E Balans VL '!I20/100/3.6*1000000</f>
        <v>4.6537405265922649</v>
      </c>
      <c r="F10" s="33">
        <f>C32*'E Balans VL '!L20/100/3.6*1000000+C32*'E Balans VL '!N20/100/3.6*1000000</f>
        <v>862.32092238374446</v>
      </c>
      <c r="G10" s="34"/>
      <c r="H10" s="33"/>
      <c r="I10" s="33"/>
      <c r="J10" s="40">
        <f>C32*'E Balans VL '!D20/100/3.6*1000000+C32*'E Balans VL '!E20/100/3.6*1000000</f>
        <v>10.925478841582423</v>
      </c>
      <c r="K10" s="33"/>
      <c r="L10" s="33"/>
      <c r="M10" s="33"/>
      <c r="N10" s="33">
        <f>C32*'E Balans VL '!Y20/100/3.6*1000000</f>
        <v>240.62676456419976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9871.2360000000008</v>
      </c>
      <c r="C15" s="33"/>
      <c r="D15" s="37">
        <f>IF( ISERROR(IND_rest_gas_kWh/1000),0,IND_rest_gas_kWh/1000)*0.902</f>
        <v>18423.435749734501</v>
      </c>
      <c r="E15" s="33">
        <f>C37*'E Balans VL '!I15/100/3.6*1000000</f>
        <v>502.18047830482118</v>
      </c>
      <c r="F15" s="33">
        <f>C37*'E Balans VL '!L15/100/3.6*1000000+C37*'E Balans VL '!N15/100/3.6*1000000</f>
        <v>2250.0260819064038</v>
      </c>
      <c r="G15" s="34"/>
      <c r="H15" s="33"/>
      <c r="I15" s="33"/>
      <c r="J15" s="40">
        <f>C37*'E Balans VL '!D15/100/3.6*1000000+C37*'E Balans VL '!E15/100/3.6*1000000</f>
        <v>41.413096090008615</v>
      </c>
      <c r="K15" s="33"/>
      <c r="L15" s="33"/>
      <c r="M15" s="33"/>
      <c r="N15" s="33">
        <f>C37*'E Balans VL '!Y15/100/3.6*1000000</f>
        <v>1854.6461223932276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14198.355</v>
      </c>
      <c r="C18" s="21">
        <f>C5+C16</f>
        <v>0</v>
      </c>
      <c r="D18" s="21">
        <f>MAX((D5+D16),0)</f>
        <v>19731.811907318548</v>
      </c>
      <c r="E18" s="21">
        <f>MAX((E5+E16),0)</f>
        <v>1451.7782344000159</v>
      </c>
      <c r="F18" s="21">
        <f>MAX((F5+F16),0)</f>
        <v>5936.4148317813506</v>
      </c>
      <c r="G18" s="21"/>
      <c r="H18" s="21"/>
      <c r="I18" s="21"/>
      <c r="J18" s="21">
        <f>MAX((J5+J16),0)</f>
        <v>52.33857493159104</v>
      </c>
      <c r="K18" s="21"/>
      <c r="L18" s="21">
        <f>MAX((L5+L16),0)</f>
        <v>0</v>
      </c>
      <c r="M18" s="21"/>
      <c r="N18" s="21">
        <f>MAX((N5+N16),0)</f>
        <v>3205.741331622457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0.20728410666881394</v>
      </c>
      <c r="C20" s="25">
        <f ca="1">'EF ele_warmte'!B22</f>
        <v>0.21420185190125907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2943.0933323416875</v>
      </c>
      <c r="C22" s="23">
        <f ca="1">C18*C20</f>
        <v>0</v>
      </c>
      <c r="D22" s="23">
        <f>D18*D20</f>
        <v>3985.8260052783471</v>
      </c>
      <c r="E22" s="23">
        <f>E18*E20</f>
        <v>329.55365920880359</v>
      </c>
      <c r="F22" s="23">
        <f>F18*F20</f>
        <v>1585.0227600856208</v>
      </c>
      <c r="G22" s="23"/>
      <c r="H22" s="23"/>
      <c r="I22" s="23"/>
      <c r="J22" s="23">
        <f>J18*J20</f>
        <v>18.527855525783227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477.4015</v>
      </c>
      <c r="C30" s="39">
        <f>IF(ISERROR(B30*3.6/1000000/'E Balans VL '!Z18*100),0,B30*3.6/1000000/'E Balans VL '!Z18*100)</f>
        <v>6.6820300419254505E-2</v>
      </c>
      <c r="D30" s="237" t="s">
        <v>692</v>
      </c>
    </row>
    <row r="31" spans="1:18">
      <c r="A31" s="6" t="s">
        <v>33</v>
      </c>
      <c r="B31" s="37">
        <f>IF( ISERROR(IND_ander_ele_kWh/1000),0,IND_ander_ele_kWh/1000)</f>
        <v>3393.22</v>
      </c>
      <c r="C31" s="39">
        <f>IF(ISERROR(B31*3.6/1000000/'E Balans VL '!Z19*100),0,B31*3.6/1000000/'E Balans VL '!Z19*100)</f>
        <v>0.14852068894150994</v>
      </c>
      <c r="D31" s="237" t="s">
        <v>692</v>
      </c>
    </row>
    <row r="32" spans="1:18">
      <c r="A32" s="171" t="s">
        <v>41</v>
      </c>
      <c r="B32" s="37">
        <f>IF( ISERROR(IND_voed_ele_kWh/1000),0,IND_voed_ele_kWh/1000)</f>
        <v>456.4975</v>
      </c>
      <c r="C32" s="39">
        <f>IF(ISERROR(B32*3.6/1000000/'E Balans VL '!Z20*100),0,B32*3.6/1000000/'E Balans VL '!Z20*100)</f>
        <v>0.1130136214657763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9871.2360000000008</v>
      </c>
      <c r="C37" s="39">
        <f>IF(ISERROR(B37*3.6/1000000/'E Balans VL '!Z15*100),0,B37*3.6/1000000/'E Balans VL '!Z15*100)</f>
        <v>7.3193524912880864E-2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5631.8949400000001</v>
      </c>
      <c r="C5" s="17">
        <f>'Eigen informatie GS &amp; warmtenet'!B60</f>
        <v>0</v>
      </c>
      <c r="D5" s="30">
        <f>IF(ISERROR(SUM(LB_lb_gas_kWh,LB_rest_gas_kWh,onbekend_gas_kWh)/1000),0,SUM(LB_lb_gas_kWh,LB_rest_gas_kWh,onbekend_gas_kWh)/1000)*0.902</f>
        <v>258556.30460531998</v>
      </c>
      <c r="E5" s="17">
        <f>B17*'E Balans VL '!I25/3.6*1000000/100</f>
        <v>52.164969788711304</v>
      </c>
      <c r="F5" s="17">
        <f>B17*('E Balans VL '!L25/3.6*1000000+'E Balans VL '!N25/3.6*1000000)/100</f>
        <v>14289.190337665064</v>
      </c>
      <c r="G5" s="18"/>
      <c r="H5" s="17"/>
      <c r="I5" s="17"/>
      <c r="J5" s="17">
        <f>('E Balans VL '!D25+'E Balans VL '!E25)/3.6*1000000*landbouw!B17/100</f>
        <v>863.43234643297035</v>
      </c>
      <c r="K5" s="17"/>
      <c r="L5" s="17">
        <f>L6*(-1)</f>
        <v>0</v>
      </c>
      <c r="M5" s="17"/>
      <c r="N5" s="17">
        <f>N6*(-1)</f>
        <v>37474.714285714283</v>
      </c>
      <c r="O5" s="17"/>
      <c r="P5" s="17"/>
      <c r="R5" s="32"/>
    </row>
    <row r="6" spans="1:18">
      <c r="A6" s="16" t="s">
        <v>494</v>
      </c>
      <c r="B6" s="17" t="s">
        <v>211</v>
      </c>
      <c r="C6" s="17">
        <f>'lokale energieproductie'!O91+'lokale energieproductie'!O60</f>
        <v>189926.99999999997</v>
      </c>
      <c r="D6" s="310">
        <f>('lokale energieproductie'!P60+'lokale energieproductie'!P91)*(-1)</f>
        <v>-342379.28571428574</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-37474.714285714283</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5631.8949400000001</v>
      </c>
      <c r="C8" s="21">
        <f>C5+C6</f>
        <v>189926.99999999997</v>
      </c>
      <c r="D8" s="21">
        <f>MAX((D5+D6),0)</f>
        <v>0</v>
      </c>
      <c r="E8" s="21">
        <f>MAX((E5+E6),0)</f>
        <v>52.164969788711304</v>
      </c>
      <c r="F8" s="21">
        <f>MAX((F5+F6),0)</f>
        <v>14289.190337665064</v>
      </c>
      <c r="G8" s="21"/>
      <c r="H8" s="21"/>
      <c r="I8" s="21"/>
      <c r="J8" s="21">
        <f>MAX((J5+J6),0)</f>
        <v>863.43234643297035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0.20728410666881394</v>
      </c>
      <c r="C10" s="31">
        <f ca="1">'EF ele_warmte'!B22</f>
        <v>0.21420185190125907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1167.4023114905135</v>
      </c>
      <c r="C12" s="23">
        <f ca="1">C8*C10</f>
        <v>40682.715126050425</v>
      </c>
      <c r="D12" s="23">
        <f>D8*D10</f>
        <v>0</v>
      </c>
      <c r="E12" s="23">
        <f>E8*E10</f>
        <v>11.841448142037466</v>
      </c>
      <c r="F12" s="23">
        <f>F8*F10</f>
        <v>3815.2138201565722</v>
      </c>
      <c r="G12" s="23"/>
      <c r="H12" s="23"/>
      <c r="I12" s="23"/>
      <c r="J12" s="23">
        <f>J8*J10</f>
        <v>305.65505063727147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0.80073604365418682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711.53524580128544</v>
      </c>
      <c r="C26" s="247">
        <f>B26*'GWP N2O_CH4'!B5</f>
        <v>14942.240161826994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379.509096034886</v>
      </c>
      <c r="C27" s="247">
        <f>B27*'GWP N2O_CH4'!B5</f>
        <v>7969.6910167326059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11.472189499820169</v>
      </c>
      <c r="C28" s="247">
        <f>B28*'GWP N2O_CH4'!B4</f>
        <v>3556.3787449442525</v>
      </c>
      <c r="D28" s="50"/>
    </row>
    <row r="29" spans="1:4">
      <c r="A29" s="41" t="s">
        <v>277</v>
      </c>
      <c r="B29" s="247">
        <f>B34*'ha_N2O bodem landbouw'!B4</f>
        <v>18.939211029253212</v>
      </c>
      <c r="C29" s="247">
        <f>B29*'GWP N2O_CH4'!B4</f>
        <v>5871.1554190684956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4.247731375902699E-3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2.7748055266436724E-5</v>
      </c>
      <c r="C5" s="464" t="s">
        <v>211</v>
      </c>
      <c r="D5" s="449">
        <f>SUM(D6:D11)</f>
        <v>7.202292080843064E-5</v>
      </c>
      <c r="E5" s="449">
        <f>SUM(E6:E11)</f>
        <v>4.5991483187680368E-4</v>
      </c>
      <c r="F5" s="462" t="s">
        <v>211</v>
      </c>
      <c r="G5" s="449">
        <f>SUM(G6:G11)</f>
        <v>0.15059035724763326</v>
      </c>
      <c r="H5" s="449">
        <f>SUM(H6:H11)</f>
        <v>2.7253976770313239E-2</v>
      </c>
      <c r="I5" s="464" t="s">
        <v>211</v>
      </c>
      <c r="J5" s="464" t="s">
        <v>211</v>
      </c>
      <c r="K5" s="464" t="s">
        <v>211</v>
      </c>
      <c r="L5" s="464" t="s">
        <v>211</v>
      </c>
      <c r="M5" s="449">
        <f>SUM(M6:M11)</f>
        <v>9.549943360604142E-3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2.3339647953647217E-5</v>
      </c>
      <c r="C6" s="450"/>
      <c r="D6" s="963">
        <f>vkm_2011_GW_PW*SUMIFS(TableVerdeelsleutelVkm[CNG],TableVerdeelsleutelVkm[Voertuigtype],"Lichte voertuigen")*SUMIFS(TableECFTransport[EnergieConsumptieFactor (PJ per km)],TableECFTransport[Index],CONCATENATE($A6,"_CNG_CNG"))</f>
        <v>5.3987175305581287E-5</v>
      </c>
      <c r="E6" s="963">
        <f>vkm_2011_GW_PW*SUMIFS(TableVerdeelsleutelVkm[LPG],TableVerdeelsleutelVkm[Voertuigtype],"Lichte voertuigen")*SUMIFS(TableECFTransport[EnergieConsumptieFactor (PJ per km)],TableECFTransport[Index],CONCATENATE($A6,"_LPG_LPG"))</f>
        <v>3.5153188364798115E-4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7.3028148100110296E-2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2.058512577765061E-2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4.8580436294281175E-3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5.5489501839339872E-2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1.8976401892758171E-5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3.2103822101759738E-3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4.408407312789507E-6</v>
      </c>
      <c r="C8" s="450"/>
      <c r="D8" s="452">
        <f>vkm_2011_NGW_PW*SUMIFS(TableVerdeelsleutelVkm[CNG],TableVerdeelsleutelVkm[Voertuigtype],"Lichte voertuigen")*SUMIFS(TableECFTransport[EnergieConsumptieFactor (PJ per km)],TableECFTransport[Index],CONCATENATE($A8,"_CNG_CNG"))</f>
        <v>1.803574550284935E-5</v>
      </c>
      <c r="E8" s="452">
        <f>vkm_2011_NGW_PW*SUMIFS(TableVerdeelsleutelVkm[LPG],TableVerdeelsleutelVkm[Voertuigtype],"Lichte voertuigen")*SUMIFS(TableECFTransport[EnergieConsumptieFactor (PJ per km)],TableECFTransport[Index],CONCATENATE($A8,"_LPG_LPG"))</f>
        <v>1.0838294822882254E-4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2.1047809324493086E-2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6.6495429457210618E-3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1.4222219436064887E-3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1.0248979836899987E-3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3.3164504880859662E-7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5.9295577393560692E-5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7.7077931295657569</v>
      </c>
      <c r="C14" s="21"/>
      <c r="D14" s="21">
        <f t="shared" ref="D14:M14" si="0">((D5)*10^9/3600)+D12</f>
        <v>20.006366891230734</v>
      </c>
      <c r="E14" s="21">
        <f t="shared" si="0"/>
        <v>127.7541199657788</v>
      </c>
      <c r="F14" s="21"/>
      <c r="G14" s="21">
        <f t="shared" si="0"/>
        <v>41830.654791009234</v>
      </c>
      <c r="H14" s="21">
        <f t="shared" si="0"/>
        <v>7570.5491028647893</v>
      </c>
      <c r="I14" s="21"/>
      <c r="J14" s="21"/>
      <c r="K14" s="21"/>
      <c r="L14" s="21"/>
      <c r="M14" s="21">
        <f t="shared" si="0"/>
        <v>2652.7620446122619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0.20728410666881394</v>
      </c>
      <c r="C16" s="56">
        <f ca="1">'EF ele_warmte'!B22</f>
        <v>0.21420185190125907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1.5977030132500596</v>
      </c>
      <c r="C18" s="23"/>
      <c r="D18" s="23">
        <f t="shared" ref="D18:M18" si="1">D14*D16</f>
        <v>4.0412861120286081</v>
      </c>
      <c r="E18" s="23">
        <f t="shared" si="1"/>
        <v>29.000185232231789</v>
      </c>
      <c r="F18" s="23"/>
      <c r="G18" s="23">
        <f t="shared" si="1"/>
        <v>11168.784829199467</v>
      </c>
      <c r="H18" s="23">
        <f t="shared" si="1"/>
        <v>1885.0667266133325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4.8856436380088934E-3</v>
      </c>
      <c r="H50" s="321">
        <f t="shared" si="2"/>
        <v>0</v>
      </c>
      <c r="I50" s="321">
        <f t="shared" si="2"/>
        <v>0</v>
      </c>
      <c r="J50" s="321">
        <f t="shared" si="2"/>
        <v>0</v>
      </c>
      <c r="K50" s="321">
        <f t="shared" si="2"/>
        <v>0</v>
      </c>
      <c r="L50" s="321">
        <f t="shared" si="2"/>
        <v>0</v>
      </c>
      <c r="M50" s="321">
        <f t="shared" si="2"/>
        <v>2.7861401425507038E-4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4.8856436380088934E-3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2.7861401425507038E-4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1357.1232327802481</v>
      </c>
      <c r="H54" s="21">
        <f t="shared" si="3"/>
        <v>0</v>
      </c>
      <c r="I54" s="21">
        <f t="shared" si="3"/>
        <v>0</v>
      </c>
      <c r="J54" s="21">
        <f t="shared" si="3"/>
        <v>0</v>
      </c>
      <c r="K54" s="21">
        <f t="shared" si="3"/>
        <v>0</v>
      </c>
      <c r="L54" s="21">
        <f t="shared" si="3"/>
        <v>0</v>
      </c>
      <c r="M54" s="21">
        <f t="shared" si="3"/>
        <v>77.392781737519542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0.20728410666881394</v>
      </c>
      <c r="C56" s="56">
        <f ca="1">'EF ele_warmte'!B22</f>
        <v>0.21420185190125907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362.35190315232626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4436.9374667169795</v>
      </c>
      <c r="C6" s="1223"/>
      <c r="D6" s="1226"/>
      <c r="E6" s="1226"/>
      <c r="F6" s="1229"/>
      <c r="G6" s="1232"/>
      <c r="H6" s="1220"/>
      <c r="I6" s="1226"/>
      <c r="J6" s="1226"/>
      <c r="K6" s="1226"/>
      <c r="L6" s="1256"/>
      <c r="M6" s="576"/>
      <c r="N6" s="1268"/>
      <c r="O6" s="1269"/>
      <c r="Q6" s="574"/>
      <c r="R6" s="1253"/>
      <c r="S6" s="1253"/>
    </row>
    <row r="7" spans="1:19" s="564" customFormat="1">
      <c r="A7" s="577" t="s">
        <v>252</v>
      </c>
      <c r="B7" s="578">
        <f>N57</f>
        <v>132948.9</v>
      </c>
      <c r="C7" s="579">
        <f>B100</f>
        <v>140979.70588235295</v>
      </c>
      <c r="D7" s="580"/>
      <c r="E7" s="580">
        <f>E100</f>
        <v>0</v>
      </c>
      <c r="F7" s="581"/>
      <c r="G7" s="582"/>
      <c r="H7" s="580">
        <f>I100</f>
        <v>0</v>
      </c>
      <c r="I7" s="580">
        <f>G100+F100</f>
        <v>0</v>
      </c>
      <c r="J7" s="580">
        <f>H100+D100+C100</f>
        <v>15430.764705882353</v>
      </c>
      <c r="K7" s="580"/>
      <c r="L7" s="583"/>
      <c r="M7" s="584">
        <f>C7*$C$11+D7*$D$11+E7*$E$11+F7*$F$11+G7*$G$11+H7*$H$11+I7*$I$11+J7*$J$11</f>
        <v>28477.900588235298</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137385.83746671697</v>
      </c>
      <c r="C9" s="595">
        <f t="shared" ref="C9:L9" si="0">SUM(C7:C8)</f>
        <v>140979.70588235295</v>
      </c>
      <c r="D9" s="595">
        <f t="shared" si="0"/>
        <v>0</v>
      </c>
      <c r="E9" s="595">
        <f t="shared" si="0"/>
        <v>0</v>
      </c>
      <c r="F9" s="595">
        <f t="shared" si="0"/>
        <v>0</v>
      </c>
      <c r="G9" s="595">
        <f t="shared" si="0"/>
        <v>0</v>
      </c>
      <c r="H9" s="595">
        <f t="shared" si="0"/>
        <v>0</v>
      </c>
      <c r="I9" s="595">
        <f t="shared" si="0"/>
        <v>0</v>
      </c>
      <c r="J9" s="595">
        <f t="shared" si="0"/>
        <v>15430.764705882353</v>
      </c>
      <c r="K9" s="595">
        <f t="shared" si="0"/>
        <v>0</v>
      </c>
      <c r="L9" s="595">
        <f t="shared" si="0"/>
        <v>0</v>
      </c>
      <c r="M9" s="596">
        <f>SUM(M4:M8)</f>
        <v>28477.900588235298</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189926.99999999997</v>
      </c>
      <c r="C16" s="611">
        <f>B101</f>
        <v>201399.57983193279</v>
      </c>
      <c r="D16" s="612"/>
      <c r="E16" s="612">
        <f>E101</f>
        <v>0</v>
      </c>
      <c r="F16" s="613"/>
      <c r="G16" s="614"/>
      <c r="H16" s="611">
        <f>I101</f>
        <v>0</v>
      </c>
      <c r="I16" s="612">
        <f>G101+F101</f>
        <v>0</v>
      </c>
      <c r="J16" s="612">
        <f>H101+D101+C101</f>
        <v>22043.949579831933</v>
      </c>
      <c r="K16" s="612"/>
      <c r="L16" s="615"/>
      <c r="M16" s="616">
        <f>C16*$C$21+E16*$E$21+H16*$H$21+I16*$I$21+J16*$J$21+D16*$D$21+F16*$F$21+G16*$G$21+K16*$K$21+L16*$L$21</f>
        <v>40682.715126050425</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189926.99999999997</v>
      </c>
      <c r="C19" s="594">
        <f>SUM(C16:C18)</f>
        <v>201399.57983193279</v>
      </c>
      <c r="D19" s="594">
        <f t="shared" ref="D19:M19" si="1">SUM(D16:D18)</f>
        <v>0</v>
      </c>
      <c r="E19" s="594">
        <f t="shared" si="1"/>
        <v>0</v>
      </c>
      <c r="F19" s="594">
        <f t="shared" si="1"/>
        <v>0</v>
      </c>
      <c r="G19" s="594">
        <f t="shared" si="1"/>
        <v>0</v>
      </c>
      <c r="H19" s="594">
        <f t="shared" si="1"/>
        <v>0</v>
      </c>
      <c r="I19" s="594">
        <f t="shared" si="1"/>
        <v>0</v>
      </c>
      <c r="J19" s="594">
        <f t="shared" si="1"/>
        <v>22043.949579831933</v>
      </c>
      <c r="K19" s="594">
        <f t="shared" si="1"/>
        <v>0</v>
      </c>
      <c r="L19" s="594">
        <f t="shared" si="1"/>
        <v>0</v>
      </c>
      <c r="M19" s="621">
        <f t="shared" si="1"/>
        <v>40682.715126050425</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13037</v>
      </c>
      <c r="C27" s="852">
        <v>2310</v>
      </c>
      <c r="D27" s="673" t="s">
        <v>871</v>
      </c>
      <c r="E27" s="672" t="s">
        <v>872</v>
      </c>
      <c r="F27" s="672" t="s">
        <v>873</v>
      </c>
      <c r="G27" s="672" t="s">
        <v>874</v>
      </c>
      <c r="H27" s="672" t="s">
        <v>875</v>
      </c>
      <c r="I27" s="672" t="s">
        <v>876</v>
      </c>
      <c r="J27" s="851">
        <v>39240</v>
      </c>
      <c r="K27" s="851">
        <v>38534</v>
      </c>
      <c r="L27" s="672" t="s">
        <v>877</v>
      </c>
      <c r="M27" s="672">
        <v>5145</v>
      </c>
      <c r="N27" s="672">
        <v>23152.499999999996</v>
      </c>
      <c r="O27" s="672">
        <v>33074.999999999993</v>
      </c>
      <c r="P27" s="672">
        <v>66150</v>
      </c>
      <c r="Q27" s="672">
        <v>0</v>
      </c>
      <c r="R27" s="672">
        <v>0</v>
      </c>
      <c r="S27" s="672">
        <v>0</v>
      </c>
      <c r="T27" s="672">
        <v>0</v>
      </c>
      <c r="U27" s="672">
        <v>0</v>
      </c>
      <c r="V27" s="672">
        <v>0</v>
      </c>
      <c r="W27" s="672">
        <v>0</v>
      </c>
      <c r="X27" s="672">
        <v>10</v>
      </c>
      <c r="Y27" s="672" t="s">
        <v>112</v>
      </c>
      <c r="Z27" s="674" t="s">
        <v>112</v>
      </c>
    </row>
    <row r="28" spans="1:26" s="626" customFormat="1" ht="25.5">
      <c r="A28" s="625"/>
      <c r="B28" s="852">
        <v>13037</v>
      </c>
      <c r="C28" s="852">
        <v>2310</v>
      </c>
      <c r="D28" s="673" t="s">
        <v>878</v>
      </c>
      <c r="E28" s="672" t="s">
        <v>879</v>
      </c>
      <c r="F28" s="672" t="s">
        <v>880</v>
      </c>
      <c r="G28" s="672" t="s">
        <v>874</v>
      </c>
      <c r="H28" s="672" t="s">
        <v>875</v>
      </c>
      <c r="I28" s="672" t="s">
        <v>879</v>
      </c>
      <c r="J28" s="851">
        <v>40941</v>
      </c>
      <c r="K28" s="851">
        <v>39554</v>
      </c>
      <c r="L28" s="672" t="s">
        <v>877</v>
      </c>
      <c r="M28" s="672">
        <v>6900</v>
      </c>
      <c r="N28" s="672">
        <v>31050</v>
      </c>
      <c r="O28" s="672">
        <v>44357.142857142855</v>
      </c>
      <c r="P28" s="672">
        <v>88714.285714285725</v>
      </c>
      <c r="Q28" s="672">
        <v>0</v>
      </c>
      <c r="R28" s="672">
        <v>0</v>
      </c>
      <c r="S28" s="672">
        <v>0</v>
      </c>
      <c r="T28" s="672">
        <v>0</v>
      </c>
      <c r="U28" s="672">
        <v>0</v>
      </c>
      <c r="V28" s="672">
        <v>0</v>
      </c>
      <c r="W28" s="672">
        <v>0</v>
      </c>
      <c r="X28" s="672">
        <v>10</v>
      </c>
      <c r="Y28" s="672" t="s">
        <v>112</v>
      </c>
      <c r="Z28" s="674" t="s">
        <v>112</v>
      </c>
    </row>
    <row r="29" spans="1:26" s="626" customFormat="1" ht="25.5">
      <c r="A29" s="625"/>
      <c r="B29" s="852">
        <v>13037</v>
      </c>
      <c r="C29" s="852">
        <v>2310</v>
      </c>
      <c r="D29" s="673" t="s">
        <v>881</v>
      </c>
      <c r="E29" s="672" t="s">
        <v>882</v>
      </c>
      <c r="F29" s="672" t="s">
        <v>883</v>
      </c>
      <c r="G29" s="672" t="s">
        <v>874</v>
      </c>
      <c r="H29" s="672" t="s">
        <v>875</v>
      </c>
      <c r="I29" s="672" t="s">
        <v>882</v>
      </c>
      <c r="J29" s="851">
        <v>39717</v>
      </c>
      <c r="K29" s="851">
        <v>39722</v>
      </c>
      <c r="L29" s="672" t="s">
        <v>877</v>
      </c>
      <c r="M29" s="672">
        <v>1400</v>
      </c>
      <c r="N29" s="672">
        <v>6300</v>
      </c>
      <c r="O29" s="672">
        <v>9000</v>
      </c>
      <c r="P29" s="672">
        <v>18000</v>
      </c>
      <c r="Q29" s="672">
        <v>0</v>
      </c>
      <c r="R29" s="672">
        <v>0</v>
      </c>
      <c r="S29" s="672">
        <v>0</v>
      </c>
      <c r="T29" s="672">
        <v>0</v>
      </c>
      <c r="U29" s="672">
        <v>0</v>
      </c>
      <c r="V29" s="672">
        <v>0</v>
      </c>
      <c r="W29" s="672">
        <v>0</v>
      </c>
      <c r="X29" s="672">
        <v>10</v>
      </c>
      <c r="Y29" s="672" t="s">
        <v>112</v>
      </c>
      <c r="Z29" s="674" t="s">
        <v>112</v>
      </c>
    </row>
    <row r="30" spans="1:26" s="626" customFormat="1" ht="25.5">
      <c r="A30" s="625"/>
      <c r="B30" s="852">
        <v>13037</v>
      </c>
      <c r="C30" s="852">
        <v>2310</v>
      </c>
      <c r="D30" s="673" t="s">
        <v>884</v>
      </c>
      <c r="E30" s="672" t="s">
        <v>885</v>
      </c>
      <c r="F30" s="672" t="s">
        <v>886</v>
      </c>
      <c r="G30" s="672" t="s">
        <v>874</v>
      </c>
      <c r="H30" s="672" t="s">
        <v>875</v>
      </c>
      <c r="I30" s="672" t="s">
        <v>885</v>
      </c>
      <c r="J30" s="851">
        <v>39682</v>
      </c>
      <c r="K30" s="851">
        <v>39728</v>
      </c>
      <c r="L30" s="672" t="s">
        <v>877</v>
      </c>
      <c r="M30" s="672">
        <v>2425</v>
      </c>
      <c r="N30" s="672">
        <v>10912.5</v>
      </c>
      <c r="O30" s="672">
        <v>15589.285714285714</v>
      </c>
      <c r="P30" s="672">
        <v>31178.571428571431</v>
      </c>
      <c r="Q30" s="672">
        <v>0</v>
      </c>
      <c r="R30" s="672">
        <v>0</v>
      </c>
      <c r="S30" s="672">
        <v>0</v>
      </c>
      <c r="T30" s="672">
        <v>0</v>
      </c>
      <c r="U30" s="672">
        <v>0</v>
      </c>
      <c r="V30" s="672">
        <v>0</v>
      </c>
      <c r="W30" s="672">
        <v>0</v>
      </c>
      <c r="X30" s="672">
        <v>10</v>
      </c>
      <c r="Y30" s="672" t="s">
        <v>112</v>
      </c>
      <c r="Z30" s="674" t="s">
        <v>112</v>
      </c>
    </row>
    <row r="31" spans="1:26" s="626" customFormat="1" ht="25.5">
      <c r="A31" s="625"/>
      <c r="B31" s="852">
        <v>13037</v>
      </c>
      <c r="C31" s="852">
        <v>2310</v>
      </c>
      <c r="D31" s="673" t="s">
        <v>887</v>
      </c>
      <c r="E31" s="672" t="s">
        <v>888</v>
      </c>
      <c r="F31" s="672" t="s">
        <v>889</v>
      </c>
      <c r="G31" s="672" t="s">
        <v>874</v>
      </c>
      <c r="H31" s="672" t="s">
        <v>875</v>
      </c>
      <c r="I31" s="672" t="s">
        <v>890</v>
      </c>
      <c r="J31" s="851">
        <v>39710</v>
      </c>
      <c r="K31" s="851">
        <v>39749</v>
      </c>
      <c r="L31" s="672" t="s">
        <v>877</v>
      </c>
      <c r="M31" s="672">
        <v>2905</v>
      </c>
      <c r="N31" s="672">
        <v>13072.5</v>
      </c>
      <c r="O31" s="672">
        <v>18675</v>
      </c>
      <c r="P31" s="672">
        <v>0</v>
      </c>
      <c r="Q31" s="672">
        <v>37350</v>
      </c>
      <c r="R31" s="672">
        <v>0</v>
      </c>
      <c r="S31" s="672">
        <v>0</v>
      </c>
      <c r="T31" s="672">
        <v>0</v>
      </c>
      <c r="U31" s="672">
        <v>0</v>
      </c>
      <c r="V31" s="672">
        <v>0</v>
      </c>
      <c r="W31" s="672">
        <v>0</v>
      </c>
      <c r="X31" s="672">
        <v>10</v>
      </c>
      <c r="Y31" s="672" t="s">
        <v>112</v>
      </c>
      <c r="Z31" s="674" t="s">
        <v>112</v>
      </c>
    </row>
    <row r="32" spans="1:26" s="626" customFormat="1" ht="25.5">
      <c r="A32" s="625"/>
      <c r="B32" s="852">
        <v>13037</v>
      </c>
      <c r="C32" s="852">
        <v>2310</v>
      </c>
      <c r="D32" s="673" t="s">
        <v>891</v>
      </c>
      <c r="E32" s="672" t="s">
        <v>892</v>
      </c>
      <c r="F32" s="672" t="s">
        <v>893</v>
      </c>
      <c r="G32" s="672" t="s">
        <v>874</v>
      </c>
      <c r="H32" s="672" t="s">
        <v>875</v>
      </c>
      <c r="I32" s="672" t="s">
        <v>892</v>
      </c>
      <c r="J32" s="851">
        <v>39791</v>
      </c>
      <c r="K32" s="851">
        <v>39819</v>
      </c>
      <c r="L32" s="672" t="s">
        <v>877</v>
      </c>
      <c r="M32" s="672">
        <v>4028</v>
      </c>
      <c r="N32" s="672">
        <v>18125.999999999996</v>
      </c>
      <c r="O32" s="672">
        <v>25894.28571428571</v>
      </c>
      <c r="P32" s="672">
        <v>51788.57142857142</v>
      </c>
      <c r="Q32" s="672">
        <v>0</v>
      </c>
      <c r="R32" s="672">
        <v>0</v>
      </c>
      <c r="S32" s="672">
        <v>0</v>
      </c>
      <c r="T32" s="672">
        <v>0</v>
      </c>
      <c r="U32" s="672">
        <v>0</v>
      </c>
      <c r="V32" s="672">
        <v>0</v>
      </c>
      <c r="W32" s="672">
        <v>0</v>
      </c>
      <c r="X32" s="672">
        <v>10</v>
      </c>
      <c r="Y32" s="672" t="s">
        <v>112</v>
      </c>
      <c r="Z32" s="674" t="s">
        <v>112</v>
      </c>
    </row>
    <row r="33" spans="1:26" s="626" customFormat="1" ht="25.5">
      <c r="A33" s="625"/>
      <c r="B33" s="852">
        <v>13037</v>
      </c>
      <c r="C33" s="852">
        <v>2310</v>
      </c>
      <c r="D33" s="673" t="s">
        <v>894</v>
      </c>
      <c r="E33" s="672" t="s">
        <v>895</v>
      </c>
      <c r="F33" s="672" t="s">
        <v>896</v>
      </c>
      <c r="G33" s="672" t="s">
        <v>874</v>
      </c>
      <c r="H33" s="672" t="s">
        <v>875</v>
      </c>
      <c r="I33" s="672" t="s">
        <v>895</v>
      </c>
      <c r="J33" s="851">
        <v>39826</v>
      </c>
      <c r="K33" s="851">
        <v>39826</v>
      </c>
      <c r="L33" s="672" t="s">
        <v>877</v>
      </c>
      <c r="M33" s="672">
        <v>2941</v>
      </c>
      <c r="N33" s="672">
        <v>13234.5</v>
      </c>
      <c r="O33" s="672">
        <v>18906.428571428572</v>
      </c>
      <c r="P33" s="672">
        <v>37812.857142857145</v>
      </c>
      <c r="Q33" s="672">
        <v>0</v>
      </c>
      <c r="R33" s="672">
        <v>0</v>
      </c>
      <c r="S33" s="672">
        <v>0</v>
      </c>
      <c r="T33" s="672">
        <v>0</v>
      </c>
      <c r="U33" s="672">
        <v>0</v>
      </c>
      <c r="V33" s="672">
        <v>0</v>
      </c>
      <c r="W33" s="672">
        <v>0</v>
      </c>
      <c r="X33" s="672">
        <v>10</v>
      </c>
      <c r="Y33" s="672" t="s">
        <v>112</v>
      </c>
      <c r="Z33" s="674" t="s">
        <v>112</v>
      </c>
    </row>
    <row r="34" spans="1:26" s="626" customFormat="1" ht="25.5">
      <c r="A34" s="625"/>
      <c r="B34" s="852">
        <v>13037</v>
      </c>
      <c r="C34" s="852">
        <v>2310</v>
      </c>
      <c r="D34" s="673" t="s">
        <v>897</v>
      </c>
      <c r="E34" s="672" t="s">
        <v>898</v>
      </c>
      <c r="F34" s="672" t="s">
        <v>899</v>
      </c>
      <c r="G34" s="672" t="s">
        <v>874</v>
      </c>
      <c r="H34" s="672" t="s">
        <v>875</v>
      </c>
      <c r="I34" s="672" t="s">
        <v>898</v>
      </c>
      <c r="J34" s="851">
        <v>39959</v>
      </c>
      <c r="K34" s="851">
        <v>39959</v>
      </c>
      <c r="L34" s="672" t="s">
        <v>877</v>
      </c>
      <c r="M34" s="672">
        <v>1558</v>
      </c>
      <c r="N34" s="672">
        <v>7011</v>
      </c>
      <c r="O34" s="672">
        <v>10015.714285714286</v>
      </c>
      <c r="P34" s="672">
        <v>20031.428571428572</v>
      </c>
      <c r="Q34" s="672">
        <v>0</v>
      </c>
      <c r="R34" s="672">
        <v>0</v>
      </c>
      <c r="S34" s="672">
        <v>0</v>
      </c>
      <c r="T34" s="672">
        <v>0</v>
      </c>
      <c r="U34" s="672">
        <v>0</v>
      </c>
      <c r="V34" s="672">
        <v>0</v>
      </c>
      <c r="W34" s="672">
        <v>0</v>
      </c>
      <c r="X34" s="672">
        <v>10</v>
      </c>
      <c r="Y34" s="672" t="s">
        <v>112</v>
      </c>
      <c r="Z34" s="674" t="s">
        <v>112</v>
      </c>
    </row>
    <row r="35" spans="1:26" s="626" customFormat="1" ht="25.5">
      <c r="A35" s="625"/>
      <c r="B35" s="852">
        <v>13037</v>
      </c>
      <c r="C35" s="852">
        <v>2310</v>
      </c>
      <c r="D35" s="673" t="s">
        <v>900</v>
      </c>
      <c r="E35" s="672" t="s">
        <v>901</v>
      </c>
      <c r="F35" s="672" t="s">
        <v>902</v>
      </c>
      <c r="G35" s="672" t="s">
        <v>874</v>
      </c>
      <c r="H35" s="672" t="s">
        <v>875</v>
      </c>
      <c r="I35" s="672" t="s">
        <v>903</v>
      </c>
      <c r="J35" s="851">
        <v>41172</v>
      </c>
      <c r="K35" s="851">
        <v>41275</v>
      </c>
      <c r="L35" s="672" t="s">
        <v>877</v>
      </c>
      <c r="M35" s="672">
        <v>9.6999999999999993</v>
      </c>
      <c r="N35" s="672">
        <v>43.649999999999991</v>
      </c>
      <c r="O35" s="672">
        <v>62.357142857142847</v>
      </c>
      <c r="P35" s="672">
        <v>0</v>
      </c>
      <c r="Q35" s="672">
        <v>124.71428571428569</v>
      </c>
      <c r="R35" s="672">
        <v>0</v>
      </c>
      <c r="S35" s="672">
        <v>0</v>
      </c>
      <c r="T35" s="672">
        <v>0</v>
      </c>
      <c r="U35" s="672">
        <v>0</v>
      </c>
      <c r="V35" s="672">
        <v>0</v>
      </c>
      <c r="W35" s="672">
        <v>0</v>
      </c>
      <c r="X35" s="672">
        <v>10</v>
      </c>
      <c r="Y35" s="672" t="s">
        <v>112</v>
      </c>
      <c r="Z35" s="674" t="s">
        <v>112</v>
      </c>
    </row>
    <row r="36" spans="1:26" s="626" customFormat="1" ht="25.5">
      <c r="A36" s="625"/>
      <c r="B36" s="852">
        <v>13037</v>
      </c>
      <c r="C36" s="852">
        <v>2310</v>
      </c>
      <c r="D36" s="673" t="s">
        <v>884</v>
      </c>
      <c r="E36" s="672" t="s">
        <v>885</v>
      </c>
      <c r="F36" s="672" t="s">
        <v>904</v>
      </c>
      <c r="G36" s="672" t="s">
        <v>874</v>
      </c>
      <c r="H36" s="672" t="s">
        <v>875</v>
      </c>
      <c r="I36" s="672" t="s">
        <v>905</v>
      </c>
      <c r="J36" s="851">
        <v>41676</v>
      </c>
      <c r="K36" s="851">
        <v>41680</v>
      </c>
      <c r="L36" s="672" t="s">
        <v>877</v>
      </c>
      <c r="M36" s="672">
        <v>2679</v>
      </c>
      <c r="N36" s="672">
        <v>10046.25</v>
      </c>
      <c r="O36" s="672">
        <v>14351.785714285714</v>
      </c>
      <c r="P36" s="672">
        <v>28703.571428571431</v>
      </c>
      <c r="Q36" s="672">
        <v>0</v>
      </c>
      <c r="R36" s="672">
        <v>0</v>
      </c>
      <c r="S36" s="672">
        <v>0</v>
      </c>
      <c r="T36" s="672">
        <v>0</v>
      </c>
      <c r="U36" s="672">
        <v>0</v>
      </c>
      <c r="V36" s="672">
        <v>0</v>
      </c>
      <c r="W36" s="672">
        <v>0</v>
      </c>
      <c r="X36" s="672">
        <v>10</v>
      </c>
      <c r="Y36" s="672" t="s">
        <v>112</v>
      </c>
      <c r="Z36" s="674" t="s">
        <v>112</v>
      </c>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29990.7</v>
      </c>
      <c r="N57" s="630">
        <f>SUM(N27:N56)</f>
        <v>132948.9</v>
      </c>
      <c r="O57" s="630">
        <f t="shared" ref="O57:W57" si="2">SUM(O27:O56)</f>
        <v>189926.99999999997</v>
      </c>
      <c r="P57" s="630">
        <f t="shared" si="2"/>
        <v>342379.28571428574</v>
      </c>
      <c r="Q57" s="630">
        <f t="shared" si="2"/>
        <v>37474.714285714283</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29990.7</v>
      </c>
      <c r="N60" s="635">
        <f t="shared" ref="N60:W60" si="4">SUMIF($Z$27:$Z$56,"landbouw",N27:N56)</f>
        <v>132948.9</v>
      </c>
      <c r="O60" s="635">
        <f t="shared" si="4"/>
        <v>189926.99999999997</v>
      </c>
      <c r="P60" s="635">
        <f t="shared" si="4"/>
        <v>342379.28571428574</v>
      </c>
      <c r="Q60" s="635">
        <f t="shared" si="4"/>
        <v>37474.714285714283</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140979.70588235295</v>
      </c>
      <c r="C100" s="664">
        <f t="shared" si="9"/>
        <v>15430.764705882353</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201399.57983193279</v>
      </c>
      <c r="C101" s="667">
        <f t="shared" ref="C101:H101" si="10">$B$97*Q57</f>
        <v>22043.949579831933</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20007.289089999998</v>
      </c>
      <c r="D10" s="719">
        <f ca="1">tertiair!C16</f>
        <v>0</v>
      </c>
      <c r="E10" s="719">
        <f ca="1">tertiair!D16</f>
        <v>9792.4639680827731</v>
      </c>
      <c r="F10" s="719">
        <f>tertiair!E16</f>
        <v>213.05374722586507</v>
      </c>
      <c r="G10" s="719">
        <f ca="1">tertiair!F16</f>
        <v>2953.551170806938</v>
      </c>
      <c r="H10" s="719">
        <f>tertiair!G16</f>
        <v>0</v>
      </c>
      <c r="I10" s="719">
        <f>tertiair!H16</f>
        <v>0</v>
      </c>
      <c r="J10" s="719">
        <f>tertiair!I16</f>
        <v>0</v>
      </c>
      <c r="K10" s="719">
        <f>tertiair!J16</f>
        <v>0</v>
      </c>
      <c r="L10" s="719">
        <f>tertiair!K16</f>
        <v>0</v>
      </c>
      <c r="M10" s="719">
        <f ca="1">tertiair!L16</f>
        <v>0</v>
      </c>
      <c r="N10" s="719">
        <f>tertiair!M16</f>
        <v>0</v>
      </c>
      <c r="O10" s="719">
        <f ca="1">tertiair!N16</f>
        <v>2077.3465228700966</v>
      </c>
      <c r="P10" s="719">
        <f>tertiair!O16</f>
        <v>1.5633333333333335</v>
      </c>
      <c r="Q10" s="720">
        <f>tertiair!P16</f>
        <v>0</v>
      </c>
      <c r="R10" s="722">
        <f ca="1">SUM(C10:Q10)</f>
        <v>35045.267832319005</v>
      </c>
      <c r="S10" s="67"/>
    </row>
    <row r="11" spans="1:19" s="475" customFormat="1">
      <c r="A11" s="871" t="s">
        <v>225</v>
      </c>
      <c r="B11" s="876"/>
      <c r="C11" s="719">
        <f>huishoudens!B8</f>
        <v>22371.722086091653</v>
      </c>
      <c r="D11" s="719">
        <f>huishoudens!C8</f>
        <v>0</v>
      </c>
      <c r="E11" s="719">
        <f>huishoudens!D8</f>
        <v>43267.755054811096</v>
      </c>
      <c r="F11" s="719">
        <f>huishoudens!E8</f>
        <v>3926.3283796691121</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13714.161309382271</v>
      </c>
      <c r="P11" s="719">
        <f>huishoudens!O8</f>
        <v>151.64333333333335</v>
      </c>
      <c r="Q11" s="720">
        <f>huishoudens!P8</f>
        <v>705.4666666666667</v>
      </c>
      <c r="R11" s="722">
        <f>SUM(C11:Q11)</f>
        <v>84137.076829954109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14198.355</v>
      </c>
      <c r="D13" s="719">
        <f>industrie!C18</f>
        <v>0</v>
      </c>
      <c r="E13" s="719">
        <f>industrie!D18</f>
        <v>19731.811907318548</v>
      </c>
      <c r="F13" s="719">
        <f>industrie!E18</f>
        <v>1451.7782344000159</v>
      </c>
      <c r="G13" s="719">
        <f>industrie!F18</f>
        <v>5936.4148317813506</v>
      </c>
      <c r="H13" s="719">
        <f>industrie!G18</f>
        <v>0</v>
      </c>
      <c r="I13" s="719">
        <f>industrie!H18</f>
        <v>0</v>
      </c>
      <c r="J13" s="719">
        <f>industrie!I18</f>
        <v>0</v>
      </c>
      <c r="K13" s="719">
        <f>industrie!J18</f>
        <v>52.33857493159104</v>
      </c>
      <c r="L13" s="719">
        <f>industrie!K18</f>
        <v>0</v>
      </c>
      <c r="M13" s="719">
        <f>industrie!L18</f>
        <v>0</v>
      </c>
      <c r="N13" s="719">
        <f>industrie!M18</f>
        <v>0</v>
      </c>
      <c r="O13" s="719">
        <f>industrie!N18</f>
        <v>3205.741331622457</v>
      </c>
      <c r="P13" s="719">
        <f>industrie!O18</f>
        <v>0</v>
      </c>
      <c r="Q13" s="720">
        <f>industrie!P18</f>
        <v>0</v>
      </c>
      <c r="R13" s="722">
        <f>SUM(C13:Q13)</f>
        <v>44576.439880053964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56577.366176091644</v>
      </c>
      <c r="D15" s="724">
        <f t="shared" ref="D15:Q15" ca="1" si="0">SUM(D9:D14)</f>
        <v>0</v>
      </c>
      <c r="E15" s="724">
        <f t="shared" ca="1" si="0"/>
        <v>72792.030930212422</v>
      </c>
      <c r="F15" s="724">
        <f t="shared" si="0"/>
        <v>5591.160361294993</v>
      </c>
      <c r="G15" s="724">
        <f t="shared" ca="1" si="0"/>
        <v>8889.9660025882877</v>
      </c>
      <c r="H15" s="724">
        <f t="shared" si="0"/>
        <v>0</v>
      </c>
      <c r="I15" s="724">
        <f t="shared" si="0"/>
        <v>0</v>
      </c>
      <c r="J15" s="724">
        <f t="shared" si="0"/>
        <v>0</v>
      </c>
      <c r="K15" s="724">
        <f t="shared" si="0"/>
        <v>52.33857493159104</v>
      </c>
      <c r="L15" s="724">
        <f t="shared" si="0"/>
        <v>0</v>
      </c>
      <c r="M15" s="724">
        <f t="shared" ca="1" si="0"/>
        <v>0</v>
      </c>
      <c r="N15" s="724">
        <f t="shared" si="0"/>
        <v>0</v>
      </c>
      <c r="O15" s="724">
        <f t="shared" ca="1" si="0"/>
        <v>18997.249163874825</v>
      </c>
      <c r="P15" s="724">
        <f t="shared" si="0"/>
        <v>153.20666666666668</v>
      </c>
      <c r="Q15" s="725">
        <f t="shared" si="0"/>
        <v>705.4666666666667</v>
      </c>
      <c r="R15" s="726">
        <f ca="1">SUM(R9:R14)</f>
        <v>163758.78454232708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1357.1232327802481</v>
      </c>
      <c r="I18" s="719">
        <f>transport!H54</f>
        <v>0</v>
      </c>
      <c r="J18" s="719">
        <f>transport!I54</f>
        <v>0</v>
      </c>
      <c r="K18" s="719">
        <f>transport!J54</f>
        <v>0</v>
      </c>
      <c r="L18" s="719">
        <f>transport!K54</f>
        <v>0</v>
      </c>
      <c r="M18" s="719">
        <f>transport!L54</f>
        <v>0</v>
      </c>
      <c r="N18" s="719">
        <f>transport!M54</f>
        <v>77.392781737519542</v>
      </c>
      <c r="O18" s="719">
        <f>transport!N54</f>
        <v>0</v>
      </c>
      <c r="P18" s="719">
        <f>transport!O54</f>
        <v>0</v>
      </c>
      <c r="Q18" s="720">
        <f>transport!P54</f>
        <v>0</v>
      </c>
      <c r="R18" s="722">
        <f>SUM(C18:Q18)</f>
        <v>1434.5160145177676</v>
      </c>
      <c r="S18" s="67"/>
    </row>
    <row r="19" spans="1:19" s="475" customFormat="1" ht="15" thickBot="1">
      <c r="A19" s="871" t="s">
        <v>307</v>
      </c>
      <c r="B19" s="876"/>
      <c r="C19" s="728">
        <f>transport!B14</f>
        <v>7.7077931295657569</v>
      </c>
      <c r="D19" s="728">
        <f>transport!C14</f>
        <v>0</v>
      </c>
      <c r="E19" s="728">
        <f>transport!D14</f>
        <v>20.006366891230734</v>
      </c>
      <c r="F19" s="728">
        <f>transport!E14</f>
        <v>127.7541199657788</v>
      </c>
      <c r="G19" s="728">
        <f>transport!F14</f>
        <v>0</v>
      </c>
      <c r="H19" s="728">
        <f>transport!G14</f>
        <v>41830.654791009234</v>
      </c>
      <c r="I19" s="728">
        <f>transport!H14</f>
        <v>7570.5491028647893</v>
      </c>
      <c r="J19" s="728">
        <f>transport!I14</f>
        <v>0</v>
      </c>
      <c r="K19" s="728">
        <f>transport!J14</f>
        <v>0</v>
      </c>
      <c r="L19" s="728">
        <f>transport!K14</f>
        <v>0</v>
      </c>
      <c r="M19" s="728">
        <f>transport!L14</f>
        <v>0</v>
      </c>
      <c r="N19" s="728">
        <f>transport!M14</f>
        <v>2652.7620446122619</v>
      </c>
      <c r="O19" s="728">
        <f>transport!N14</f>
        <v>0</v>
      </c>
      <c r="P19" s="728">
        <f>transport!O14</f>
        <v>0</v>
      </c>
      <c r="Q19" s="729">
        <f>transport!P14</f>
        <v>0</v>
      </c>
      <c r="R19" s="730">
        <f>SUM(C19:Q19)</f>
        <v>52209.434218472859</v>
      </c>
      <c r="S19" s="67"/>
    </row>
    <row r="20" spans="1:19" s="475" customFormat="1" ht="15.75" thickBot="1">
      <c r="A20" s="731" t="s">
        <v>230</v>
      </c>
      <c r="B20" s="879"/>
      <c r="C20" s="874">
        <f>SUM(C17:C19)</f>
        <v>7.7077931295657569</v>
      </c>
      <c r="D20" s="732">
        <f t="shared" ref="D20:R20" si="1">SUM(D17:D19)</f>
        <v>0</v>
      </c>
      <c r="E20" s="732">
        <f t="shared" si="1"/>
        <v>20.006366891230734</v>
      </c>
      <c r="F20" s="732">
        <f t="shared" si="1"/>
        <v>127.7541199657788</v>
      </c>
      <c r="G20" s="732">
        <f t="shared" si="1"/>
        <v>0</v>
      </c>
      <c r="H20" s="732">
        <f t="shared" si="1"/>
        <v>43187.778023789484</v>
      </c>
      <c r="I20" s="732">
        <f t="shared" si="1"/>
        <v>7570.5491028647893</v>
      </c>
      <c r="J20" s="732">
        <f t="shared" si="1"/>
        <v>0</v>
      </c>
      <c r="K20" s="732">
        <f t="shared" si="1"/>
        <v>0</v>
      </c>
      <c r="L20" s="732">
        <f t="shared" si="1"/>
        <v>0</v>
      </c>
      <c r="M20" s="732">
        <f t="shared" si="1"/>
        <v>0</v>
      </c>
      <c r="N20" s="732">
        <f t="shared" si="1"/>
        <v>2730.1548263497816</v>
      </c>
      <c r="O20" s="732">
        <f t="shared" si="1"/>
        <v>0</v>
      </c>
      <c r="P20" s="732">
        <f t="shared" si="1"/>
        <v>0</v>
      </c>
      <c r="Q20" s="733">
        <f t="shared" si="1"/>
        <v>0</v>
      </c>
      <c r="R20" s="734">
        <f t="shared" si="1"/>
        <v>53643.950232990624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5631.8949400000001</v>
      </c>
      <c r="D22" s="728">
        <f>+landbouw!C8</f>
        <v>189926.99999999997</v>
      </c>
      <c r="E22" s="728">
        <f>+landbouw!D8</f>
        <v>0</v>
      </c>
      <c r="F22" s="728">
        <f>+landbouw!E8</f>
        <v>52.164969788711304</v>
      </c>
      <c r="G22" s="728">
        <f>+landbouw!F8</f>
        <v>14289.190337665064</v>
      </c>
      <c r="H22" s="728">
        <f>+landbouw!G8</f>
        <v>0</v>
      </c>
      <c r="I22" s="728">
        <f>+landbouw!H8</f>
        <v>0</v>
      </c>
      <c r="J22" s="728">
        <f>+landbouw!I8</f>
        <v>0</v>
      </c>
      <c r="K22" s="728">
        <f>+landbouw!J8</f>
        <v>863.43234643297035</v>
      </c>
      <c r="L22" s="728">
        <f>+landbouw!K8</f>
        <v>0</v>
      </c>
      <c r="M22" s="728">
        <f>+landbouw!L8</f>
        <v>0</v>
      </c>
      <c r="N22" s="728">
        <f>+landbouw!M8</f>
        <v>0</v>
      </c>
      <c r="O22" s="728">
        <f>+landbouw!N8</f>
        <v>0</v>
      </c>
      <c r="P22" s="728">
        <f>+landbouw!O8</f>
        <v>0</v>
      </c>
      <c r="Q22" s="729">
        <f>+landbouw!P8</f>
        <v>0</v>
      </c>
      <c r="R22" s="730">
        <f>SUM(C22:Q22)</f>
        <v>210763.68259388671</v>
      </c>
      <c r="S22" s="67"/>
    </row>
    <row r="23" spans="1:19" s="475" customFormat="1" ht="17.25" thickTop="1" thickBot="1">
      <c r="A23" s="735" t="s">
        <v>116</v>
      </c>
      <c r="B23" s="865"/>
      <c r="C23" s="736">
        <f ca="1">C20+C15+C22</f>
        <v>62216.968909221207</v>
      </c>
      <c r="D23" s="736">
        <f t="shared" ref="D23:Q23" ca="1" si="2">D20+D15+D22</f>
        <v>189926.99999999997</v>
      </c>
      <c r="E23" s="736">
        <f t="shared" ca="1" si="2"/>
        <v>72812.037297103656</v>
      </c>
      <c r="F23" s="736">
        <f t="shared" si="2"/>
        <v>5771.0794510494834</v>
      </c>
      <c r="G23" s="736">
        <f t="shared" ca="1" si="2"/>
        <v>23179.15634025335</v>
      </c>
      <c r="H23" s="736">
        <f t="shared" si="2"/>
        <v>43187.778023789484</v>
      </c>
      <c r="I23" s="736">
        <f t="shared" si="2"/>
        <v>7570.5491028647893</v>
      </c>
      <c r="J23" s="736">
        <f t="shared" si="2"/>
        <v>0</v>
      </c>
      <c r="K23" s="736">
        <f t="shared" si="2"/>
        <v>915.77092136456145</v>
      </c>
      <c r="L23" s="736">
        <f t="shared" si="2"/>
        <v>0</v>
      </c>
      <c r="M23" s="736">
        <f t="shared" ca="1" si="2"/>
        <v>0</v>
      </c>
      <c r="N23" s="736">
        <f t="shared" si="2"/>
        <v>2730.1548263497816</v>
      </c>
      <c r="O23" s="736">
        <f t="shared" ca="1" si="2"/>
        <v>18997.249163874825</v>
      </c>
      <c r="P23" s="736">
        <f t="shared" si="2"/>
        <v>153.20666666666668</v>
      </c>
      <c r="Q23" s="737">
        <f t="shared" si="2"/>
        <v>705.4666666666667</v>
      </c>
      <c r="R23" s="738">
        <f ca="1">R20+R15+R22</f>
        <v>428166.41736920446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4147.1930458853576</v>
      </c>
      <c r="D36" s="719">
        <f ca="1">tertiair!C20</f>
        <v>0</v>
      </c>
      <c r="E36" s="719">
        <f ca="1">tertiair!D20</f>
        <v>1978.0777215527203</v>
      </c>
      <c r="F36" s="719">
        <f>tertiair!E20</f>
        <v>48.363200620271371</v>
      </c>
      <c r="G36" s="719">
        <f ca="1">tertiair!F20</f>
        <v>788.59816260545244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6962.2321306638023</v>
      </c>
    </row>
    <row r="37" spans="1:18">
      <c r="A37" s="886" t="s">
        <v>225</v>
      </c>
      <c r="B37" s="893"/>
      <c r="C37" s="719">
        <f ca="1">huishoudens!B12</f>
        <v>4637.3024272584835</v>
      </c>
      <c r="D37" s="719">
        <f ca="1">huishoudens!C12</f>
        <v>0</v>
      </c>
      <c r="E37" s="719">
        <f>huishoudens!D12</f>
        <v>8740.0865210718421</v>
      </c>
      <c r="F37" s="719">
        <f>huishoudens!E12</f>
        <v>891.27654218488851</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14268.665490515214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2943.0933323416875</v>
      </c>
      <c r="D39" s="719">
        <f ca="1">industrie!C22</f>
        <v>0</v>
      </c>
      <c r="E39" s="719">
        <f>industrie!D22</f>
        <v>3985.8260052783471</v>
      </c>
      <c r="F39" s="719">
        <f>industrie!E22</f>
        <v>329.55365920880359</v>
      </c>
      <c r="G39" s="719">
        <f>industrie!F22</f>
        <v>1585.0227600856208</v>
      </c>
      <c r="H39" s="719">
        <f>industrie!G22</f>
        <v>0</v>
      </c>
      <c r="I39" s="719">
        <f>industrie!H22</f>
        <v>0</v>
      </c>
      <c r="J39" s="719">
        <f>industrie!I22</f>
        <v>0</v>
      </c>
      <c r="K39" s="719">
        <f>industrie!J22</f>
        <v>18.527855525783227</v>
      </c>
      <c r="L39" s="719">
        <f>industrie!K22</f>
        <v>0</v>
      </c>
      <c r="M39" s="719">
        <f>industrie!L22</f>
        <v>0</v>
      </c>
      <c r="N39" s="719">
        <f>industrie!M22</f>
        <v>0</v>
      </c>
      <c r="O39" s="719">
        <f>industrie!N22</f>
        <v>0</v>
      </c>
      <c r="P39" s="719">
        <f>industrie!O22</f>
        <v>0</v>
      </c>
      <c r="Q39" s="829">
        <f>industrie!P22</f>
        <v>0</v>
      </c>
      <c r="R39" s="919">
        <f ca="1">SUM(C39:Q39)</f>
        <v>8862.0236124402418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11727.588805485528</v>
      </c>
      <c r="D41" s="764">
        <f t="shared" ref="D41:R41" ca="1" si="4">SUM(D35:D40)</f>
        <v>0</v>
      </c>
      <c r="E41" s="764">
        <f t="shared" ca="1" si="4"/>
        <v>14703.990247902908</v>
      </c>
      <c r="F41" s="764">
        <f t="shared" si="4"/>
        <v>1269.1934020139636</v>
      </c>
      <c r="G41" s="764">
        <f t="shared" ca="1" si="4"/>
        <v>2373.6209226910732</v>
      </c>
      <c r="H41" s="764">
        <f t="shared" si="4"/>
        <v>0</v>
      </c>
      <c r="I41" s="764">
        <f t="shared" si="4"/>
        <v>0</v>
      </c>
      <c r="J41" s="764">
        <f t="shared" si="4"/>
        <v>0</v>
      </c>
      <c r="K41" s="764">
        <f t="shared" si="4"/>
        <v>18.527855525783227</v>
      </c>
      <c r="L41" s="764">
        <f t="shared" si="4"/>
        <v>0</v>
      </c>
      <c r="M41" s="764">
        <f t="shared" ca="1" si="4"/>
        <v>0</v>
      </c>
      <c r="N41" s="764">
        <f t="shared" si="4"/>
        <v>0</v>
      </c>
      <c r="O41" s="764">
        <f t="shared" ca="1" si="4"/>
        <v>0</v>
      </c>
      <c r="P41" s="764">
        <f t="shared" si="4"/>
        <v>0</v>
      </c>
      <c r="Q41" s="765">
        <f t="shared" si="4"/>
        <v>0</v>
      </c>
      <c r="R41" s="766">
        <f t="shared" ca="1" si="4"/>
        <v>30092.921233619258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362.35190315232626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362.35190315232626</v>
      </c>
    </row>
    <row r="45" spans="1:18" ht="15" thickBot="1">
      <c r="A45" s="889" t="s">
        <v>307</v>
      </c>
      <c r="B45" s="899"/>
      <c r="C45" s="728">
        <f ca="1">transport!B18</f>
        <v>1.5977030132500596</v>
      </c>
      <c r="D45" s="728">
        <f>transport!C18</f>
        <v>0</v>
      </c>
      <c r="E45" s="728">
        <f>transport!D18</f>
        <v>4.0412861120286081</v>
      </c>
      <c r="F45" s="728">
        <f>transport!E18</f>
        <v>29.000185232231789</v>
      </c>
      <c r="G45" s="728">
        <f>transport!F18</f>
        <v>0</v>
      </c>
      <c r="H45" s="728">
        <f>transport!G18</f>
        <v>11168.784829199467</v>
      </c>
      <c r="I45" s="728">
        <f>transport!H18</f>
        <v>1885.0667266133325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13088.490730170312</v>
      </c>
    </row>
    <row r="46" spans="1:18" ht="15.75" thickBot="1">
      <c r="A46" s="887" t="s">
        <v>230</v>
      </c>
      <c r="B46" s="900"/>
      <c r="C46" s="764">
        <f t="shared" ref="C46:R46" ca="1" si="5">SUM(C43:C45)</f>
        <v>1.5977030132500596</v>
      </c>
      <c r="D46" s="764">
        <f t="shared" ca="1" si="5"/>
        <v>0</v>
      </c>
      <c r="E46" s="764">
        <f t="shared" si="5"/>
        <v>4.0412861120286081</v>
      </c>
      <c r="F46" s="764">
        <f t="shared" si="5"/>
        <v>29.000185232231789</v>
      </c>
      <c r="G46" s="764">
        <f t="shared" si="5"/>
        <v>0</v>
      </c>
      <c r="H46" s="764">
        <f t="shared" si="5"/>
        <v>11531.136732351793</v>
      </c>
      <c r="I46" s="764">
        <f t="shared" si="5"/>
        <v>1885.0667266133325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13450.842633322638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1167.4023114905135</v>
      </c>
      <c r="D48" s="719">
        <f ca="1">+landbouw!C12</f>
        <v>40682.715126050425</v>
      </c>
      <c r="E48" s="719">
        <f>+landbouw!D12</f>
        <v>0</v>
      </c>
      <c r="F48" s="719">
        <f>+landbouw!E12</f>
        <v>11.841448142037466</v>
      </c>
      <c r="G48" s="719">
        <f>+landbouw!F12</f>
        <v>3815.2138201565722</v>
      </c>
      <c r="H48" s="719">
        <f>+landbouw!G12</f>
        <v>0</v>
      </c>
      <c r="I48" s="719">
        <f>+landbouw!H12</f>
        <v>0</v>
      </c>
      <c r="J48" s="719">
        <f>+landbouw!I12</f>
        <v>0</v>
      </c>
      <c r="K48" s="719">
        <f>+landbouw!J12</f>
        <v>305.65505063727147</v>
      </c>
      <c r="L48" s="719">
        <f>+landbouw!K12</f>
        <v>0</v>
      </c>
      <c r="M48" s="719">
        <f>+landbouw!L12</f>
        <v>0</v>
      </c>
      <c r="N48" s="719">
        <f>+landbouw!M12</f>
        <v>0</v>
      </c>
      <c r="O48" s="719">
        <f>+landbouw!N12</f>
        <v>0</v>
      </c>
      <c r="P48" s="719">
        <f>+landbouw!O12</f>
        <v>0</v>
      </c>
      <c r="Q48" s="720">
        <f>+landbouw!P12</f>
        <v>0</v>
      </c>
      <c r="R48" s="762">
        <f ca="1">SUM(C48:Q48)</f>
        <v>45982.827756476821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12896.588819989292</v>
      </c>
      <c r="D53" s="774">
        <f t="shared" ref="D53:Q53" ca="1" si="6">D41+D46+D48</f>
        <v>40682.715126050425</v>
      </c>
      <c r="E53" s="774">
        <f t="shared" ca="1" si="6"/>
        <v>14708.031534014937</v>
      </c>
      <c r="F53" s="774">
        <f t="shared" si="6"/>
        <v>1310.0350353882329</v>
      </c>
      <c r="G53" s="774">
        <f t="shared" ca="1" si="6"/>
        <v>6188.8347428476454</v>
      </c>
      <c r="H53" s="774">
        <f t="shared" si="6"/>
        <v>11531.136732351793</v>
      </c>
      <c r="I53" s="774">
        <f t="shared" si="6"/>
        <v>1885.0667266133325</v>
      </c>
      <c r="J53" s="774">
        <f t="shared" si="6"/>
        <v>0</v>
      </c>
      <c r="K53" s="774">
        <f t="shared" si="6"/>
        <v>324.18290616305472</v>
      </c>
      <c r="L53" s="774">
        <f t="shared" si="6"/>
        <v>0</v>
      </c>
      <c r="M53" s="774">
        <f t="shared" ca="1" si="6"/>
        <v>0</v>
      </c>
      <c r="N53" s="774">
        <f t="shared" si="6"/>
        <v>0</v>
      </c>
      <c r="O53" s="774">
        <f t="shared" ca="1" si="6"/>
        <v>0</v>
      </c>
      <c r="P53" s="774">
        <f>P41+P46+P48</f>
        <v>0</v>
      </c>
      <c r="Q53" s="775">
        <f t="shared" si="6"/>
        <v>0</v>
      </c>
      <c r="R53" s="776">
        <f ca="1">R41+R46+R48</f>
        <v>89526.591623418717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0.207284106668814</v>
      </c>
      <c r="D55" s="837">
        <f t="shared" ca="1" si="7"/>
        <v>0.21420185190125907</v>
      </c>
      <c r="E55" s="837">
        <f t="shared" ca="1" si="7"/>
        <v>0.20199999999999999</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4436.9374667169795</v>
      </c>
      <c r="C66" s="796">
        <f>'lokale energieproductie'!B6</f>
        <v>4436.9374667169795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132948.9</v>
      </c>
      <c r="C67" s="795">
        <f>B67*IFERROR(SUM(J67:L67)/SUM(D67:M67),0)</f>
        <v>13116.15</v>
      </c>
      <c r="D67" s="827">
        <f>'lokale energieproductie'!C7</f>
        <v>140979.70588235295</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15430.764705882353</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28477.900588235298</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137385.83746671697</v>
      </c>
      <c r="C69" s="804">
        <f>SUM(C64:C68)</f>
        <v>17553.087466716977</v>
      </c>
      <c r="D69" s="805">
        <f t="shared" ref="D69:M69" si="8">SUM(D67:D68)</f>
        <v>140979.70588235295</v>
      </c>
      <c r="E69" s="805">
        <f t="shared" si="8"/>
        <v>0</v>
      </c>
      <c r="F69" s="805">
        <f t="shared" si="8"/>
        <v>0</v>
      </c>
      <c r="G69" s="805">
        <f t="shared" si="8"/>
        <v>0</v>
      </c>
      <c r="H69" s="805">
        <f t="shared" si="8"/>
        <v>0</v>
      </c>
      <c r="I69" s="805">
        <f t="shared" si="8"/>
        <v>0</v>
      </c>
      <c r="J69" s="805">
        <f t="shared" si="8"/>
        <v>0</v>
      </c>
      <c r="K69" s="805">
        <f t="shared" si="8"/>
        <v>15430.764705882353</v>
      </c>
      <c r="L69" s="805">
        <f t="shared" si="8"/>
        <v>0</v>
      </c>
      <c r="M69" s="931">
        <f t="shared" si="8"/>
        <v>0</v>
      </c>
      <c r="N69" s="806">
        <v>0</v>
      </c>
      <c r="O69" s="806">
        <f>SUM(O67:O68)</f>
        <v>28477.900588235298</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189926.99999999997</v>
      </c>
      <c r="C78" s="818">
        <f>B78*IFERROR(SUM(I78:L78)/SUM(D78:M78),0)</f>
        <v>18737.357142857138</v>
      </c>
      <c r="D78" s="833">
        <f>'lokale energieproductie'!C16</f>
        <v>201399.57983193279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22043.949579831933</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40682.715126050425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189926.99999999997</v>
      </c>
      <c r="C81" s="804">
        <f>SUM(C78:C80)</f>
        <v>18737.357142857138</v>
      </c>
      <c r="D81" s="804">
        <f t="shared" ref="D81:P81" si="9">SUM(D78:D80)</f>
        <v>201399.57983193279</v>
      </c>
      <c r="E81" s="804">
        <f t="shared" si="9"/>
        <v>0</v>
      </c>
      <c r="F81" s="804">
        <f t="shared" si="9"/>
        <v>0</v>
      </c>
      <c r="G81" s="804">
        <f t="shared" si="9"/>
        <v>0</v>
      </c>
      <c r="H81" s="804">
        <f t="shared" si="9"/>
        <v>0</v>
      </c>
      <c r="I81" s="804">
        <f t="shared" si="9"/>
        <v>0</v>
      </c>
      <c r="J81" s="804">
        <f t="shared" si="9"/>
        <v>0</v>
      </c>
      <c r="K81" s="804">
        <f t="shared" si="9"/>
        <v>22043.949579831933</v>
      </c>
      <c r="L81" s="804">
        <f t="shared" si="9"/>
        <v>0</v>
      </c>
      <c r="M81" s="804">
        <f t="shared" si="9"/>
        <v>0</v>
      </c>
      <c r="N81" s="804">
        <v>0</v>
      </c>
      <c r="O81" s="804">
        <f>SUM(O78:O80)</f>
        <v>40682.715126050425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22371.722086091653</v>
      </c>
      <c r="C4" s="479">
        <f>huishoudens!C8</f>
        <v>0</v>
      </c>
      <c r="D4" s="479">
        <f>huishoudens!D8</f>
        <v>43267.755054811096</v>
      </c>
      <c r="E4" s="479">
        <f>huishoudens!E8</f>
        <v>3926.3283796691121</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13714.161309382271</v>
      </c>
      <c r="O4" s="479">
        <f>huishoudens!O8</f>
        <v>151.64333333333335</v>
      </c>
      <c r="P4" s="480">
        <f>huishoudens!P8</f>
        <v>705.4666666666667</v>
      </c>
      <c r="Q4" s="481">
        <f>SUM(B4:P4)</f>
        <v>84137.076829954109</v>
      </c>
    </row>
    <row r="5" spans="1:17">
      <c r="A5" s="478" t="s">
        <v>156</v>
      </c>
      <c r="B5" s="479">
        <f ca="1">tertiair!B16</f>
        <v>19261.345089999999</v>
      </c>
      <c r="C5" s="479">
        <f ca="1">tertiair!C16</f>
        <v>0</v>
      </c>
      <c r="D5" s="479">
        <f ca="1">tertiair!D16</f>
        <v>9792.4639680827731</v>
      </c>
      <c r="E5" s="479">
        <f>tertiair!E16</f>
        <v>213.05374722586507</v>
      </c>
      <c r="F5" s="479">
        <f ca="1">tertiair!F16</f>
        <v>2953.551170806938</v>
      </c>
      <c r="G5" s="479">
        <f>tertiair!G16</f>
        <v>0</v>
      </c>
      <c r="H5" s="479">
        <f>tertiair!H16</f>
        <v>0</v>
      </c>
      <c r="I5" s="479">
        <f>tertiair!I16</f>
        <v>0</v>
      </c>
      <c r="J5" s="479">
        <f>tertiair!J16</f>
        <v>0</v>
      </c>
      <c r="K5" s="479">
        <f>tertiair!K16</f>
        <v>0</v>
      </c>
      <c r="L5" s="479">
        <f ca="1">tertiair!L16</f>
        <v>0</v>
      </c>
      <c r="M5" s="479">
        <f>tertiair!M16</f>
        <v>0</v>
      </c>
      <c r="N5" s="479">
        <f ca="1">tertiair!N16</f>
        <v>2077.3465228700966</v>
      </c>
      <c r="O5" s="479">
        <f>tertiair!O16</f>
        <v>1.5633333333333335</v>
      </c>
      <c r="P5" s="480">
        <f>tertiair!P16</f>
        <v>0</v>
      </c>
      <c r="Q5" s="478">
        <f t="shared" ref="Q5:Q13" ca="1" si="0">SUM(B5:P5)</f>
        <v>34299.323832319002</v>
      </c>
    </row>
    <row r="6" spans="1:17">
      <c r="A6" s="478" t="s">
        <v>194</v>
      </c>
      <c r="B6" s="479">
        <f>'openbare verlichting'!B8</f>
        <v>745.94399999999996</v>
      </c>
      <c r="C6" s="479"/>
      <c r="D6" s="479"/>
      <c r="E6" s="479"/>
      <c r="F6" s="479"/>
      <c r="G6" s="479"/>
      <c r="H6" s="479"/>
      <c r="I6" s="479"/>
      <c r="J6" s="479"/>
      <c r="K6" s="479"/>
      <c r="L6" s="479"/>
      <c r="M6" s="479"/>
      <c r="N6" s="479"/>
      <c r="O6" s="479"/>
      <c r="P6" s="480"/>
      <c r="Q6" s="478">
        <f t="shared" si="0"/>
        <v>745.94399999999996</v>
      </c>
    </row>
    <row r="7" spans="1:17">
      <c r="A7" s="478" t="s">
        <v>112</v>
      </c>
      <c r="B7" s="479">
        <f>landbouw!B8</f>
        <v>5631.8949400000001</v>
      </c>
      <c r="C7" s="479">
        <f>landbouw!C8</f>
        <v>189926.99999999997</v>
      </c>
      <c r="D7" s="479">
        <f>landbouw!D8</f>
        <v>0</v>
      </c>
      <c r="E7" s="479">
        <f>landbouw!E8</f>
        <v>52.164969788711304</v>
      </c>
      <c r="F7" s="479">
        <f>landbouw!F8</f>
        <v>14289.190337665064</v>
      </c>
      <c r="G7" s="479">
        <f>landbouw!G8</f>
        <v>0</v>
      </c>
      <c r="H7" s="479">
        <f>landbouw!H8</f>
        <v>0</v>
      </c>
      <c r="I7" s="479">
        <f>landbouw!I8</f>
        <v>0</v>
      </c>
      <c r="J7" s="479">
        <f>landbouw!J8</f>
        <v>863.43234643297035</v>
      </c>
      <c r="K7" s="479">
        <f>landbouw!K8</f>
        <v>0</v>
      </c>
      <c r="L7" s="479">
        <f>landbouw!L8</f>
        <v>0</v>
      </c>
      <c r="M7" s="479">
        <f>landbouw!M8</f>
        <v>0</v>
      </c>
      <c r="N7" s="479">
        <f>landbouw!N8</f>
        <v>0</v>
      </c>
      <c r="O7" s="479">
        <f>landbouw!O8</f>
        <v>0</v>
      </c>
      <c r="P7" s="480">
        <f>landbouw!P8</f>
        <v>0</v>
      </c>
      <c r="Q7" s="478">
        <f t="shared" si="0"/>
        <v>210763.68259388671</v>
      </c>
    </row>
    <row r="8" spans="1:17">
      <c r="A8" s="478" t="s">
        <v>650</v>
      </c>
      <c r="B8" s="479">
        <f>industrie!B18</f>
        <v>14198.355</v>
      </c>
      <c r="C8" s="479">
        <f>industrie!C18</f>
        <v>0</v>
      </c>
      <c r="D8" s="479">
        <f>industrie!D18</f>
        <v>19731.811907318548</v>
      </c>
      <c r="E8" s="479">
        <f>industrie!E18</f>
        <v>1451.7782344000159</v>
      </c>
      <c r="F8" s="479">
        <f>industrie!F18</f>
        <v>5936.4148317813506</v>
      </c>
      <c r="G8" s="479">
        <f>industrie!G18</f>
        <v>0</v>
      </c>
      <c r="H8" s="479">
        <f>industrie!H18</f>
        <v>0</v>
      </c>
      <c r="I8" s="479">
        <f>industrie!I18</f>
        <v>0</v>
      </c>
      <c r="J8" s="479">
        <f>industrie!J18</f>
        <v>52.33857493159104</v>
      </c>
      <c r="K8" s="479">
        <f>industrie!K18</f>
        <v>0</v>
      </c>
      <c r="L8" s="479">
        <f>industrie!L18</f>
        <v>0</v>
      </c>
      <c r="M8" s="479">
        <f>industrie!M18</f>
        <v>0</v>
      </c>
      <c r="N8" s="479">
        <f>industrie!N18</f>
        <v>3205.741331622457</v>
      </c>
      <c r="O8" s="479">
        <f>industrie!O18</f>
        <v>0</v>
      </c>
      <c r="P8" s="480">
        <f>industrie!P18</f>
        <v>0</v>
      </c>
      <c r="Q8" s="478">
        <f t="shared" si="0"/>
        <v>44576.439880053964</v>
      </c>
    </row>
    <row r="9" spans="1:17" s="484" customFormat="1">
      <c r="A9" s="482" t="s">
        <v>571</v>
      </c>
      <c r="B9" s="483">
        <f>transport!B14</f>
        <v>7.7077931295657569</v>
      </c>
      <c r="C9" s="483"/>
      <c r="D9" s="483">
        <f>transport!D14</f>
        <v>20.006366891230734</v>
      </c>
      <c r="E9" s="483">
        <f>transport!E14</f>
        <v>127.7541199657788</v>
      </c>
      <c r="F9" s="483"/>
      <c r="G9" s="483">
        <f>transport!G14</f>
        <v>41830.654791009234</v>
      </c>
      <c r="H9" s="483">
        <f>transport!H14</f>
        <v>7570.5491028647893</v>
      </c>
      <c r="I9" s="483"/>
      <c r="J9" s="483"/>
      <c r="K9" s="483"/>
      <c r="L9" s="483"/>
      <c r="M9" s="483">
        <f>transport!M14</f>
        <v>2652.7620446122619</v>
      </c>
      <c r="N9" s="483"/>
      <c r="O9" s="483"/>
      <c r="P9" s="483"/>
      <c r="Q9" s="482">
        <f>SUM(B9:P9)</f>
        <v>52209.434218472859</v>
      </c>
    </row>
    <row r="10" spans="1:17">
      <c r="A10" s="478" t="s">
        <v>561</v>
      </c>
      <c r="B10" s="479">
        <f>transport!B54</f>
        <v>0</v>
      </c>
      <c r="C10" s="479"/>
      <c r="D10" s="479">
        <f>transport!D54</f>
        <v>0</v>
      </c>
      <c r="E10" s="479"/>
      <c r="F10" s="479"/>
      <c r="G10" s="479">
        <f>transport!G54</f>
        <v>1357.1232327802481</v>
      </c>
      <c r="H10" s="479"/>
      <c r="I10" s="479"/>
      <c r="J10" s="479"/>
      <c r="K10" s="479"/>
      <c r="L10" s="479"/>
      <c r="M10" s="479">
        <f>transport!M54</f>
        <v>77.392781737519542</v>
      </c>
      <c r="N10" s="479"/>
      <c r="O10" s="479"/>
      <c r="P10" s="480"/>
      <c r="Q10" s="478">
        <f t="shared" si="0"/>
        <v>1434.5160145177676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62216.968909221221</v>
      </c>
      <c r="C14" s="489">
        <f t="shared" ref="C14:Q14" ca="1" si="1">SUM(C4:C13)</f>
        <v>189926.99999999997</v>
      </c>
      <c r="D14" s="489">
        <f t="shared" ca="1" si="1"/>
        <v>72812.037297103656</v>
      </c>
      <c r="E14" s="489">
        <f t="shared" si="1"/>
        <v>5771.0794510494834</v>
      </c>
      <c r="F14" s="489">
        <f t="shared" ca="1" si="1"/>
        <v>23179.15634025335</v>
      </c>
      <c r="G14" s="489">
        <f t="shared" si="1"/>
        <v>43187.778023789484</v>
      </c>
      <c r="H14" s="489">
        <f t="shared" si="1"/>
        <v>7570.5491028647893</v>
      </c>
      <c r="I14" s="489">
        <f t="shared" si="1"/>
        <v>0</v>
      </c>
      <c r="J14" s="489">
        <f t="shared" si="1"/>
        <v>915.77092136456145</v>
      </c>
      <c r="K14" s="489">
        <f t="shared" si="1"/>
        <v>0</v>
      </c>
      <c r="L14" s="489">
        <f t="shared" ca="1" si="1"/>
        <v>0</v>
      </c>
      <c r="M14" s="489">
        <f t="shared" si="1"/>
        <v>2730.1548263497816</v>
      </c>
      <c r="N14" s="489">
        <f t="shared" ca="1" si="1"/>
        <v>18997.249163874825</v>
      </c>
      <c r="O14" s="489">
        <f t="shared" si="1"/>
        <v>153.20666666666668</v>
      </c>
      <c r="P14" s="490">
        <f t="shared" si="1"/>
        <v>705.4666666666667</v>
      </c>
      <c r="Q14" s="490">
        <f t="shared" ca="1" si="1"/>
        <v>428166.4173692044</v>
      </c>
    </row>
    <row r="16" spans="1:17">
      <c r="A16" s="492" t="s">
        <v>566</v>
      </c>
      <c r="B16" s="842">
        <f ca="1">huishoudens!B10</f>
        <v>0.20728410666881394</v>
      </c>
      <c r="C16" s="842">
        <f ca="1">huishoudens!C10</f>
        <v>0.21420185190125907</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4637.3024272584835</v>
      </c>
      <c r="C21" s="479">
        <f t="shared" ref="C21:C28" ca="1" si="3">C4*$C$16</f>
        <v>0</v>
      </c>
      <c r="D21" s="479">
        <f t="shared" ref="D21:D30" si="4">D4*$D$16</f>
        <v>8740.0865210718421</v>
      </c>
      <c r="E21" s="479">
        <f t="shared" ref="E21:E30" si="5">E4*$E$16</f>
        <v>891.27654218488851</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14268.665490515214</v>
      </c>
    </row>
    <row r="22" spans="1:17">
      <c r="A22" s="478" t="s">
        <v>156</v>
      </c>
      <c r="B22" s="479">
        <f t="shared" ca="1" si="2"/>
        <v>3992.5707102203955</v>
      </c>
      <c r="C22" s="479">
        <f t="shared" ca="1" si="3"/>
        <v>0</v>
      </c>
      <c r="D22" s="479">
        <f t="shared" ca="1" si="4"/>
        <v>1978.0777215527203</v>
      </c>
      <c r="E22" s="479">
        <f t="shared" si="5"/>
        <v>48.363200620271371</v>
      </c>
      <c r="F22" s="479">
        <f t="shared" ca="1" si="6"/>
        <v>788.59816260545244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6807.6097949988398</v>
      </c>
    </row>
    <row r="23" spans="1:17">
      <c r="A23" s="478" t="s">
        <v>194</v>
      </c>
      <c r="B23" s="479">
        <f t="shared" ca="1" si="2"/>
        <v>154.62233566496175</v>
      </c>
      <c r="C23" s="479"/>
      <c r="D23" s="479"/>
      <c r="E23" s="479"/>
      <c r="F23" s="479"/>
      <c r="G23" s="479"/>
      <c r="H23" s="479"/>
      <c r="I23" s="479"/>
      <c r="J23" s="479"/>
      <c r="K23" s="479"/>
      <c r="L23" s="479"/>
      <c r="M23" s="479"/>
      <c r="N23" s="479"/>
      <c r="O23" s="479"/>
      <c r="P23" s="480"/>
      <c r="Q23" s="478">
        <f t="shared" ca="1" si="17"/>
        <v>154.62233566496175</v>
      </c>
    </row>
    <row r="24" spans="1:17">
      <c r="A24" s="478" t="s">
        <v>112</v>
      </c>
      <c r="B24" s="479">
        <f t="shared" ca="1" si="2"/>
        <v>1167.4023114905135</v>
      </c>
      <c r="C24" s="479">
        <f t="shared" ca="1" si="3"/>
        <v>40682.715126050425</v>
      </c>
      <c r="D24" s="479">
        <f t="shared" si="4"/>
        <v>0</v>
      </c>
      <c r="E24" s="479">
        <f t="shared" si="5"/>
        <v>11.841448142037466</v>
      </c>
      <c r="F24" s="479">
        <f t="shared" si="6"/>
        <v>3815.2138201565722</v>
      </c>
      <c r="G24" s="479">
        <f t="shared" si="7"/>
        <v>0</v>
      </c>
      <c r="H24" s="479">
        <f t="shared" si="8"/>
        <v>0</v>
      </c>
      <c r="I24" s="479">
        <f t="shared" si="9"/>
        <v>0</v>
      </c>
      <c r="J24" s="479">
        <f t="shared" si="10"/>
        <v>305.65505063727147</v>
      </c>
      <c r="K24" s="479">
        <f t="shared" si="11"/>
        <v>0</v>
      </c>
      <c r="L24" s="479">
        <f t="shared" si="12"/>
        <v>0</v>
      </c>
      <c r="M24" s="479">
        <f t="shared" si="13"/>
        <v>0</v>
      </c>
      <c r="N24" s="479">
        <f t="shared" si="14"/>
        <v>0</v>
      </c>
      <c r="O24" s="479">
        <f t="shared" si="15"/>
        <v>0</v>
      </c>
      <c r="P24" s="480">
        <f t="shared" si="16"/>
        <v>0</v>
      </c>
      <c r="Q24" s="478">
        <f t="shared" ca="1" si="17"/>
        <v>45982.827756476821</v>
      </c>
    </row>
    <row r="25" spans="1:17">
      <c r="A25" s="478" t="s">
        <v>650</v>
      </c>
      <c r="B25" s="479">
        <f t="shared" ca="1" si="2"/>
        <v>2943.0933323416875</v>
      </c>
      <c r="C25" s="479">
        <f t="shared" ca="1" si="3"/>
        <v>0</v>
      </c>
      <c r="D25" s="479">
        <f t="shared" si="4"/>
        <v>3985.8260052783471</v>
      </c>
      <c r="E25" s="479">
        <f t="shared" si="5"/>
        <v>329.55365920880359</v>
      </c>
      <c r="F25" s="479">
        <f t="shared" si="6"/>
        <v>1585.0227600856208</v>
      </c>
      <c r="G25" s="479">
        <f t="shared" si="7"/>
        <v>0</v>
      </c>
      <c r="H25" s="479">
        <f t="shared" si="8"/>
        <v>0</v>
      </c>
      <c r="I25" s="479">
        <f t="shared" si="9"/>
        <v>0</v>
      </c>
      <c r="J25" s="479">
        <f t="shared" si="10"/>
        <v>18.527855525783227</v>
      </c>
      <c r="K25" s="479">
        <f t="shared" si="11"/>
        <v>0</v>
      </c>
      <c r="L25" s="479">
        <f t="shared" si="12"/>
        <v>0</v>
      </c>
      <c r="M25" s="479">
        <f t="shared" si="13"/>
        <v>0</v>
      </c>
      <c r="N25" s="479">
        <f t="shared" si="14"/>
        <v>0</v>
      </c>
      <c r="O25" s="479">
        <f t="shared" si="15"/>
        <v>0</v>
      </c>
      <c r="P25" s="480">
        <f t="shared" si="16"/>
        <v>0</v>
      </c>
      <c r="Q25" s="478">
        <f t="shared" ca="1" si="17"/>
        <v>8862.0236124402418</v>
      </c>
    </row>
    <row r="26" spans="1:17" s="484" customFormat="1">
      <c r="A26" s="482" t="s">
        <v>571</v>
      </c>
      <c r="B26" s="836">
        <f t="shared" ca="1" si="2"/>
        <v>1.5977030132500596</v>
      </c>
      <c r="C26" s="483"/>
      <c r="D26" s="483">
        <f t="shared" si="4"/>
        <v>4.0412861120286081</v>
      </c>
      <c r="E26" s="483">
        <f t="shared" si="5"/>
        <v>29.000185232231789</v>
      </c>
      <c r="F26" s="483"/>
      <c r="G26" s="483">
        <f t="shared" si="7"/>
        <v>11168.784829199467</v>
      </c>
      <c r="H26" s="483">
        <f t="shared" si="8"/>
        <v>1885.0667266133325</v>
      </c>
      <c r="I26" s="483"/>
      <c r="J26" s="483"/>
      <c r="K26" s="483"/>
      <c r="L26" s="483"/>
      <c r="M26" s="483">
        <f t="shared" si="13"/>
        <v>0</v>
      </c>
      <c r="N26" s="483"/>
      <c r="O26" s="483"/>
      <c r="P26" s="494"/>
      <c r="Q26" s="482">
        <f t="shared" ca="1" si="17"/>
        <v>13088.490730170312</v>
      </c>
    </row>
    <row r="27" spans="1:17">
      <c r="A27" s="478" t="s">
        <v>561</v>
      </c>
      <c r="B27" s="479">
        <f t="shared" ca="1" si="2"/>
        <v>0</v>
      </c>
      <c r="C27" s="479"/>
      <c r="D27" s="483">
        <f t="shared" si="4"/>
        <v>0</v>
      </c>
      <c r="E27" s="479"/>
      <c r="F27" s="479"/>
      <c r="G27" s="479">
        <f t="shared" si="7"/>
        <v>362.35190315232626</v>
      </c>
      <c r="H27" s="479"/>
      <c r="I27" s="479"/>
      <c r="J27" s="479"/>
      <c r="K27" s="479"/>
      <c r="L27" s="479"/>
      <c r="M27" s="479">
        <f t="shared" si="13"/>
        <v>0</v>
      </c>
      <c r="N27" s="479"/>
      <c r="O27" s="479"/>
      <c r="P27" s="480"/>
      <c r="Q27" s="478">
        <f t="shared" ca="1" si="17"/>
        <v>362.35190315232626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12896.588819989292</v>
      </c>
      <c r="C31" s="489">
        <f t="shared" ca="1" si="18"/>
        <v>40682.715126050425</v>
      </c>
      <c r="D31" s="489">
        <f t="shared" ca="1" si="18"/>
        <v>14708.031534014937</v>
      </c>
      <c r="E31" s="489">
        <f t="shared" si="18"/>
        <v>1310.0350353882329</v>
      </c>
      <c r="F31" s="489">
        <f t="shared" ca="1" si="18"/>
        <v>6188.8347428476454</v>
      </c>
      <c r="G31" s="489">
        <f t="shared" si="18"/>
        <v>11531.136732351793</v>
      </c>
      <c r="H31" s="489">
        <f t="shared" si="18"/>
        <v>1885.0667266133325</v>
      </c>
      <c r="I31" s="489">
        <f t="shared" si="18"/>
        <v>0</v>
      </c>
      <c r="J31" s="489">
        <f t="shared" si="18"/>
        <v>324.18290616305472</v>
      </c>
      <c r="K31" s="489">
        <f t="shared" si="18"/>
        <v>0</v>
      </c>
      <c r="L31" s="489">
        <f t="shared" ca="1" si="18"/>
        <v>0</v>
      </c>
      <c r="M31" s="489">
        <f t="shared" si="18"/>
        <v>0</v>
      </c>
      <c r="N31" s="489">
        <f t="shared" ca="1" si="18"/>
        <v>0</v>
      </c>
      <c r="O31" s="489">
        <f t="shared" si="18"/>
        <v>0</v>
      </c>
      <c r="P31" s="490">
        <f t="shared" si="18"/>
        <v>0</v>
      </c>
      <c r="Q31" s="490">
        <f t="shared" ca="1" si="18"/>
        <v>89526.591623418717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0.20728410666881394</v>
      </c>
      <c r="C17" s="529">
        <f ca="1">'EF ele_warmte'!B22</f>
        <v>0.21420185190125907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0.20728410666881394</v>
      </c>
      <c r="C17" s="529">
        <f ca="1">'EF ele_warmte'!B22</f>
        <v>0.21420185190125907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0.20728410666881394</v>
      </c>
      <c r="C29" s="530">
        <f ca="1">'EF ele_warmte'!B22</f>
        <v>0.21420185190125907</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2019-01-01T21:30:45Z</dcterms:modified>
</cp:coreProperties>
</file>