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I9" s="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67" i="14" l="1"/>
  <c r="E5" i="48"/>
  <c r="E22" s="1"/>
  <c r="R22" i="14"/>
  <c r="N20"/>
  <c r="N23"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F8" i="48"/>
  <c r="Q4"/>
  <c r="N22"/>
  <c r="R11" i="14"/>
  <c r="J21" i="48"/>
  <c r="C20" i="16" l="1"/>
  <c r="C22" s="1"/>
  <c r="D39" i="14" s="1"/>
  <c r="C18" i="15"/>
  <c r="C20" s="1"/>
  <c r="D36" i="14" s="1"/>
  <c r="C10" i="17"/>
  <c r="C12" s="1"/>
  <c r="D48" i="14" s="1"/>
  <c r="C17" i="49"/>
  <c r="C17" i="19"/>
  <c r="C19" s="1"/>
  <c r="D35" i="14" s="1"/>
  <c r="C10" i="13"/>
  <c r="C16" i="48" s="1"/>
  <c r="C28" s="1"/>
  <c r="C16" i="22"/>
  <c r="C56"/>
  <c r="C58" s="1"/>
  <c r="D44" i="14" s="1"/>
  <c r="D46" s="1"/>
  <c r="C29" i="20"/>
  <c r="Q5" i="48"/>
  <c r="O13" i="14"/>
  <c r="O15" s="1"/>
  <c r="F13"/>
  <c r="F15" s="1"/>
  <c r="F23" s="1"/>
  <c r="K13"/>
  <c r="E8" i="48"/>
  <c r="E25" s="1"/>
  <c r="E31" s="1"/>
  <c r="F22" i="16"/>
  <c r="G39" i="14" s="1"/>
  <c r="G41" s="1"/>
  <c r="N22" i="16"/>
  <c r="O39" i="14" s="1"/>
  <c r="O41" s="1"/>
  <c r="O53" s="1"/>
  <c r="N25" i="48"/>
  <c r="N31" s="1"/>
  <c r="N14"/>
  <c r="K41" i="14"/>
  <c r="K53" s="1"/>
  <c r="K15"/>
  <c r="K23" s="1"/>
  <c r="H55"/>
  <c r="E55"/>
  <c r="C78"/>
  <c r="C81" s="1"/>
  <c r="J14" i="48"/>
  <c r="J31"/>
  <c r="Q8"/>
  <c r="R19" i="14"/>
  <c r="R20" s="1"/>
  <c r="H14" i="48"/>
  <c r="G31"/>
  <c r="H26"/>
  <c r="H31" s="1"/>
  <c r="F55" i="14"/>
  <c r="G53"/>
  <c r="G55" s="1"/>
  <c r="O69" s="1"/>
  <c r="B9" i="6" s="1"/>
  <c r="B12" s="1"/>
  <c r="M53" i="14"/>
  <c r="M55" s="1"/>
  <c r="C24" i="48"/>
  <c r="C22"/>
  <c r="C25"/>
  <c r="C21"/>
  <c r="R13" i="14"/>
  <c r="R15" s="1"/>
  <c r="F25" i="48"/>
  <c r="F31" s="1"/>
  <c r="F14"/>
  <c r="Q14" l="1"/>
  <c r="K55" i="14"/>
  <c r="C12" i="13"/>
  <c r="D37" i="14" s="1"/>
  <c r="D41" s="1"/>
  <c r="E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C31" i="48"/>
  <c r="O23" i="14"/>
  <c r="O55" s="1"/>
  <c r="R37" l="1"/>
  <c r="B16" i="48"/>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<sst xmlns="http://schemas.openxmlformats.org/spreadsheetml/2006/main" count="2155" uniqueCount="884">
  <si>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</si>
  <si>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</si>
  <si>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</si>
  <si>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</si>
  <si>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</si>
  <si>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</si>
  <si>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</si>
  <si>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</si>
  <si>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</si>
  <si>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</si>
  <si>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</si>
  <si>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</si>
  <si>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</si>
  <si>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</si>
  <si>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</si>
  <si>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</si>
  <si>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</si>
  <si>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</si>
  <si>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</si>
  <si>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</si>
  <si>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</si>
  <si>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</si>
  <si>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</si>
  <si>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</si>
  <si>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</si>
  <si>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</si>
  <si>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</si>
  <si>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</si>
  <si>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</si>
  <si>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</si>
  <si>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</si>
  <si>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</si>
  <si>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</si>
  <si>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</si>
  <si>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</si>
  <si>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</si>
  <si>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</si>
  <si>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</si>
  <si>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</si>
  <si>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</si>
  <si>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</si>
  <si>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</si>
  <si>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</si>
  <si>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</si>
  <si>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</si>
  <si>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</si>
  <si>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</si>
  <si>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</si>
  <si>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</si>
  <si>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</si>
  <si>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</si>
  <si>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</si>
  <si>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</si>
  <si>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</si>
  <si>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</si>
  <si>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</si>
  <si>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</si>
  <si>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</si>
  <si>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</si>
  <si>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</si>
  <si>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</si>
  <si>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</si>
  <si>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</si>
  <si>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</si>
  <si>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</si>
  <si>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</si>
  <si>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</si>
  <si>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</si>
  <si>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</si>
  <si>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</si>
  <si>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</si>
  <si>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</si>
  <si>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</si>
  <si>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</si>
  <si>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</si>
  <si>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</si>
  <si>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</si>
  <si>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</si>
  <si>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</si>
  <si>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</si>
  <si>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</si>
  <si>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</si>
  <si>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</si>
  <si>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</si>
  <si>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</si>
  <si>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</si>
  <si>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</si>
  <si>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</si>
  <si>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</si>
  <si>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</si>
  <si>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</si>
  <si>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</si>
  <si>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</si>
  <si>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</si>
  <si>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</si>
  <si>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</si>
  <si>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</si>
  <si>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</si>
  <si>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</si>
  <si>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</si>
  <si>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</si>
  <si>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</si>
  <si>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</si>
  <si>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</si>
  <si>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</si>
  <si>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</si>
  <si>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</si>
  <si>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</si>
  <si>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</si>
  <si>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</si>
  <si>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</si>
  <si>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</si>
  <si>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</si>
  <si>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</si>
  <si>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</si>
  <si>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</si>
  <si>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</si>
  <si>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</si>
  <si>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</si>
  <si>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</si>
  <si>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</si>
  <si>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</si>
  <si>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</si>
  <si>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</si>
  <si>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</si>
  <si>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</si>
  <si>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</si>
  <si>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</si>
  <si>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</si>
  <si>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</si>
  <si>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</si>
  <si>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</si>
  <si>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</si>
  <si>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</si>
  <si>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</si>
  <si>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</si>
  <si>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</si>
  <si>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</si>
  <si>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</si>
  <si>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</si>
  <si>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</si>
  <si>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</si>
  <si>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</si>
  <si>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</si>
  <si>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</si>
  <si>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</si>
  <si>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</si>
  <si>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</si>
  <si>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</si>
  <si>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</si>
  <si>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</si>
  <si>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</si>
  <si>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</si>
  <si>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</si>
  <si>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</si>
  <si>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</si>
  <si>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</si>
  <si>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</si>
  <si>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</si>
  <si>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</si>
  <si>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</si>
  <si>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</si>
  <si>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</si>
  <si>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</si>
  <si>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</si>
  <si>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</si>
  <si>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</si>
  <si>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</si>
  <si>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</si>
  <si>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</si>
  <si>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</si>
  <si>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</si>
  <si>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</si>
  <si>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</si>
  <si>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</si>
  <si>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</si>
  <si>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</si>
  <si>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</si>
  <si>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</si>
  <si>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</si>
  <si>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</si>
  <si>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</si>
  <si>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</si>
  <si>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</si>
  <si>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</si>
  <si>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</si>
  <si>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</si>
  <si>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</si>
  <si>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</si>
  <si>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</si>
  <si>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</si>
  <si>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</si>
  <si>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</si>
  <si>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</si>
  <si>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</si>
  <si>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</si>
  <si>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</si>
  <si>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</si>
  <si>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</si>
  <si>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</si>
  <si>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</si>
  <si>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</si>
  <si>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</si>
  <si>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</si>
  <si>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</si>
  <si>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</si>
  <si>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</si>
  <si>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</si>
  <si>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</si>
  <si>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</si>
  <si>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</si>
  <si>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</si>
  <si>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</si>
  <si>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</si>
  <si>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</si>
  <si>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</si>
  <si>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</si>
  <si>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</si>
  <si>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</si>
  <si>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</si>
  <si>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</si>
  <si>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</si>
  <si>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</si>
  <si>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</si>
  <si>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</si>
  <si>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</si>
  <si>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</si>
  <si>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</si>
  <si>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</si>
  <si>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</si>
  <si>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</si>
  <si>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</si>
  <si>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</si>
  <si>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</si>
  <si>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</si>
  <si>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</si>
  <si>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</si>
  <si>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</si>
  <si>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</si>
  <si>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</si>
  <si>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</si>
  <si>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</si>
  <si>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</si>
  <si>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</si>
  <si>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</si>
  <si>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</si>
  <si>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</si>
  <si>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</si>
  <si>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</si>
  <si>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</si>
  <si>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</si>
  <si>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</si>
  <si>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</si>
  <si>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</si>
  <si>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</si>
  <si>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</si>
  <si>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</si>
  <si>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</si>
  <si>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</si>
  <si>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</si>
  <si>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</si>
  <si>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</si>
  <si>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</si>
  <si>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</si>
  <si>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</si>
  <si>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</si>
  <si>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</si>
  <si>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</si>
  <si>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</si>
  <si>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</si>
  <si>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</si>
  <si>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</si>
  <si>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</si>
  <si>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</si>
  <si>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</si>
  <si>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</si>
  <si>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</si>
  <si>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</si>
  <si>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</si>
  <si>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</si>
  <si>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</si>
  <si>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</si>
  <si>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</si>
  <si>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</si>
  <si>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</si>
  <si>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</si>
  <si>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</si>
  <si>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</si>
  <si>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</si>
  <si>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</si>
  <si>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</si>
  <si>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</si>
  <si>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</si>
  <si>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</si>
  <si>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</si>
  <si>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</si>
  <si>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</si>
  <si>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</si>
  <si>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</si>
  <si>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</si>
  <si>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</si>
  <si>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</si>
  <si>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</si>
  <si>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</si>
  <si>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</si>
  <si>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</si>
  <si>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</si>
  <si>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</si>
  <si>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</si>
  <si>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</si>
  <si>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</si>
  <si>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</si>
  <si>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</si>
  <si>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</si>
  <si>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</si>
  <si>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</si>
  <si>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</si>
  <si>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</si>
  <si>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</si>
  <si>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</si>
  <si>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</si>
  <si>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</si>
  <si>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</si>
  <si>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</si>
  <si>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</si>
  <si>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</si>
  <si>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</si>
  <si>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</si>
  <si>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</si>
  <si>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</si>
  <si>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</si>
  <si>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</si>
  <si>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</si>
  <si>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</si>
  <si>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</si>
  <si>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</si>
  <si>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</si>
  <si>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</si>
  <si>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</si>
  <si>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</si>
  <si>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</si>
  <si>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</si>
  <si>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</si>
  <si>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</si>
  <si>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</si>
  <si>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</si>
  <si>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</si>
  <si>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</si>
  <si>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</si>
  <si>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</si>
  <si>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</si>
  <si>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</si>
  <si>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</si>
  <si>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</si>
  <si>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</si>
  <si>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</si>
  <si>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</si>
  <si>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</si>
  <si>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</si>
  <si>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</si>
  <si>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</si>
  <si>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</si>
  <si>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</si>
  <si>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</si>
  <si>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</si>
  <si>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</si>
  <si>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</si>
  <si>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</si>
  <si>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</si>
  <si>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</si>
  <si>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</si>
  <si>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</si>
  <si>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</si>
  <si>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</si>
  <si>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</si>
  <si>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</si>
  <si>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</si>
  <si>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</si>
  <si>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</si>
  <si>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</si>
  <si>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</si>
  <si>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</si>
  <si>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</si>
  <si>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</si>
  <si>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</si>
  <si>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</si>
  <si>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</si>
  <si>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</si>
  <si>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</si>
  <si>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</si>
  <si>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</si>
  <si>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</si>
  <si>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</si>
  <si>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</si>
  <si>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</si>
  <si>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</si>
  <si>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</si>
  <si>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</si>
  <si>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</si>
  <si>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</si>
  <si>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</si>
  <si>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</si>
  <si>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</si>
  <si>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</si>
  <si>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</si>
  <si>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</si>
  <si>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</si>
  <si>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</si>
  <si>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</si>
  <si>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</si>
  <si>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</si>
  <si>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</si>
  <si>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</si>
  <si>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</si>
  <si>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</si>
  <si>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</si>
  <si>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</si>
  <si>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</si>
  <si>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</si>
  <si>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</si>
  <si>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</si>
  <si>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</si>
  <si>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</si>
  <si>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</si>
  <si>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</si>
  <si>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</si>
  <si>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</si>
  <si>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</si>
  <si>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</si>
  <si>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</si>
  <si>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</si>
  <si>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</si>
  <si>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</si>
  <si>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</si>
  <si>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</si>
  <si>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</si>
  <si>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</si>
  <si>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</si>
  <si>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</si>
  <si>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</si>
  <si>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</si>
  <si>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</si>
  <si>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</si>
  <si>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</si>
  <si>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</si>
  <si>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</si>
  <si>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</si>
  <si>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</si>
  <si>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</si>
  <si>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</si>
  <si>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</si>
  <si>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</si>
  <si>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</si>
  <si>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</si>
  <si>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</si>
  <si>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</si>
  <si>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</si>
  <si>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</si>
  <si>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</si>
  <si>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</si>
  <si>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</si>
  <si>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</si>
  <si>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</si>
  <si>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</si>
  <si>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</si>
  <si>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</si>
  <si>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</si>
  <si>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</si>
  <si>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</si>
  <si>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</si>
  <si>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</si>
  <si>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</si>
  <si>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</si>
  <si>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</si>
  <si>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</si>
  <si>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</si>
  <si>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</si>
  <si>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</si>
  <si>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</si>
  <si>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</si>
  <si>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</si>
  <si>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</si>
  <si>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</si>
  <si>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</si>
  <si>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</si>
  <si>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</si>
  <si>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</si>
  <si>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</si>
  <si>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</si>
  <si>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</si>
  <si>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</si>
  <si>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</si>
  <si>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</si>
  <si>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</si>
  <si>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</si>
  <si>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</si>
  <si>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</si>
  <si>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</si>
  <si>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</si>
  <si>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</si>
  <si>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</si>
  <si>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</si>
  <si>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</si>
  <si>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</si>
  <si>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</si>
  <si>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</si>
  <si>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</si>
  <si>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</si>
  <si>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</si>
  <si>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</si>
  <si>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</si>
  <si>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</si>
  <si>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</si>
  <si>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</si>
  <si>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</si>
  <si>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</si>
  <si>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</si>
  <si>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</si>
  <si>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</si>
  <si>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</si>
  <si>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</si>
  <si>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</si>
  <si>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</si>
  <si>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</si>
  <si>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</si>
  <si>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</si>
  <si>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</si>
  <si>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</si>
  <si>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</si>
  <si>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</si>
  <si>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</si>
  <si>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</si>
  <si>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</si>
  <si>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</si>
  <si>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</si>
  <si>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</si>
  <si>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</si>
  <si>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</si>
  <si>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</si>
  <si>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</si>
  <si>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</si>
  <si>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</si>
  <si>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</si>
  <si>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</si>
  <si>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</si>
  <si>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</si>
  <si>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</si>
  <si>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</si>
  <si>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</si>
  <si>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</si>
  <si>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</si>
  <si>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</si>
  <si>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</si>
  <si>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</si>
  <si>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</si>
  <si>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</si>
  <si>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</si>
  <si>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</si>
  <si>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</si>
  <si>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</si>
  <si>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</si>
  <si>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</si>
  <si>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</si>
  <si>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</si>
  <si>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</si>
  <si>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</si>
  <si>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</si>
  <si>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</si>
  <si>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</si>
  <si>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</si>
  <si>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</si>
  <si>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</si>
  <si>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</si>
  <si>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</si>
  <si>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</si>
  <si>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</si>
  <si>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</si>
  <si>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</si>
  <si>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</si>
  <si>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</si>
  <si>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</si>
  <si>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</si>
  <si>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</si>
  <si>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</si>
  <si>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</si>
  <si>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</si>
  <si>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</si>
  <si>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</si>
  <si>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</si>
  <si>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</si>
  <si>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</si>
  <si>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</si>
  <si>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</si>
  <si>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</si>
  <si>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</si>
  <si>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</si>
  <si>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</si>
  <si>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</si>
  <si>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</si>
  <si>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</si>
  <si>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</si>
  <si>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</si>
  <si>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</si>
  <si>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</si>
  <si>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</si>
  <si>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</si>
  <si>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</si>
  <si>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</si>
  <si>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</si>
  <si>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</si>
  <si>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</si>
  <si>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</si>
  <si>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</si>
  <si>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</si>
  <si>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</si>
  <si>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</si>
  <si>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</si>
  <si>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</si>
  <si>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</si>
  <si>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</si>
  <si>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</si>
  <si>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</si>
  <si>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</si>
  <si>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</si>
  <si>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</si>
  <si>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</si>
  <si>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</si>
  <si>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</si>
  <si>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</si>
  <si>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</si>
  <si>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</si>
  <si>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</si>
  <si>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</si>
  <si>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</si>
  <si>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</si>
  <si>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</si>
  <si>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</si>
  <si>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</si>
  <si>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</si>
  <si>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</si>
  <si>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</si>
  <si>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</si>
  <si>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</si>
  <si>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</si>
  <si>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</si>
  <si>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</si>
  <si>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</si>
  <si>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</si>
  <si>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</si>
  <si>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</si>
  <si>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</si>
  <si>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</si>
  <si>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</si>
  <si>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</si>
  <si>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</si>
  <si>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</si>
  <si>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</si>
  <si>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</si>
  <si>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</si>
  <si>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</si>
  <si>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</si>
  <si>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</si>
  <si>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</si>
  <si>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</si>
  <si>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</si>
  <si>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</si>
  <si>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</si>
  <si>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</si>
  <si>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</si>
  <si>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</si>
  <si>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</si>
  <si>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</si>
  <si>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</si>
  <si>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</si>
  <si>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</si>
  <si>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</si>
  <si>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</si>
  <si>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</si>
  <si>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</si>
  <si>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</si>
  <si>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</si>
  <si>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</si>
  <si>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</si>
  <si>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</si>
  <si>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</si>
  <si>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</si>
  <si>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</si>
  <si>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</si>
  <si>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</si>
  <si>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</si>
  <si>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</si>
  <si>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</si>
  <si>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</si>
  <si>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</si>
  <si>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</si>
  <si>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</si>
  <si>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</si>
  <si>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</si>
  <si>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</si>
  <si>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</si>
  <si>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</si>
  <si>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</si>
  <si>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</si>
  <si>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</si>
  <si>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</si>
  <si>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</si>
  <si>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</si>
  <si>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</si>
  <si>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</si>
  <si>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</si>
  <si>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</si>
  <si>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</si>
  <si>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</si>
  <si>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</si>
  <si>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</si>
  <si>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</si>
  <si>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</si>
  <si>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</si>
  <si>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</si>
  <si>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</si>
  <si>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</si>
  <si>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</si>
  <si>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</si>
  <si>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</si>
  <si>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</si>
  <si>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</si>
  <si>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</si>
  <si>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</si>
  <si>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</si>
  <si>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</si>
  <si>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</si>
  <si>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</si>
  <si>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</si>
  <si>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</si>
  <si>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</si>
  <si>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</si>
  <si>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</si>
  <si>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</si>
  <si>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</si>
  <si>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</si>
  <si>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</si>
  <si>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</si>
  <si>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</si>
  <si>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</si>
  <si>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</si>
  <si>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</si>
  <si>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</si>
  <si>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</si>
  <si>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</si>
  <si>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</si>
  <si>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</si>
  <si>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</si>
  <si>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</si>
  <si>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</si>
  <si>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</si>
  <si>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</si>
  <si>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</si>
  <si>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</si>
  <si>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</si>
  <si>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</si>
  <si>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</si>
  <si>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</si>
  <si>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</si>
  <si>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</si>
  <si>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</si>
  <si>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</si>
  <si>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</si>
  <si>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</si>
  <si>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</si>
  <si>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</si>
  <si>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</si>
  <si>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</si>
  <si>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</si>
  <si>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</si>
  <si>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</si>
  <si>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</si>
  <si>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</si>
  <si>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</si>
  <si>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</si>
  <si>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</si>
  <si>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</si>
  <si>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</si>
  <si>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</si>
  <si>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</si>
  <si>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</si>
  <si>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</si>
  <si>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</si>
  <si>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</si>
  <si>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</si>
  <si>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</si>
  <si>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</si>
  <si>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</si>
  <si>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</si>
  <si>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</si>
  <si>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</si>
  <si>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</si>
  <si>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</si>
  <si>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</si>
  <si>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</si>
  <si>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</si>
  <si>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</si>
  <si>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</si>
  <si>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</si>
  <si>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</si>
  <si>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</si>
  <si>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</si>
  <si>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</si>
  <si>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</si>
  <si>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</si>
  <si>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</si>
  <si>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</si>
  <si>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</si>
  <si>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</si>
  <si>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</si>
  <si>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</si>
  <si>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</si>
  <si>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</si>
  <si>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</si>
  <si>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</si>
  <si>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</si>
  <si>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</si>
  <si>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</si>
  <si>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</si>
  <si>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</si>
  <si>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</si>
  <si>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</si>
  <si>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</si>
  <si>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</si>
  <si>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</si>
  <si>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</si>
  <si>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</si>
  <si>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</si>
  <si>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</si>
  <si>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</si>
  <si>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</si>
  <si>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</si>
  <si>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</si>
  <si>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</si>
  <si>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</si>
  <si>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</si>
  <si>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</si>
  <si>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</si>
  <si>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</si>
  <si>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</si>
  <si>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</si>
  <si>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</si>
  <si>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</si>
  <si>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</si>
  <si>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</si>
  <si>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</si>
  <si>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</si>
  <si>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</si>
  <si>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</si>
  <si>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</si>
  <si>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</si>
  <si>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</si>
  <si>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</si>
  <si>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</si>
  <si>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</si>
  <si>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</si>
  <si>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</si>
  <si>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</si>
  <si>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</si>
  <si>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13017</t>
  </si>
  <si>
    <t>KASTERLEE</t>
  </si>
  <si>
    <t>Paarden&amp;pony's 200 - 600 kg</t>
  </si>
  <si>
    <t>Paarden&amp;pony's &lt; 200 kg</t>
  </si>
  <si>
    <t>referentietaak LNE (2017); Jaarverslag De Lijn (2014)</t>
  </si>
  <si>
    <t>op basis van VEA (maart 2018) en Inventaris Hernieuwbare Energiebronnen (juni 2018)</t>
  </si>
  <si>
    <t>VEA (maart 2016)</t>
  </si>
  <si>
    <t>VEA (juni 2018)</t>
  </si>
  <si>
    <t>Dierckx Jan &amp; Peter VVZRL</t>
  </si>
  <si>
    <t>Hazendonk 8 , 2460 Kasterlee</t>
  </si>
  <si>
    <t>WKK-0593 Dierckx</t>
  </si>
  <si>
    <t>interne verbrandingsmotor</t>
  </si>
  <si>
    <t>WKK interne verbrandinsgmotor (gas)</t>
  </si>
  <si>
    <t>IVEKA</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</si>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</sst>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170338.79312299253</c:v>
                </c:pt>
                <c:pt idx="1">
                  <c:v>47479.974054894796</c:v>
                </c:pt>
                <c:pt idx="2">
                  <c:v>785.404</c:v>
                </c:pt>
                <c:pt idx="3">
                  <c:v>18042.898185250608</c:v>
                </c:pt>
                <c:pt idx="4">
                  <c:v>48310.323067853606</c:v>
                </c:pt>
                <c:pt idx="5">
                  <c:v>95803.193040009472</c:v>
                </c:pt>
                <c:pt idx="6">
                  <c:v>1496.2608453695882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170338.79312299253</c:v>
                </c:pt>
                <c:pt idx="1">
                  <c:v>47479.974054894796</c:v>
                </c:pt>
                <c:pt idx="2">
                  <c:v>785.404</c:v>
                </c:pt>
                <c:pt idx="3">
                  <c:v>18042.898185250608</c:v>
                </c:pt>
                <c:pt idx="4">
                  <c:v>48310.323067853606</c:v>
                </c:pt>
                <c:pt idx="5">
                  <c:v>95803.193040009472</c:v>
                </c:pt>
                <c:pt idx="6">
                  <c:v>1496.2608453695882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30758.926982161283</c:v>
                </c:pt>
                <c:pt idx="1">
                  <c:v>9383.0821197103414</c:v>
                </c:pt>
                <c:pt idx="2">
                  <c:v>151.45993446352483</c:v>
                </c:pt>
                <c:pt idx="3">
                  <c:v>4360.2297704383327</c:v>
                </c:pt>
                <c:pt idx="4">
                  <c:v>9846.8129246023927</c:v>
                </c:pt>
                <c:pt idx="5">
                  <c:v>23991.286090758607</c:v>
                </c:pt>
                <c:pt idx="6">
                  <c:v>377.94835292531593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30758.926982161283</c:v>
                </c:pt>
                <c:pt idx="1">
                  <c:v>9383.0821197103414</c:v>
                </c:pt>
                <c:pt idx="2">
                  <c:v>151.45993446352483</c:v>
                </c:pt>
                <c:pt idx="3">
                  <c:v>4360.2297704383327</c:v>
                </c:pt>
                <c:pt idx="4">
                  <c:v>9846.8129246023927</c:v>
                </c:pt>
                <c:pt idx="5">
                  <c:v>23991.286090758607</c:v>
                </c:pt>
                <c:pt idx="6">
                  <c:v>377.94835292531593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13017</v>
      </c>
      <c r="B6" s="416"/>
      <c r="C6" s="417"/>
    </row>
    <row r="7" spans="1:7" s="414" customFormat="1" ht="15.75" customHeight="1">
      <c r="A7" s="418" t="str">
        <f>txtMunicipality</f>
        <v>KASTERLEE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7243</v>
      </c>
      <c r="C9" s="342">
        <v>7667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3038</v>
      </c>
    </row>
    <row r="15" spans="1:6">
      <c r="A15" s="348" t="s">
        <v>184</v>
      </c>
      <c r="B15" s="334">
        <v>14140</v>
      </c>
    </row>
    <row r="16" spans="1:6">
      <c r="A16" s="348" t="s">
        <v>6</v>
      </c>
      <c r="B16" s="334">
        <v>2722</v>
      </c>
    </row>
    <row r="17" spans="1:6">
      <c r="A17" s="348" t="s">
        <v>7</v>
      </c>
      <c r="B17" s="334">
        <v>217</v>
      </c>
    </row>
    <row r="18" spans="1:6">
      <c r="A18" s="348" t="s">
        <v>8</v>
      </c>
      <c r="B18" s="334">
        <v>1532</v>
      </c>
    </row>
    <row r="19" spans="1:6">
      <c r="A19" s="348" t="s">
        <v>9</v>
      </c>
      <c r="B19" s="334">
        <v>1367</v>
      </c>
    </row>
    <row r="20" spans="1:6">
      <c r="A20" s="348" t="s">
        <v>10</v>
      </c>
      <c r="B20" s="334">
        <v>535</v>
      </c>
    </row>
    <row r="21" spans="1:6">
      <c r="A21" s="348" t="s">
        <v>11</v>
      </c>
      <c r="B21" s="334">
        <v>11625</v>
      </c>
    </row>
    <row r="22" spans="1:6">
      <c r="A22" s="348" t="s">
        <v>12</v>
      </c>
      <c r="B22" s="334">
        <v>26260</v>
      </c>
    </row>
    <row r="23" spans="1:6">
      <c r="A23" s="348" t="s">
        <v>13</v>
      </c>
      <c r="B23" s="334">
        <v>583</v>
      </c>
    </row>
    <row r="24" spans="1:6">
      <c r="A24" s="348" t="s">
        <v>14</v>
      </c>
      <c r="B24" s="334">
        <v>17</v>
      </c>
    </row>
    <row r="25" spans="1:6">
      <c r="A25" s="348" t="s">
        <v>15</v>
      </c>
      <c r="B25" s="334">
        <v>2779</v>
      </c>
    </row>
    <row r="26" spans="1:6">
      <c r="A26" s="348" t="s">
        <v>16</v>
      </c>
      <c r="B26" s="334">
        <v>135</v>
      </c>
    </row>
    <row r="27" spans="1:6">
      <c r="A27" s="348" t="s">
        <v>17</v>
      </c>
      <c r="B27" s="334">
        <v>645</v>
      </c>
    </row>
    <row r="28" spans="1:6" s="356" customFormat="1">
      <c r="A28" s="355" t="s">
        <v>18</v>
      </c>
      <c r="B28" s="355">
        <v>498620</v>
      </c>
    </row>
    <row r="29" spans="1:6">
      <c r="A29" s="355" t="s">
        <v>865</v>
      </c>
      <c r="B29" s="355">
        <v>290</v>
      </c>
      <c r="C29" s="356"/>
      <c r="D29" s="356"/>
      <c r="E29" s="356"/>
      <c r="F29" s="356"/>
    </row>
    <row r="30" spans="1:6">
      <c r="A30" s="341" t="s">
        <v>866</v>
      </c>
      <c r="B30" s="341">
        <v>58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12427.97</v>
      </c>
    </row>
    <row r="36" spans="1:6">
      <c r="A36" s="348" t="s">
        <v>25</v>
      </c>
      <c r="B36" s="348" t="s">
        <v>27</v>
      </c>
      <c r="C36" s="334">
        <v>0</v>
      </c>
      <c r="D36" s="334">
        <v>0</v>
      </c>
      <c r="E36" s="334">
        <v>4</v>
      </c>
      <c r="F36" s="334">
        <v>444783.1</v>
      </c>
    </row>
    <row r="37" spans="1:6">
      <c r="A37" s="348" t="s">
        <v>25</v>
      </c>
      <c r="B37" s="348" t="s">
        <v>28</v>
      </c>
      <c r="C37" s="334">
        <v>0</v>
      </c>
      <c r="D37" s="334">
        <v>0</v>
      </c>
      <c r="E37" s="334">
        <v>0</v>
      </c>
      <c r="F37" s="334">
        <v>0</v>
      </c>
    </row>
    <row r="38" spans="1:6">
      <c r="A38" s="348" t="s">
        <v>25</v>
      </c>
      <c r="B38" s="348" t="s">
        <v>29</v>
      </c>
      <c r="C38" s="334">
        <v>1</v>
      </c>
      <c r="D38" s="334">
        <v>70229.176587083406</v>
      </c>
      <c r="E38" s="334">
        <v>2</v>
      </c>
      <c r="F38" s="334">
        <v>16192.5</v>
      </c>
    </row>
    <row r="39" spans="1:6">
      <c r="A39" s="348" t="s">
        <v>30</v>
      </c>
      <c r="B39" s="348" t="s">
        <v>31</v>
      </c>
      <c r="C39" s="334">
        <v>3940</v>
      </c>
      <c r="D39" s="334">
        <v>64266259.314793304</v>
      </c>
      <c r="E39" s="334">
        <v>7078</v>
      </c>
      <c r="F39" s="334">
        <v>26969310</v>
      </c>
    </row>
    <row r="40" spans="1:6">
      <c r="A40" s="348" t="s">
        <v>30</v>
      </c>
      <c r="B40" s="348" t="s">
        <v>29</v>
      </c>
      <c r="C40" s="334">
        <v>0</v>
      </c>
      <c r="D40" s="334">
        <v>0</v>
      </c>
      <c r="E40" s="334">
        <v>0</v>
      </c>
      <c r="F40" s="334">
        <v>0</v>
      </c>
    </row>
    <row r="41" spans="1:6">
      <c r="A41" s="348" t="s">
        <v>32</v>
      </c>
      <c r="B41" s="348" t="s">
        <v>33</v>
      </c>
      <c r="C41" s="334">
        <v>69</v>
      </c>
      <c r="D41" s="334">
        <v>1429805.16232603</v>
      </c>
      <c r="E41" s="334">
        <v>150</v>
      </c>
      <c r="F41" s="334">
        <v>1396527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92850.36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98454.81</v>
      </c>
    </row>
    <row r="48" spans="1:6">
      <c r="A48" s="348" t="s">
        <v>32</v>
      </c>
      <c r="B48" s="348" t="s">
        <v>29</v>
      </c>
      <c r="C48" s="334">
        <v>15</v>
      </c>
      <c r="D48" s="334">
        <v>740127.166148155</v>
      </c>
      <c r="E48" s="334">
        <v>21</v>
      </c>
      <c r="F48" s="334">
        <v>361689.1</v>
      </c>
    </row>
    <row r="49" spans="1:6">
      <c r="A49" s="348" t="s">
        <v>32</v>
      </c>
      <c r="B49" s="348" t="s">
        <v>40</v>
      </c>
      <c r="C49" s="334">
        <v>0</v>
      </c>
      <c r="D49" s="334">
        <v>0</v>
      </c>
      <c r="E49" s="334">
        <v>0</v>
      </c>
      <c r="F49" s="334">
        <v>0</v>
      </c>
    </row>
    <row r="50" spans="1:6">
      <c r="A50" s="348" t="s">
        <v>32</v>
      </c>
      <c r="B50" s="348" t="s">
        <v>41</v>
      </c>
      <c r="C50" s="334">
        <v>6</v>
      </c>
      <c r="D50" s="334">
        <v>1562858.7443289901</v>
      </c>
      <c r="E50" s="334">
        <v>13</v>
      </c>
      <c r="F50" s="334">
        <v>11827953</v>
      </c>
    </row>
    <row r="51" spans="1:6">
      <c r="A51" s="348" t="s">
        <v>42</v>
      </c>
      <c r="B51" s="348" t="s">
        <v>43</v>
      </c>
      <c r="C51" s="334">
        <v>3</v>
      </c>
      <c r="D51" s="334">
        <v>40770.340099670597</v>
      </c>
      <c r="E51" s="334">
        <v>139</v>
      </c>
      <c r="F51" s="334">
        <v>3844993</v>
      </c>
    </row>
    <row r="52" spans="1:6">
      <c r="A52" s="348" t="s">
        <v>42</v>
      </c>
      <c r="B52" s="348" t="s">
        <v>29</v>
      </c>
      <c r="C52" s="334">
        <v>5</v>
      </c>
      <c r="D52" s="334">
        <v>65820.220614252597</v>
      </c>
      <c r="E52" s="334">
        <v>11</v>
      </c>
      <c r="F52" s="334">
        <v>216236.3</v>
      </c>
    </row>
    <row r="53" spans="1:6">
      <c r="A53" s="348" t="s">
        <v>44</v>
      </c>
      <c r="B53" s="348" t="s">
        <v>45</v>
      </c>
      <c r="C53" s="334">
        <v>107</v>
      </c>
      <c r="D53" s="334">
        <v>3169408.0678766598</v>
      </c>
      <c r="E53" s="334">
        <v>359</v>
      </c>
      <c r="F53" s="334">
        <v>1582626</v>
      </c>
    </row>
    <row r="54" spans="1:6">
      <c r="A54" s="348" t="s">
        <v>46</v>
      </c>
      <c r="B54" s="348" t="s">
        <v>47</v>
      </c>
      <c r="C54" s="334">
        <v>0</v>
      </c>
      <c r="D54" s="334">
        <v>0</v>
      </c>
      <c r="E54" s="334">
        <v>1</v>
      </c>
      <c r="F54" s="334">
        <v>785404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2830596.9213358099</v>
      </c>
      <c r="E57" s="334">
        <v>99</v>
      </c>
      <c r="F57" s="334">
        <v>6793380</v>
      </c>
    </row>
    <row r="58" spans="1:6">
      <c r="A58" s="348" t="s">
        <v>49</v>
      </c>
      <c r="B58" s="348" t="s">
        <v>51</v>
      </c>
      <c r="C58" s="334">
        <v>17</v>
      </c>
      <c r="D58" s="334">
        <v>729400.12686436402</v>
      </c>
      <c r="E58" s="334">
        <v>38</v>
      </c>
      <c r="F58" s="334">
        <v>363307</v>
      </c>
    </row>
    <row r="59" spans="1:6">
      <c r="A59" s="348" t="s">
        <v>49</v>
      </c>
      <c r="B59" s="348" t="s">
        <v>52</v>
      </c>
      <c r="C59" s="334">
        <v>53</v>
      </c>
      <c r="D59" s="334">
        <v>1618828.6123569801</v>
      </c>
      <c r="E59" s="334">
        <v>153</v>
      </c>
      <c r="F59" s="334">
        <v>4574663</v>
      </c>
    </row>
    <row r="60" spans="1:6">
      <c r="A60" s="348" t="s">
        <v>49</v>
      </c>
      <c r="B60" s="348" t="s">
        <v>53</v>
      </c>
      <c r="C60" s="334">
        <v>67</v>
      </c>
      <c r="D60" s="334">
        <v>7762622.6371430503</v>
      </c>
      <c r="E60" s="334">
        <v>108</v>
      </c>
      <c r="F60" s="334">
        <v>4478795</v>
      </c>
    </row>
    <row r="61" spans="1:6">
      <c r="A61" s="348" t="s">
        <v>49</v>
      </c>
      <c r="B61" s="348" t="s">
        <v>54</v>
      </c>
      <c r="C61" s="334">
        <v>177</v>
      </c>
      <c r="D61" s="334">
        <v>3226717.2225360302</v>
      </c>
      <c r="E61" s="334">
        <v>262</v>
      </c>
      <c r="F61" s="334">
        <v>2339359</v>
      </c>
    </row>
    <row r="62" spans="1:6">
      <c r="A62" s="348" t="s">
        <v>49</v>
      </c>
      <c r="B62" s="348" t="s">
        <v>55</v>
      </c>
      <c r="C62" s="334">
        <v>6</v>
      </c>
      <c r="D62" s="334">
        <v>438936.54764052801</v>
      </c>
      <c r="E62" s="334">
        <v>12</v>
      </c>
      <c r="F62" s="334">
        <v>214941.1</v>
      </c>
    </row>
    <row r="63" spans="1:6">
      <c r="A63" s="348" t="s">
        <v>49</v>
      </c>
      <c r="B63" s="348" t="s">
        <v>29</v>
      </c>
      <c r="C63" s="334">
        <v>84</v>
      </c>
      <c r="D63" s="334">
        <v>4931302.3928928403</v>
      </c>
      <c r="E63" s="334">
        <v>100</v>
      </c>
      <c r="F63" s="334">
        <v>2574238</v>
      </c>
    </row>
    <row r="64" spans="1:6">
      <c r="A64" s="348" t="s">
        <v>56</v>
      </c>
      <c r="B64" s="348" t="s">
        <v>57</v>
      </c>
      <c r="C64" s="334">
        <v>0</v>
      </c>
      <c r="D64" s="334">
        <v>0</v>
      </c>
      <c r="E64" s="334">
        <v>0</v>
      </c>
      <c r="F64" s="334">
        <v>0</v>
      </c>
    </row>
    <row r="65" spans="1:6">
      <c r="A65" s="348" t="s">
        <v>56</v>
      </c>
      <c r="B65" s="348" t="s">
        <v>29</v>
      </c>
      <c r="C65" s="334">
        <v>3</v>
      </c>
      <c r="D65" s="334">
        <v>54692.407978357303</v>
      </c>
      <c r="E65" s="334">
        <v>1</v>
      </c>
      <c r="F65" s="334">
        <v>5181.192</v>
      </c>
    </row>
    <row r="66" spans="1:6">
      <c r="A66" s="348" t="s">
        <v>56</v>
      </c>
      <c r="B66" s="348" t="s">
        <v>58</v>
      </c>
      <c r="C66" s="334">
        <v>0</v>
      </c>
      <c r="D66" s="334">
        <v>0</v>
      </c>
      <c r="E66" s="334">
        <v>11</v>
      </c>
      <c r="F66" s="334">
        <v>725349.5</v>
      </c>
    </row>
    <row r="67" spans="1:6">
      <c r="A67" s="355" t="s">
        <v>56</v>
      </c>
      <c r="B67" s="355" t="s">
        <v>59</v>
      </c>
      <c r="C67" s="334">
        <v>0</v>
      </c>
      <c r="D67" s="334">
        <v>0</v>
      </c>
      <c r="E67" s="334">
        <v>0</v>
      </c>
      <c r="F67" s="334">
        <v>0</v>
      </c>
    </row>
    <row r="68" spans="1:6">
      <c r="A68" s="341" t="s">
        <v>56</v>
      </c>
      <c r="B68" s="341" t="s">
        <v>60</v>
      </c>
      <c r="C68" s="334">
        <v>0</v>
      </c>
      <c r="D68" s="334">
        <v>0</v>
      </c>
      <c r="E68" s="334">
        <v>6</v>
      </c>
      <c r="F68" s="334">
        <v>36963.879999999997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98614746</v>
      </c>
      <c r="E73" s="477">
        <v>101761849.88358587</v>
      </c>
    </row>
    <row r="74" spans="1:6">
      <c r="A74" s="348" t="s">
        <v>64</v>
      </c>
      <c r="B74" s="348" t="s">
        <v>714</v>
      </c>
      <c r="C74" s="1288" t="s">
        <v>716</v>
      </c>
      <c r="D74" s="477">
        <v>6295181.689783291</v>
      </c>
      <c r="E74" s="477">
        <v>6552691.0451444415</v>
      </c>
    </row>
    <row r="75" spans="1:6">
      <c r="A75" s="348" t="s">
        <v>65</v>
      </c>
      <c r="B75" s="348" t="s">
        <v>713</v>
      </c>
      <c r="C75" s="1288" t="s">
        <v>717</v>
      </c>
      <c r="D75" s="477">
        <v>20012166</v>
      </c>
      <c r="E75" s="477">
        <v>20716859.732806277</v>
      </c>
    </row>
    <row r="76" spans="1:6">
      <c r="A76" s="348" t="s">
        <v>65</v>
      </c>
      <c r="B76" s="348" t="s">
        <v>714</v>
      </c>
      <c r="C76" s="1288" t="s">
        <v>718</v>
      </c>
      <c r="D76" s="477">
        <v>877982.68978329096</v>
      </c>
      <c r="E76" s="477">
        <v>930877.7557174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399836.62043341796</v>
      </c>
      <c r="C83" s="477">
        <v>395306.43813928444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1156.2808144590504</v>
      </c>
    </row>
    <row r="91" spans="1:6">
      <c r="A91" s="348" t="s">
        <v>68</v>
      </c>
      <c r="B91" s="334">
        <v>5340.6091270801644</v>
      </c>
    </row>
    <row r="92" spans="1:6">
      <c r="A92" s="341" t="s">
        <v>69</v>
      </c>
      <c r="B92" s="342">
        <v>1499.336141710103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2144</v>
      </c>
    </row>
    <row r="98" spans="1:6">
      <c r="A98" s="348" t="s">
        <v>72</v>
      </c>
      <c r="B98" s="334">
        <v>12</v>
      </c>
    </row>
    <row r="99" spans="1:6">
      <c r="A99" s="348" t="s">
        <v>73</v>
      </c>
      <c r="B99" s="334">
        <v>63</v>
      </c>
    </row>
    <row r="100" spans="1:6">
      <c r="A100" s="348" t="s">
        <v>74</v>
      </c>
      <c r="B100" s="334">
        <v>245</v>
      </c>
    </row>
    <row r="101" spans="1:6">
      <c r="A101" s="348" t="s">
        <v>75</v>
      </c>
      <c r="B101" s="334">
        <v>193</v>
      </c>
    </row>
    <row r="102" spans="1:6">
      <c r="A102" s="348" t="s">
        <v>76</v>
      </c>
      <c r="B102" s="334">
        <v>70</v>
      </c>
    </row>
    <row r="103" spans="1:6">
      <c r="A103" s="348" t="s">
        <v>77</v>
      </c>
      <c r="B103" s="334">
        <v>116</v>
      </c>
    </row>
    <row r="104" spans="1:6">
      <c r="A104" s="348" t="s">
        <v>78</v>
      </c>
      <c r="B104" s="334">
        <v>3477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22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221</v>
      </c>
    </row>
    <row r="130" spans="1:6">
      <c r="A130" s="348" t="s">
        <v>295</v>
      </c>
      <c r="B130" s="334">
        <v>5</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73629.968033066441</v>
      </c>
      <c r="C3" s="43" t="s">
        <v>170</v>
      </c>
      <c r="D3" s="43"/>
      <c r="E3" s="154"/>
      <c r="F3" s="43"/>
      <c r="G3" s="43"/>
      <c r="H3" s="43"/>
      <c r="I3" s="43"/>
      <c r="J3" s="43"/>
      <c r="K3" s="96"/>
    </row>
    <row r="4" spans="1:11">
      <c r="A4" s="384" t="s">
        <v>171</v>
      </c>
      <c r="B4" s="49">
        <f>IF(ISERROR('SEAP template'!B69),0,'SEAP template'!B69)</f>
        <v>9380.8760832493172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0.19284334490723862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785.404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785.404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0.19284334490723862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151.45993446352483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26969.31</v>
      </c>
      <c r="C5" s="17">
        <f>IF(ISERROR('Eigen informatie GS &amp; warmtenet'!B57),0,'Eigen informatie GS &amp; warmtenet'!B57)</f>
        <v>0</v>
      </c>
      <c r="D5" s="30">
        <f>(SUM(HH_hh_gas_kWh,HH_rest_gas_kWh)/1000)*0.902</f>
        <v>57968.165901943561</v>
      </c>
      <c r="E5" s="17">
        <f>B46*B57</f>
        <v>2597.4527673156585</v>
      </c>
      <c r="F5" s="17">
        <f>B51*B62</f>
        <v>45801.433758949519</v>
      </c>
      <c r="G5" s="18"/>
      <c r="H5" s="17"/>
      <c r="I5" s="17"/>
      <c r="J5" s="17">
        <f>B50*B61+C50*C61</f>
        <v>0</v>
      </c>
      <c r="K5" s="17"/>
      <c r="L5" s="17"/>
      <c r="M5" s="17"/>
      <c r="N5" s="17">
        <f>B48*B59+C48*C59</f>
        <v>30176.064901036927</v>
      </c>
      <c r="O5" s="17">
        <f>B69*B70*B71</f>
        <v>379.89000000000004</v>
      </c>
      <c r="P5" s="17">
        <f>B77*B78*B79/1000-B77*B78*B79/1000/B80</f>
        <v>1105.8666666666668</v>
      </c>
    </row>
    <row r="6" spans="1:16">
      <c r="A6" s="16" t="s">
        <v>631</v>
      </c>
      <c r="B6" s="844">
        <f>kWh_PV_kleiner_dan_10kW</f>
        <v>5340.6091270801644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32309.919127080168</v>
      </c>
      <c r="C8" s="21">
        <f>C5</f>
        <v>0</v>
      </c>
      <c r="D8" s="21">
        <f>D5</f>
        <v>57968.165901943561</v>
      </c>
      <c r="E8" s="21">
        <f>E5</f>
        <v>2597.4527673156585</v>
      </c>
      <c r="F8" s="21">
        <f>F5</f>
        <v>45801.433758949519</v>
      </c>
      <c r="G8" s="21"/>
      <c r="H8" s="21"/>
      <c r="I8" s="21"/>
      <c r="J8" s="21">
        <f>J5</f>
        <v>0</v>
      </c>
      <c r="K8" s="21"/>
      <c r="L8" s="21">
        <f>L5</f>
        <v>0</v>
      </c>
      <c r="M8" s="21">
        <f>M5</f>
        <v>0</v>
      </c>
      <c r="N8" s="21">
        <f>N5</f>
        <v>30176.064901036927</v>
      </c>
      <c r="O8" s="21">
        <f>O5</f>
        <v>379.89000000000004</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0.19284334490723862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6230.7528781485071</v>
      </c>
      <c r="C12" s="23">
        <f ca="1">C10*C8</f>
        <v>0</v>
      </c>
      <c r="D12" s="23">
        <f>D8*D10</f>
        <v>11709.5695121926</v>
      </c>
      <c r="E12" s="23">
        <f>E10*E8</f>
        <v>589.62177818065447</v>
      </c>
      <c r="F12" s="23">
        <f>F10*F8</f>
        <v>12228.982813639523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2144</v>
      </c>
      <c r="C18" s="166" t="s">
        <v>111</v>
      </c>
      <c r="D18" s="228"/>
      <c r="E18" s="15"/>
    </row>
    <row r="19" spans="1:7">
      <c r="A19" s="171" t="s">
        <v>72</v>
      </c>
      <c r="B19" s="37">
        <f>aantalw2001_ander</f>
        <v>12</v>
      </c>
      <c r="C19" s="166" t="s">
        <v>111</v>
      </c>
      <c r="D19" s="229"/>
      <c r="E19" s="15"/>
    </row>
    <row r="20" spans="1:7">
      <c r="A20" s="171" t="s">
        <v>73</v>
      </c>
      <c r="B20" s="37">
        <f>aantalw2001_propaan</f>
        <v>63</v>
      </c>
      <c r="C20" s="167">
        <f>IF(ISERROR(B20/SUM($B$20,$B$21,$B$22)*100),0,B20/SUM($B$20,$B$21,$B$22)*100)</f>
        <v>12.574850299401197</v>
      </c>
      <c r="D20" s="229"/>
      <c r="E20" s="15"/>
    </row>
    <row r="21" spans="1:7">
      <c r="A21" s="171" t="s">
        <v>74</v>
      </c>
      <c r="B21" s="37">
        <f>aantalw2001_elektriciteit</f>
        <v>245</v>
      </c>
      <c r="C21" s="167">
        <f>IF(ISERROR(B21/SUM($B$20,$B$21,$B$22)*100),0,B21/SUM($B$20,$B$21,$B$22)*100)</f>
        <v>48.902195608782435</v>
      </c>
      <c r="D21" s="229"/>
      <c r="E21" s="15"/>
    </row>
    <row r="22" spans="1:7">
      <c r="A22" s="171" t="s">
        <v>75</v>
      </c>
      <c r="B22" s="37">
        <f>aantalw2001_hout</f>
        <v>193</v>
      </c>
      <c r="C22" s="167">
        <f>IF(ISERROR(B22/SUM($B$20,$B$21,$B$22)*100),0,B22/SUM($B$20,$B$21,$B$22)*100)</f>
        <v>38.522954091816366</v>
      </c>
      <c r="D22" s="229"/>
      <c r="E22" s="15"/>
    </row>
    <row r="23" spans="1:7">
      <c r="A23" s="171" t="s">
        <v>76</v>
      </c>
      <c r="B23" s="37">
        <f>aantalw2001_niet_gespec</f>
        <v>70</v>
      </c>
      <c r="C23" s="166" t="s">
        <v>111</v>
      </c>
      <c r="D23" s="228"/>
      <c r="E23" s="15"/>
    </row>
    <row r="24" spans="1:7">
      <c r="A24" s="171" t="s">
        <v>77</v>
      </c>
      <c r="B24" s="37">
        <f>aantalw2001_steenkool</f>
        <v>116</v>
      </c>
      <c r="C24" s="166" t="s">
        <v>111</v>
      </c>
      <c r="D24" s="229"/>
      <c r="E24" s="15"/>
    </row>
    <row r="25" spans="1:7">
      <c r="A25" s="171" t="s">
        <v>78</v>
      </c>
      <c r="B25" s="37">
        <f>aantalw2001_stookolie</f>
        <v>3477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7243</v>
      </c>
      <c r="C28" s="36"/>
      <c r="D28" s="228"/>
    </row>
    <row r="29" spans="1:7" s="15" customFormat="1">
      <c r="A29" s="230" t="s">
        <v>741</v>
      </c>
      <c r="B29" s="37">
        <f>SUM(HH_hh_gas_aantal,HH_rest_gas_aantal)</f>
        <v>3940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3940</v>
      </c>
      <c r="C32" s="167">
        <f>IF(ISERROR(B32/SUM($B$32,$B$34,$B$35,$B$36,$B$38,$B$39)*100),0,B32/SUM($B$32,$B$34,$B$35,$B$36,$B$38,$B$39)*100)</f>
        <v>54.836464857341682</v>
      </c>
      <c r="D32" s="233"/>
      <c r="G32" s="15"/>
    </row>
    <row r="33" spans="1:7">
      <c r="A33" s="171" t="s">
        <v>72</v>
      </c>
      <c r="B33" s="34" t="s">
        <v>111</v>
      </c>
      <c r="C33" s="167"/>
      <c r="D33" s="233"/>
      <c r="G33" s="15"/>
    </row>
    <row r="34" spans="1:7">
      <c r="A34" s="171" t="s">
        <v>73</v>
      </c>
      <c r="B34" s="33">
        <f>IF((($B$28-$B$32-$B$39-$B$77-$B$38)*C20/100)&lt;0,0,($B$28-$B$32-$B$39-$B$77-$B$38)*C20/100)</f>
        <v>174.08622754491017</v>
      </c>
      <c r="C34" s="167">
        <f>IF(ISERROR(B34/SUM($B$32,$B$34,$B$35,$B$36,$B$38,$B$39)*100),0,B34/SUM($B$32,$B$34,$B$35,$B$36,$B$38,$B$39)*100)</f>
        <v>2.4229120048004202</v>
      </c>
      <c r="D34" s="233"/>
      <c r="G34" s="15"/>
    </row>
    <row r="35" spans="1:7">
      <c r="A35" s="171" t="s">
        <v>74</v>
      </c>
      <c r="B35" s="33">
        <f>IF((($B$28-$B$32-$B$39-$B$77-$B$38)*C21/100)&lt;0,0,($B$28-$B$32-$B$39-$B$77-$B$38)*C21/100)</f>
        <v>677.00199600798408</v>
      </c>
      <c r="C35" s="167">
        <f>IF(ISERROR(B35/SUM($B$32,$B$34,$B$35,$B$36,$B$38,$B$39)*100),0,B35/SUM($B$32,$B$34,$B$35,$B$36,$B$38,$B$39)*100)</f>
        <v>9.4224355742238561</v>
      </c>
      <c r="D35" s="233"/>
      <c r="G35" s="15"/>
    </row>
    <row r="36" spans="1:7">
      <c r="A36" s="171" t="s">
        <v>75</v>
      </c>
      <c r="B36" s="33">
        <f>IF((($B$28-$B$32-$B$39-$B$77-$B$38)*C22/100)&lt;0,0,($B$28-$B$32-$B$39-$B$77-$B$38)*C22/100)</f>
        <v>533.31177644710579</v>
      </c>
      <c r="C36" s="167">
        <f>IF(ISERROR(B36/SUM($B$32,$B$34,$B$35,$B$36,$B$38,$B$39)*100),0,B36/SUM($B$32,$B$34,$B$35,$B$36,$B$38,$B$39)*100)</f>
        <v>7.422571697245731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1860.6</v>
      </c>
      <c r="C39" s="167">
        <f>IF(ISERROR(B39/SUM($B$32,$B$34,$B$35,$B$36,$B$38,$B$39)*100),0,B39/SUM($B$32,$B$34,$B$35,$B$36,$B$38,$B$39)*100)</f>
        <v>25.895615866388304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3940</v>
      </c>
      <c r="C44" s="34" t="s">
        <v>111</v>
      </c>
      <c r="D44" s="174"/>
    </row>
    <row r="45" spans="1:7">
      <c r="A45" s="171" t="s">
        <v>72</v>
      </c>
      <c r="B45" s="33" t="str">
        <f t="shared" si="0"/>
        <v>-</v>
      </c>
      <c r="C45" s="34" t="s">
        <v>111</v>
      </c>
      <c r="D45" s="174"/>
    </row>
    <row r="46" spans="1:7">
      <c r="A46" s="171" t="s">
        <v>73</v>
      </c>
      <c r="B46" s="33">
        <f t="shared" si="0"/>
        <v>174.08622754491017</v>
      </c>
      <c r="C46" s="34" t="s">
        <v>111</v>
      </c>
      <c r="D46" s="174"/>
    </row>
    <row r="47" spans="1:7">
      <c r="A47" s="171" t="s">
        <v>74</v>
      </c>
      <c r="B47" s="33">
        <f t="shared" si="0"/>
        <v>677.00199600798408</v>
      </c>
      <c r="C47" s="34" t="s">
        <v>111</v>
      </c>
      <c r="D47" s="174"/>
    </row>
    <row r="48" spans="1:7">
      <c r="A48" s="171" t="s">
        <v>75</v>
      </c>
      <c r="B48" s="33">
        <f t="shared" si="0"/>
        <v>533.31177644710579</v>
      </c>
      <c r="C48" s="33">
        <f>B48*10</f>
        <v>5333.1177644710579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1860.6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21338.683100000002</v>
      </c>
      <c r="C5" s="17">
        <f>IF(ISERROR('Eigen informatie GS &amp; warmtenet'!B58),0,'Eigen informatie GS &amp; warmtenet'!B58)</f>
        <v>0</v>
      </c>
      <c r="D5" s="30">
        <f>SUM(D6:D12)</f>
        <v>19427.640823614183</v>
      </c>
      <c r="E5" s="17">
        <f>SUM(E6:E12)</f>
        <v>290.91359579216976</v>
      </c>
      <c r="F5" s="17">
        <f>SUM(F6:F12)</f>
        <v>3816.6117477725857</v>
      </c>
      <c r="G5" s="18"/>
      <c r="H5" s="17"/>
      <c r="I5" s="17"/>
      <c r="J5" s="17">
        <f>SUM(J6:J12)</f>
        <v>0</v>
      </c>
      <c r="K5" s="17"/>
      <c r="L5" s="17"/>
      <c r="M5" s="17"/>
      <c r="N5" s="17">
        <f>SUM(N6:N12)</f>
        <v>5069.6700258111023</v>
      </c>
      <c r="O5" s="17">
        <f>B38*B39*B40</f>
        <v>7.8166666666666664</v>
      </c>
      <c r="P5" s="17">
        <f>B46*B47*B48/1000-B46*B47*B48/1000/B49</f>
        <v>19.066666666666666</v>
      </c>
      <c r="R5" s="32"/>
    </row>
    <row r="6" spans="1:18">
      <c r="A6" s="32" t="s">
        <v>54</v>
      </c>
      <c r="B6" s="37">
        <f>B26</f>
        <v>2339.3589999999999</v>
      </c>
      <c r="C6" s="33"/>
      <c r="D6" s="37">
        <f>IF(ISERROR(TER_kantoor_gas_kWh/1000),0,TER_kantoor_gas_kWh/1000)*0.902</f>
        <v>2910.4989347274991</v>
      </c>
      <c r="E6" s="33">
        <f>$C$26*'E Balans VL '!I12/100/3.6*1000000</f>
        <v>6.7774662556331462</v>
      </c>
      <c r="F6" s="33">
        <f>$C$26*('E Balans VL '!L12+'E Balans VL '!N12)/100/3.6*1000000</f>
        <v>264.76389872520713</v>
      </c>
      <c r="G6" s="34"/>
      <c r="H6" s="33"/>
      <c r="I6" s="33"/>
      <c r="J6" s="33">
        <f>$C$26*('E Balans VL '!D12+'E Balans VL '!E12)/100/3.6*1000000</f>
        <v>0</v>
      </c>
      <c r="K6" s="33"/>
      <c r="L6" s="33"/>
      <c r="M6" s="33"/>
      <c r="N6" s="33">
        <f>$C$26*'E Balans VL '!Y12/100/3.6*1000000</f>
        <v>23.415259873326971</v>
      </c>
      <c r="O6" s="33"/>
      <c r="P6" s="33"/>
      <c r="R6" s="32"/>
    </row>
    <row r="7" spans="1:18">
      <c r="A7" s="32" t="s">
        <v>53</v>
      </c>
      <c r="B7" s="37">
        <f t="shared" ref="B7:B12" si="0">B27</f>
        <v>4478.7950000000001</v>
      </c>
      <c r="C7" s="33"/>
      <c r="D7" s="37">
        <f>IF(ISERROR(TER_horeca_gas_kWh/1000),0,TER_horeca_gas_kWh/1000)*0.902</f>
        <v>7001.8856187030315</v>
      </c>
      <c r="E7" s="33">
        <f>$C$27*'E Balans VL '!I9/100/3.6*1000000</f>
        <v>188.00730059408488</v>
      </c>
      <c r="F7" s="33">
        <f>$C$27*('E Balans VL '!L9+'E Balans VL '!N9)/100/3.6*1000000</f>
        <v>962.36095209183429</v>
      </c>
      <c r="G7" s="34"/>
      <c r="H7" s="33"/>
      <c r="I7" s="33"/>
      <c r="J7" s="33">
        <f>$C$27*('E Balans VL '!D9+'E Balans VL '!E9)/100/3.6*1000000</f>
        <v>0</v>
      </c>
      <c r="K7" s="33"/>
      <c r="L7" s="33"/>
      <c r="M7" s="33"/>
      <c r="N7" s="33">
        <f>$C$27*'E Balans VL '!Y9/100/3.6*1000000</f>
        <v>1.154146303016798</v>
      </c>
      <c r="O7" s="33"/>
      <c r="P7" s="33"/>
      <c r="R7" s="32"/>
    </row>
    <row r="8" spans="1:18">
      <c r="A8" s="6" t="s">
        <v>52</v>
      </c>
      <c r="B8" s="37">
        <f t="shared" si="0"/>
        <v>4574.6629999999996</v>
      </c>
      <c r="C8" s="33"/>
      <c r="D8" s="37">
        <f>IF(ISERROR(TER_handel_gas_kWh/1000),0,TER_handel_gas_kWh/1000)*0.902</f>
        <v>1460.183408345996</v>
      </c>
      <c r="E8" s="33">
        <f>$C$28*'E Balans VL '!I13/100/3.6*1000000</f>
        <v>49.135688003783962</v>
      </c>
      <c r="F8" s="33">
        <f>$C$28*('E Balans VL '!L13+'E Balans VL '!N13)/100/3.6*1000000</f>
        <v>592.2279021382933</v>
      </c>
      <c r="G8" s="34"/>
      <c r="H8" s="33"/>
      <c r="I8" s="33"/>
      <c r="J8" s="33">
        <f>$C$28*('E Balans VL '!D13+'E Balans VL '!E13)/100/3.6*1000000</f>
        <v>0</v>
      </c>
      <c r="K8" s="33"/>
      <c r="L8" s="33"/>
      <c r="M8" s="33"/>
      <c r="N8" s="33">
        <f>$C$28*'E Balans VL '!Y13/100/3.6*1000000</f>
        <v>37.109916043460437</v>
      </c>
      <c r="O8" s="33"/>
      <c r="P8" s="33"/>
      <c r="R8" s="32"/>
    </row>
    <row r="9" spans="1:18">
      <c r="A9" s="32" t="s">
        <v>51</v>
      </c>
      <c r="B9" s="37">
        <f t="shared" si="0"/>
        <v>363.30700000000002</v>
      </c>
      <c r="C9" s="33"/>
      <c r="D9" s="37">
        <f>IF(ISERROR(TER_gezond_gas_kWh/1000),0,TER_gezond_gas_kWh/1000)*0.902</f>
        <v>657.91891443165628</v>
      </c>
      <c r="E9" s="33">
        <f>$C$29*'E Balans VL '!I10/100/3.6*1000000</f>
        <v>0.28921587006722821</v>
      </c>
      <c r="F9" s="33">
        <f>$C$29*('E Balans VL '!L10+'E Balans VL '!N10)/100/3.6*1000000</f>
        <v>44.165216109042959</v>
      </c>
      <c r="G9" s="34"/>
      <c r="H9" s="33"/>
      <c r="I9" s="33"/>
      <c r="J9" s="33">
        <f>$C$29*('E Balans VL '!D10+'E Balans VL '!E10)/100/3.6*1000000</f>
        <v>0</v>
      </c>
      <c r="K9" s="33"/>
      <c r="L9" s="33"/>
      <c r="M9" s="33"/>
      <c r="N9" s="33">
        <f>$C$29*'E Balans VL '!Y10/100/3.6*1000000</f>
        <v>2.9346976941344547</v>
      </c>
      <c r="O9" s="33"/>
      <c r="P9" s="33"/>
      <c r="R9" s="32"/>
    </row>
    <row r="10" spans="1:18">
      <c r="A10" s="32" t="s">
        <v>50</v>
      </c>
      <c r="B10" s="37">
        <f t="shared" si="0"/>
        <v>6793.38</v>
      </c>
      <c r="C10" s="33"/>
      <c r="D10" s="37">
        <f>IF(ISERROR(TER_ander_gas_kWh/1000),0,TER_ander_gas_kWh/1000)*0.902</f>
        <v>2553.1984230449007</v>
      </c>
      <c r="E10" s="33">
        <f>$C$30*'E Balans VL '!I14/100/3.6*1000000</f>
        <v>23.281270138438398</v>
      </c>
      <c r="F10" s="33">
        <f>$C$30*('E Balans VL '!L14+'E Balans VL '!N14)/100/3.6*1000000</f>
        <v>1517.3650415545767</v>
      </c>
      <c r="G10" s="34"/>
      <c r="H10" s="33"/>
      <c r="I10" s="33"/>
      <c r="J10" s="33">
        <f>$C$30*('E Balans VL '!D14+'E Balans VL '!E14)/100/3.6*1000000</f>
        <v>0</v>
      </c>
      <c r="K10" s="33"/>
      <c r="L10" s="33"/>
      <c r="M10" s="33"/>
      <c r="N10" s="33">
        <f>$C$30*'E Balans VL '!Y14/100/3.6*1000000</f>
        <v>4785.2939835095112</v>
      </c>
      <c r="O10" s="33"/>
      <c r="P10" s="33"/>
      <c r="R10" s="32"/>
    </row>
    <row r="11" spans="1:18">
      <c r="A11" s="32" t="s">
        <v>55</v>
      </c>
      <c r="B11" s="37">
        <f t="shared" si="0"/>
        <v>214.94110000000001</v>
      </c>
      <c r="C11" s="33"/>
      <c r="D11" s="37">
        <f>IF(ISERROR(TER_onderwijs_gas_kWh/1000),0,TER_onderwijs_gas_kWh/1000)*0.902</f>
        <v>395.92076597175628</v>
      </c>
      <c r="E11" s="33">
        <f>$C$31*'E Balans VL '!I11/100/3.6*1000000</f>
        <v>0.14858216276509589</v>
      </c>
      <c r="F11" s="33">
        <f>$C$31*('E Balans VL '!L11+'E Balans VL '!N11)/100/3.6*1000000</f>
        <v>56.265336364684472</v>
      </c>
      <c r="G11" s="34"/>
      <c r="H11" s="33"/>
      <c r="I11" s="33"/>
      <c r="J11" s="33">
        <f>$C$31*('E Balans VL '!D11+'E Balans VL '!E11)/100/3.6*1000000</f>
        <v>0</v>
      </c>
      <c r="K11" s="33"/>
      <c r="L11" s="33"/>
      <c r="M11" s="33"/>
      <c r="N11" s="33">
        <f>$C$31*'E Balans VL '!Y11/100/3.6*1000000</f>
        <v>0.2139555577952191</v>
      </c>
      <c r="O11" s="33"/>
      <c r="P11" s="33"/>
      <c r="R11" s="32"/>
    </row>
    <row r="12" spans="1:18">
      <c r="A12" s="32" t="s">
        <v>260</v>
      </c>
      <c r="B12" s="37">
        <f t="shared" si="0"/>
        <v>2574.2379999999998</v>
      </c>
      <c r="C12" s="33"/>
      <c r="D12" s="37">
        <f>IF(ISERROR(TER_rest_gas_kWh/1000),0,TER_rest_gas_kWh/1000)*0.902</f>
        <v>4448.0347583893426</v>
      </c>
      <c r="E12" s="33">
        <f>$C$32*'E Balans VL '!I8/100/3.6*1000000</f>
        <v>23.274072767397076</v>
      </c>
      <c r="F12" s="33">
        <f>$C$32*('E Balans VL '!L8+'E Balans VL '!N8)/100/3.6*1000000</f>
        <v>379.46340078894696</v>
      </c>
      <c r="G12" s="34"/>
      <c r="H12" s="33"/>
      <c r="I12" s="33"/>
      <c r="J12" s="33">
        <f>$C$32*('E Balans VL '!D8+'E Balans VL '!E8)/100/3.6*1000000</f>
        <v>0</v>
      </c>
      <c r="K12" s="33"/>
      <c r="L12" s="33"/>
      <c r="M12" s="33"/>
      <c r="N12" s="33">
        <f>$C$32*'E Balans VL '!Y8/100/3.6*1000000</f>
        <v>219.54806682985662</v>
      </c>
      <c r="O12" s="33"/>
      <c r="P12" s="33"/>
      <c r="R12" s="32"/>
    </row>
    <row r="13" spans="1:18">
      <c r="A13" s="16" t="s">
        <v>494</v>
      </c>
      <c r="B13" s="247">
        <f ca="1">'lokale energieproductie'!N90+'lokale energieproductie'!N59</f>
        <v>1341</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22679.683100000002</v>
      </c>
      <c r="C16" s="21">
        <f t="shared" ca="1" si="1"/>
        <v>0</v>
      </c>
      <c r="D16" s="21">
        <f t="shared" ca="1" si="1"/>
        <v>19427.640823614183</v>
      </c>
      <c r="E16" s="21">
        <f t="shared" si="1"/>
        <v>290.91359579216976</v>
      </c>
      <c r="F16" s="21">
        <f t="shared" ca="1" si="1"/>
        <v>3816.6117477725857</v>
      </c>
      <c r="G16" s="21">
        <f t="shared" si="1"/>
        <v>0</v>
      </c>
      <c r="H16" s="21">
        <f t="shared" si="1"/>
        <v>0</v>
      </c>
      <c r="I16" s="21">
        <f t="shared" si="1"/>
        <v>0</v>
      </c>
      <c r="J16" s="21">
        <f t="shared" si="1"/>
        <v>0</v>
      </c>
      <c r="K16" s="21">
        <f t="shared" si="1"/>
        <v>0</v>
      </c>
      <c r="L16" s="21">
        <f t="shared" ca="1" si="1"/>
        <v>0</v>
      </c>
      <c r="M16" s="21">
        <f t="shared" si="1"/>
        <v>0</v>
      </c>
      <c r="N16" s="21">
        <f t="shared" ca="1" si="1"/>
        <v>1238.2414543825307</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0.19284334490723862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4373.6259504401714</v>
      </c>
      <c r="C20" s="23">
        <f t="shared" ref="C20:P20" ca="1" si="2">C16*C18</f>
        <v>0</v>
      </c>
      <c r="D20" s="23">
        <f t="shared" ca="1" si="2"/>
        <v>3924.3834463700655</v>
      </c>
      <c r="E20" s="23">
        <f t="shared" si="2"/>
        <v>66.037386244822542</v>
      </c>
      <c r="F20" s="23">
        <f t="shared" ca="1" si="2"/>
        <v>1019.0353366552804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2339.3589999999999</v>
      </c>
      <c r="C26" s="39">
        <f>IF(ISERROR(B26*3.6/1000000/'E Balans VL '!Z12*100),0,B26*3.6/1000000/'E Balans VL '!Z12*100)</f>
        <v>5.1386725004832164E-2</v>
      </c>
      <c r="D26" s="237" t="s">
        <v>692</v>
      </c>
      <c r="F26" s="6"/>
    </row>
    <row r="27" spans="1:18">
      <c r="A27" s="231" t="s">
        <v>53</v>
      </c>
      <c r="B27" s="33">
        <f>IF(ISERROR(TER_horeca_ele_kWh/1000),0,TER_horeca_ele_kWh/1000)</f>
        <v>4478.7950000000001</v>
      </c>
      <c r="C27" s="39">
        <f>IF(ISERROR(B27*3.6/1000000/'E Balans VL '!Z9*100),0,B27*3.6/1000000/'E Balans VL '!Z9*100)</f>
        <v>0.35991582340586753</v>
      </c>
      <c r="D27" s="237" t="s">
        <v>692</v>
      </c>
      <c r="F27" s="6"/>
    </row>
    <row r="28" spans="1:18">
      <c r="A28" s="171" t="s">
        <v>52</v>
      </c>
      <c r="B28" s="33">
        <f>IF(ISERROR(TER_handel_ele_kWh/1000),0,TER_handel_ele_kWh/1000)</f>
        <v>4574.6629999999996</v>
      </c>
      <c r="C28" s="39">
        <f>IF(ISERROR(B28*3.6/1000000/'E Balans VL '!Z13*100),0,B28*3.6/1000000/'E Balans VL '!Z13*100)</f>
        <v>0.1352695889833247</v>
      </c>
      <c r="D28" s="237" t="s">
        <v>692</v>
      </c>
      <c r="F28" s="6"/>
    </row>
    <row r="29" spans="1:18">
      <c r="A29" s="231" t="s">
        <v>51</v>
      </c>
      <c r="B29" s="33">
        <f>IF(ISERROR(TER_gezond_ele_kWh/1000),0,TER_gezond_ele_kWh/1000)</f>
        <v>363.30700000000002</v>
      </c>
      <c r="C29" s="39">
        <f>IF(ISERROR(B29*3.6/1000000/'E Balans VL '!Z10*100),0,B29*3.6/1000000/'E Balans VL '!Z10*100)</f>
        <v>4.0935319140087932E-2</v>
      </c>
      <c r="D29" s="237" t="s">
        <v>692</v>
      </c>
      <c r="F29" s="6"/>
    </row>
    <row r="30" spans="1:18">
      <c r="A30" s="231" t="s">
        <v>50</v>
      </c>
      <c r="B30" s="33">
        <f>IF(ISERROR(TER_ander_ele_kWh/1000),0,TER_ander_ele_kWh/1000)</f>
        <v>6793.38</v>
      </c>
      <c r="C30" s="39">
        <f>IF(ISERROR(B30*3.6/1000000/'E Balans VL '!Z14*100),0,B30*3.6/1000000/'E Balans VL '!Z14*100)</f>
        <v>0.51377171664143906</v>
      </c>
      <c r="D30" s="237" t="s">
        <v>692</v>
      </c>
      <c r="F30" s="6"/>
    </row>
    <row r="31" spans="1:18">
      <c r="A31" s="231" t="s">
        <v>55</v>
      </c>
      <c r="B31" s="33">
        <f>IF(ISERROR(TER_onderwijs_ele_kWh/1000),0,TER_onderwijs_ele_kWh/1000)</f>
        <v>214.94110000000001</v>
      </c>
      <c r="C31" s="39">
        <f>IF(ISERROR(B31*3.6/1000000/'E Balans VL '!Z11*100),0,B31*3.6/1000000/'E Balans VL '!Z11*100)</f>
        <v>4.4616782716571012E-2</v>
      </c>
      <c r="D31" s="237" t="s">
        <v>692</v>
      </c>
    </row>
    <row r="32" spans="1:18">
      <c r="A32" s="231" t="s">
        <v>260</v>
      </c>
      <c r="B32" s="33">
        <f>IF(ISERROR(TER_rest_ele_kWh/1000),0,TER_rest_ele_kWh/1000)</f>
        <v>2574.2379999999998</v>
      </c>
      <c r="C32" s="39">
        <f>IF(ISERROR(B32*3.6/1000000/'E Balans VL '!Z8*100),0,B32*3.6/1000000/'E Balans VL '!Z8*100)</f>
        <v>2.16864407770683E-2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13777.474269999999</v>
      </c>
      <c r="C5" s="17">
        <f>IF(ISERROR('Eigen informatie GS &amp; warmtenet'!B59),0,'Eigen informatie GS &amp; warmtenet'!B59)</f>
        <v>0</v>
      </c>
      <c r="D5" s="30">
        <f>SUM(D6:D15)</f>
        <v>3366.977547668464</v>
      </c>
      <c r="E5" s="17">
        <f>SUM(E6:E15)</f>
        <v>525.49498674069605</v>
      </c>
      <c r="F5" s="17">
        <f>SUM(F6:F15)</f>
        <v>23557.130418237452</v>
      </c>
      <c r="G5" s="18"/>
      <c r="H5" s="17"/>
      <c r="I5" s="17"/>
      <c r="J5" s="17">
        <f>SUM(J6:J15)</f>
        <v>284.59902178985379</v>
      </c>
      <c r="K5" s="17"/>
      <c r="L5" s="17"/>
      <c r="M5" s="17"/>
      <c r="N5" s="17">
        <f>SUM(N6:N15)</f>
        <v>6798.6468234171507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92.850359999999995</v>
      </c>
      <c r="C8" s="33"/>
      <c r="D8" s="37">
        <f>IF( ISERROR(IND_metaal_Gas_kWH/1000),0,IND_metaal_Gas_kWH/1000)*0.902</f>
        <v>0</v>
      </c>
      <c r="E8" s="33">
        <f>C30*'E Balans VL '!I18/100/3.6*1000000</f>
        <v>2.3237195415020135</v>
      </c>
      <c r="F8" s="33">
        <f>C30*'E Balans VL '!L18/100/3.6*1000000+C30*'E Balans VL '!N18/100/3.6*1000000</f>
        <v>29.09976468544324</v>
      </c>
      <c r="G8" s="34"/>
      <c r="H8" s="33"/>
      <c r="I8" s="33"/>
      <c r="J8" s="40">
        <f>C30*'E Balans VL '!D18/100/3.6*1000000+C30*'E Balans VL '!E18/100/3.6*1000000</f>
        <v>0</v>
      </c>
      <c r="K8" s="33"/>
      <c r="L8" s="33"/>
      <c r="M8" s="33"/>
      <c r="N8" s="33">
        <f>C30*'E Balans VL '!Y18/100/3.6*1000000</f>
        <v>2.3326420108967452</v>
      </c>
      <c r="O8" s="33"/>
      <c r="P8" s="33"/>
      <c r="R8" s="32"/>
    </row>
    <row r="9" spans="1:18">
      <c r="A9" s="6" t="s">
        <v>33</v>
      </c>
      <c r="B9" s="37">
        <f t="shared" si="0"/>
        <v>1396.527</v>
      </c>
      <c r="C9" s="33"/>
      <c r="D9" s="37">
        <f>IF( ISERROR(IND_andere_gas_kWh/1000),0,IND_andere_gas_kWh/1000)*0.902</f>
        <v>1289.684256418079</v>
      </c>
      <c r="E9" s="33">
        <f>C31*'E Balans VL '!I19/100/3.6*1000000</f>
        <v>383.98764636745625</v>
      </c>
      <c r="F9" s="33">
        <f>C31*'E Balans VL '!L19/100/3.6*1000000+C31*'E Balans VL '!N19/100/3.6*1000000</f>
        <v>1100.7062891458484</v>
      </c>
      <c r="G9" s="34"/>
      <c r="H9" s="33"/>
      <c r="I9" s="33"/>
      <c r="J9" s="40">
        <f>C31*'E Balans VL '!D19/100/3.6*1000000+C31*'E Balans VL '!E19/100/3.6*1000000</f>
        <v>0</v>
      </c>
      <c r="K9" s="33"/>
      <c r="L9" s="33"/>
      <c r="M9" s="33"/>
      <c r="N9" s="33">
        <f>C31*'E Balans VL '!Y19/100/3.6*1000000</f>
        <v>452.09265204432029</v>
      </c>
      <c r="O9" s="33"/>
      <c r="P9" s="33"/>
      <c r="R9" s="32"/>
    </row>
    <row r="10" spans="1:18">
      <c r="A10" s="6" t="s">
        <v>41</v>
      </c>
      <c r="B10" s="37">
        <f t="shared" si="0"/>
        <v>11827.953</v>
      </c>
      <c r="C10" s="33"/>
      <c r="D10" s="37">
        <f>IF( ISERROR(IND_voed_gas_kWh/1000),0,IND_voed_gas_kWh/1000)*0.902</f>
        <v>1409.6985873847491</v>
      </c>
      <c r="E10" s="33">
        <f>C32*'E Balans VL '!I20/100/3.6*1000000</f>
        <v>120.57946477851154</v>
      </c>
      <c r="F10" s="33">
        <f>C32*'E Balans VL '!L20/100/3.6*1000000+C32*'E Balans VL '!N20/100/3.6*1000000</f>
        <v>22342.92924029503</v>
      </c>
      <c r="G10" s="34"/>
      <c r="H10" s="33"/>
      <c r="I10" s="33"/>
      <c r="J10" s="40">
        <f>C32*'E Balans VL '!D20/100/3.6*1000000+C32*'E Balans VL '!E20/100/3.6*1000000</f>
        <v>283.08161652743189</v>
      </c>
      <c r="K10" s="33"/>
      <c r="L10" s="33"/>
      <c r="M10" s="33"/>
      <c r="N10" s="33">
        <f>C32*'E Balans VL '!Y20/100/3.6*1000000</f>
        <v>6234.693644121644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98.454809999999995</v>
      </c>
      <c r="C13" s="33"/>
      <c r="D13" s="37">
        <f>IF( ISERROR(IND_papier_gas_kWh/1000),0,IND_papier_gas_kWh/1000)*0.902</f>
        <v>0</v>
      </c>
      <c r="E13" s="33">
        <f>C35*'E Balans VL '!I23/100/3.6*1000000</f>
        <v>0.20390655704965327</v>
      </c>
      <c r="F13" s="33">
        <f>C35*'E Balans VL '!L23/100/3.6*1000000+C35*'E Balans VL '!N23/100/3.6*1000000</f>
        <v>1.9525699526366049</v>
      </c>
      <c r="G13" s="34"/>
      <c r="H13" s="33"/>
      <c r="I13" s="33"/>
      <c r="J13" s="40">
        <f>C35*'E Balans VL '!D23/100/3.6*1000000+C35*'E Balans VL '!E23/100/3.6*1000000</f>
        <v>0</v>
      </c>
      <c r="K13" s="33"/>
      <c r="L13" s="33"/>
      <c r="M13" s="33"/>
      <c r="N13" s="33">
        <f>C35*'E Balans VL '!Y23/100/3.6*1000000</f>
        <v>41.572333693664888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361.6891</v>
      </c>
      <c r="C15" s="33"/>
      <c r="D15" s="37">
        <f>IF( ISERROR(IND_rest_gas_kWh/1000),0,IND_rest_gas_kWh/1000)*0.902</f>
        <v>667.59470386563578</v>
      </c>
      <c r="E15" s="33">
        <f>C37*'E Balans VL '!I15/100/3.6*1000000</f>
        <v>18.400249496176595</v>
      </c>
      <c r="F15" s="33">
        <f>C37*'E Balans VL '!L15/100/3.6*1000000+C37*'E Balans VL '!N15/100/3.6*1000000</f>
        <v>82.44255415849176</v>
      </c>
      <c r="G15" s="34"/>
      <c r="H15" s="33"/>
      <c r="I15" s="33"/>
      <c r="J15" s="40">
        <f>C37*'E Balans VL '!D15/100/3.6*1000000+C37*'E Balans VL '!E15/100/3.6*1000000</f>
        <v>1.517405262421923</v>
      </c>
      <c r="K15" s="33"/>
      <c r="L15" s="33"/>
      <c r="M15" s="33"/>
      <c r="N15" s="33">
        <f>C37*'E Balans VL '!Y15/100/3.6*1000000</f>
        <v>67.955551546624591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13777.474269999999</v>
      </c>
      <c r="C18" s="21">
        <f>C5+C16</f>
        <v>0</v>
      </c>
      <c r="D18" s="21">
        <f>MAX((D5+D16),0)</f>
        <v>3366.977547668464</v>
      </c>
      <c r="E18" s="21">
        <f>MAX((E5+E16),0)</f>
        <v>525.49498674069605</v>
      </c>
      <c r="F18" s="21">
        <f>MAX((F5+F16),0)</f>
        <v>23557.130418237452</v>
      </c>
      <c r="G18" s="21"/>
      <c r="H18" s="21"/>
      <c r="I18" s="21"/>
      <c r="J18" s="21">
        <f>MAX((J5+J16),0)</f>
        <v>284.59902178985379</v>
      </c>
      <c r="K18" s="21"/>
      <c r="L18" s="21">
        <f>MAX((L5+L16),0)</f>
        <v>0</v>
      </c>
      <c r="M18" s="21"/>
      <c r="N18" s="21">
        <f>MAX((N5+N16),0)</f>
        <v>6798.6468234171507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0.19284334490723862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2656.8942226002155</v>
      </c>
      <c r="C22" s="23">
        <f ca="1">C18*C20</f>
        <v>0</v>
      </c>
      <c r="D22" s="23">
        <f>D18*D20</f>
        <v>680.12946462902983</v>
      </c>
      <c r="E22" s="23">
        <f>E18*E20</f>
        <v>119.28736199013801</v>
      </c>
      <c r="F22" s="23">
        <f>F18*F20</f>
        <v>6289.7538216694002</v>
      </c>
      <c r="G22" s="23"/>
      <c r="H22" s="23"/>
      <c r="I22" s="23"/>
      <c r="J22" s="23">
        <f>J18*J20</f>
        <v>100.74805371360824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92.850359999999995</v>
      </c>
      <c r="C30" s="39">
        <f>IF(ISERROR(B30*3.6/1000000/'E Balans VL '!Z18*100),0,B30*3.6/1000000/'E Balans VL '!Z18*100)</f>
        <v>1.299595612756963E-2</v>
      </c>
      <c r="D30" s="237" t="s">
        <v>692</v>
      </c>
    </row>
    <row r="31" spans="1:18">
      <c r="A31" s="6" t="s">
        <v>33</v>
      </c>
      <c r="B31" s="37">
        <f>IF( ISERROR(IND_ander_ele_kWh/1000),0,IND_ander_ele_kWh/1000)</f>
        <v>1396.527</v>
      </c>
      <c r="C31" s="39">
        <f>IF(ISERROR(B31*3.6/1000000/'E Balans VL '!Z19*100),0,B31*3.6/1000000/'E Balans VL '!Z19*100)</f>
        <v>6.1125760241133829E-2</v>
      </c>
      <c r="D31" s="237" t="s">
        <v>692</v>
      </c>
    </row>
    <row r="32" spans="1:18">
      <c r="A32" s="171" t="s">
        <v>41</v>
      </c>
      <c r="B32" s="37">
        <f>IF( ISERROR(IND_voed_ele_kWh/1000),0,IND_voed_ele_kWh/1000)</f>
        <v>11827.953</v>
      </c>
      <c r="C32" s="39">
        <f>IF(ISERROR(B32*3.6/1000000/'E Balans VL '!Z20*100),0,B32*3.6/1000000/'E Balans VL '!Z20*100)</f>
        <v>2.9282083758552746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98.454809999999995</v>
      </c>
      <c r="C35" s="39">
        <f>IF(ISERROR(B35*3.6/1000000/'E Balans VL '!Z22*100),0,B35*3.6/1000000/'E Balans VL '!Z22*100)</f>
        <v>2.7937458337629526E-3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361.6891</v>
      </c>
      <c r="C37" s="39">
        <f>IF(ISERROR(B37*3.6/1000000/'E Balans VL '!Z15*100),0,B37*3.6/1000000/'E Balans VL '!Z15*100)</f>
        <v>2.6818627527056852E-3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4061.2293</v>
      </c>
      <c r="C5" s="17">
        <f>'Eigen informatie GS &amp; warmtenet'!B60</f>
        <v>0</v>
      </c>
      <c r="D5" s="30">
        <f>IF(ISERROR(SUM(LB_lb_gas_kWh,LB_rest_gas_kWh,onbekend_gas_kWh)/1000),0,SUM(LB_lb_gas_kWh,LB_rest_gas_kWh,onbekend_gas_kWh)/1000)*0.902</f>
        <v>2954.9507629887057</v>
      </c>
      <c r="E5" s="17">
        <f>B17*'E Balans VL '!I25/3.6*1000000/100</f>
        <v>37.616806775789961</v>
      </c>
      <c r="F5" s="17">
        <f>B17*('E Balans VL '!L25/3.6*1000000+'E Balans VL '!N25/3.6*1000000)/100</f>
        <v>10304.112397487703</v>
      </c>
      <c r="G5" s="18"/>
      <c r="H5" s="17"/>
      <c r="I5" s="17"/>
      <c r="J5" s="17">
        <f>('E Balans VL '!D25+'E Balans VL '!E25)/3.6*1000000*landbouw!B17/100</f>
        <v>622.63177514126892</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4061.2293</v>
      </c>
      <c r="C8" s="21">
        <f>C5+C6</f>
        <v>62.357142857142847</v>
      </c>
      <c r="D8" s="21">
        <f>MAX((D5+D6),0)</f>
        <v>2954.9507629887057</v>
      </c>
      <c r="E8" s="21">
        <f>MAX((E5+E6),0)</f>
        <v>37.616806775789961</v>
      </c>
      <c r="F8" s="21">
        <f>MAX((F5+F6),0)</f>
        <v>10304.112397487703</v>
      </c>
      <c r="G8" s="21"/>
      <c r="H8" s="21"/>
      <c r="I8" s="21"/>
      <c r="J8" s="21">
        <f>MAX((J5+J6),0)</f>
        <v>622.63177514126892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0.19284334490723862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783.18104264728322</v>
      </c>
      <c r="C12" s="23">
        <f ca="1">C8*C10</f>
        <v>0</v>
      </c>
      <c r="D12" s="23">
        <f>D8*D10</f>
        <v>596.90005412371863</v>
      </c>
      <c r="E12" s="23">
        <f>E8*E10</f>
        <v>8.5390151381043218</v>
      </c>
      <c r="F12" s="23">
        <f>F8*F10</f>
        <v>2751.198010129217</v>
      </c>
      <c r="G12" s="23"/>
      <c r="H12" s="23"/>
      <c r="I12" s="23"/>
      <c r="J12" s="23">
        <f>J8*J10</f>
        <v>220.4116484000092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0.57742069351429748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680.61820365416474</v>
      </c>
      <c r="C26" s="247">
        <f>B26*'GWP N2O_CH4'!B5</f>
        <v>14292.982276737459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372.68721771932439</v>
      </c>
      <c r="C27" s="247">
        <f>B27*'GWP N2O_CH4'!B5</f>
        <v>7826.4315721058119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20.461326384066602</v>
      </c>
      <c r="C28" s="247">
        <f>B28*'GWP N2O_CH4'!B4</f>
        <v>6343.011179060647</v>
      </c>
      <c r="D28" s="50"/>
    </row>
    <row r="29" spans="1:4">
      <c r="A29" s="41" t="s">
        <v>277</v>
      </c>
      <c r="B29" s="247">
        <f>B34*'ha_N2O bodem landbouw'!B4</f>
        <v>20.110913354376532</v>
      </c>
      <c r="C29" s="247">
        <f>B29*'GWP N2O_CH4'!B4</f>
        <v>6234.3831398567245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4.510523565184341E-3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5.8529649550586029E-5</v>
      </c>
      <c r="C5" s="464" t="s">
        <v>211</v>
      </c>
      <c r="D5" s="449">
        <f>SUM(D6:D11)</f>
        <v>1.5294228284450984E-4</v>
      </c>
      <c r="E5" s="449">
        <f>SUM(E6:E11)</f>
        <v>9.7558673744167778E-4</v>
      </c>
      <c r="F5" s="462" t="s">
        <v>211</v>
      </c>
      <c r="G5" s="449">
        <f>SUM(G6:G11)</f>
        <v>0.26855882966772687</v>
      </c>
      <c r="H5" s="449">
        <f>SUM(H6:H11)</f>
        <v>5.7830453098467773E-2</v>
      </c>
      <c r="I5" s="464" t="s">
        <v>211</v>
      </c>
      <c r="J5" s="464" t="s">
        <v>211</v>
      </c>
      <c r="K5" s="464" t="s">
        <v>211</v>
      </c>
      <c r="L5" s="464" t="s">
        <v>211</v>
      </c>
      <c r="M5" s="449">
        <f>SUM(M6:M11)</f>
        <v>1.7315153508002668E-2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4.8655793416421858E-5</v>
      </c>
      <c r="C6" s="450"/>
      <c r="D6" s="963">
        <f>vkm_2011_GW_PW*SUMIFS(TableVerdeelsleutelVkm[CNG],TableVerdeelsleutelVkm[Voertuigtype],"Lichte voertuigen")*SUMIFS(TableECFTransport[EnergieConsumptieFactor (PJ per km)],TableECFTransport[Index],CONCATENATE($A6,"_CNG_CNG"))</f>
        <v>1.1254620695313591E-4</v>
      </c>
      <c r="E6" s="963">
        <f>vkm_2011_GW_PW*SUMIFS(TableVerdeelsleutelVkm[LPG],TableVerdeelsleutelVkm[Voertuigtype],"Lichte voertuigen")*SUMIFS(TableECFTransport[EnergieConsumptieFactor (PJ per km)],TableECFTransport[Index],CONCATENATE($A6,"_LPG_LPG"))</f>
        <v>7.3283293492818152E-4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0.15224062053547693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4.2913484782529189E-2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1.01274864004314E-2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5.8726770892997424E-2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2.0083489117564397E-5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3.3976765746037921E-3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9.8738561341641676E-6</v>
      </c>
      <c r="C8" s="450"/>
      <c r="D8" s="452">
        <f>vkm_2011_NGW_PW*SUMIFS(TableVerdeelsleutelVkm[CNG],TableVerdeelsleutelVkm[Voertuigtype],"Lichte voertuigen")*SUMIFS(TableECFTransport[EnergieConsumptieFactor (PJ per km)],TableECFTransport[Index],CONCATENATE($A8,"_CNG_CNG"))</f>
        <v>4.0396075891373952E-5</v>
      </c>
      <c r="E8" s="452">
        <f>vkm_2011_NGW_PW*SUMIFS(TableVerdeelsleutelVkm[LPG],TableVerdeelsleutelVkm[Voertuigtype],"Lichte voertuigen")*SUMIFS(TableECFTransport[EnergieConsumptieFactor (PJ per km)],TableECFTransport[Index],CONCATENATE($A8,"_LPG_LPG"))</f>
        <v>2.4275380251349623E-4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4.7142431827121634E-2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1.4893503650063233E-2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3.1854622011176963E-3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1.0449006412130849E-2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3.3811767577841625E-6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6.0452833184977879E-4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16.258235986273895</v>
      </c>
      <c r="C14" s="21"/>
      <c r="D14" s="21">
        <f t="shared" ref="D14:M14" si="0">((D5)*10^9/3600)+D12</f>
        <v>42.483967456808287</v>
      </c>
      <c r="E14" s="21">
        <f t="shared" si="0"/>
        <v>270.99631595602165</v>
      </c>
      <c r="F14" s="21"/>
      <c r="G14" s="21">
        <f t="shared" si="0"/>
        <v>74599.674907701905</v>
      </c>
      <c r="H14" s="21">
        <f t="shared" si="0"/>
        <v>16064.014749574382</v>
      </c>
      <c r="I14" s="21"/>
      <c r="J14" s="21"/>
      <c r="K14" s="21"/>
      <c r="L14" s="21"/>
      <c r="M14" s="21">
        <f t="shared" si="0"/>
        <v>4809.764863334075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0.19284334490723862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3.1352926098842957</v>
      </c>
      <c r="C18" s="23"/>
      <c r="D18" s="23">
        <f t="shared" ref="D18:M18" si="1">D14*D16</f>
        <v>8.5817614262752748</v>
      </c>
      <c r="E18" s="23">
        <f t="shared" si="1"/>
        <v>61.516163722016913</v>
      </c>
      <c r="F18" s="23"/>
      <c r="G18" s="23">
        <f t="shared" si="1"/>
        <v>19918.113200356409</v>
      </c>
      <c r="H18" s="23">
        <f t="shared" si="1"/>
        <v>3999.9396726440214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5.0959328484312255E-3</v>
      </c>
      <c r="H50" s="321">
        <f t="shared" si="2"/>
        <v>0</v>
      </c>
      <c r="I50" s="321">
        <f t="shared" si="2"/>
        <v>0</v>
      </c>
      <c r="J50" s="321">
        <f t="shared" si="2"/>
        <v>0</v>
      </c>
      <c r="K50" s="321">
        <f t="shared" si="2"/>
        <v>0</v>
      </c>
      <c r="L50" s="321">
        <f t="shared" si="2"/>
        <v>0</v>
      </c>
      <c r="M50" s="321">
        <f t="shared" si="2"/>
        <v>2.9060619489929213E-4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5.0959328484312255E-3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2.9060619489929213E-4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1415.5369023420071</v>
      </c>
      <c r="H54" s="21">
        <f t="shared" si="3"/>
        <v>0</v>
      </c>
      <c r="I54" s="21">
        <f t="shared" si="3"/>
        <v>0</v>
      </c>
      <c r="J54" s="21">
        <f t="shared" si="3"/>
        <v>0</v>
      </c>
      <c r="K54" s="21">
        <f t="shared" si="3"/>
        <v>0</v>
      </c>
      <c r="L54" s="21">
        <f t="shared" si="3"/>
        <v>0</v>
      </c>
      <c r="M54" s="21">
        <f t="shared" si="3"/>
        <v>80.723943027581143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0.19284334490723862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377.94835292531593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1156.2808144590504</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6839.9452687902676</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1341</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9380.8760832493172</v>
      </c>
      <c r="C9" s="595">
        <f t="shared" ref="C9:L9" si="0">SUM(C7:C8)</f>
        <v>0</v>
      </c>
      <c r="D9" s="595">
        <f t="shared" si="0"/>
        <v>0</v>
      </c>
      <c r="E9" s="595">
        <f t="shared" si="0"/>
        <v>0</v>
      </c>
      <c r="F9" s="595">
        <f t="shared" si="0"/>
        <v>0</v>
      </c>
      <c r="G9" s="595">
        <f t="shared" si="0"/>
        <v>0</v>
      </c>
      <c r="H9" s="595">
        <f t="shared" si="0"/>
        <v>0</v>
      </c>
      <c r="I9" s="595">
        <f t="shared" si="0"/>
        <v>0</v>
      </c>
      <c r="J9" s="595">
        <f t="shared" si="0"/>
        <v>3882.7815126050423</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13017</v>
      </c>
      <c r="C27" s="852">
        <v>2460</v>
      </c>
      <c r="D27" s="673" t="s">
        <v>871</v>
      </c>
      <c r="E27" s="672" t="s">
        <v>872</v>
      </c>
      <c r="F27" s="672" t="s">
        <v>873</v>
      </c>
      <c r="G27" s="672" t="s">
        <v>874</v>
      </c>
      <c r="H27" s="672" t="s">
        <v>875</v>
      </c>
      <c r="I27" s="672" t="s">
        <v>872</v>
      </c>
      <c r="J27" s="851">
        <v>41586</v>
      </c>
      <c r="K27" s="851">
        <v>41586</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13017</v>
      </c>
      <c r="C63" s="852">
        <v>2460</v>
      </c>
      <c r="D63" s="675" t="s">
        <v>877</v>
      </c>
      <c r="E63" s="675" t="s">
        <v>878</v>
      </c>
      <c r="F63" s="675" t="s">
        <v>879</v>
      </c>
      <c r="G63" s="675" t="s">
        <v>880</v>
      </c>
      <c r="H63" s="675" t="s">
        <v>881</v>
      </c>
      <c r="I63" s="675" t="s">
        <v>882</v>
      </c>
      <c r="J63" s="851">
        <v>38768</v>
      </c>
      <c r="K63" s="851">
        <v>39052</v>
      </c>
      <c r="L63" s="675" t="s">
        <v>883</v>
      </c>
      <c r="M63" s="675">
        <v>298</v>
      </c>
      <c r="N63" s="675">
        <v>1341</v>
      </c>
      <c r="O63" s="675">
        <v>0</v>
      </c>
      <c r="P63" s="675">
        <v>0</v>
      </c>
      <c r="Q63" s="675">
        <v>3831.4285714285716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298</v>
      </c>
      <c r="N88" s="630">
        <f t="shared" ref="N88:W88" si="5">SUM(N63:N87)</f>
        <v>1341</v>
      </c>
      <c r="O88" s="630">
        <f t="shared" si="5"/>
        <v>0</v>
      </c>
      <c r="P88" s="630">
        <f t="shared" si="5"/>
        <v>0</v>
      </c>
      <c r="Q88" s="630">
        <f t="shared" si="5"/>
        <v>3831.4285714285716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298</v>
      </c>
      <c r="N90" s="630">
        <f t="shared" ref="N90:W90" si="7">SUMIF($Z$63:$Z$88,"tertiair",N63:N88)</f>
        <v>1341</v>
      </c>
      <c r="O90" s="630">
        <f t="shared" si="7"/>
        <v>0</v>
      </c>
      <c r="P90" s="630">
        <f t="shared" si="7"/>
        <v>0</v>
      </c>
      <c r="Q90" s="630">
        <f t="shared" si="7"/>
        <v>3831.4285714285716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23465.087100000001</v>
      </c>
      <c r="D10" s="719">
        <f ca="1">tertiair!C16</f>
        <v>0</v>
      </c>
      <c r="E10" s="719">
        <f ca="1">tertiair!D16</f>
        <v>19427.640823614183</v>
      </c>
      <c r="F10" s="719">
        <f>tertiair!E16</f>
        <v>290.91359579216976</v>
      </c>
      <c r="G10" s="719">
        <f ca="1">tertiair!F16</f>
        <v>3816.6117477725857</v>
      </c>
      <c r="H10" s="719">
        <f>tertiair!G16</f>
        <v>0</v>
      </c>
      <c r="I10" s="719">
        <f>tertiair!H16</f>
        <v>0</v>
      </c>
      <c r="J10" s="719">
        <f>tertiair!I16</f>
        <v>0</v>
      </c>
      <c r="K10" s="719">
        <f>tertiair!J16</f>
        <v>0</v>
      </c>
      <c r="L10" s="719">
        <f>tertiair!K16</f>
        <v>0</v>
      </c>
      <c r="M10" s="719">
        <f ca="1">tertiair!L16</f>
        <v>0</v>
      </c>
      <c r="N10" s="719">
        <f>tertiair!M16</f>
        <v>0</v>
      </c>
      <c r="O10" s="719">
        <f ca="1">tertiair!N16</f>
        <v>1238.2414543825307</v>
      </c>
      <c r="P10" s="719">
        <f>tertiair!O16</f>
        <v>7.8166666666666664</v>
      </c>
      <c r="Q10" s="720">
        <f>tertiair!P16</f>
        <v>19.066666666666666</v>
      </c>
      <c r="R10" s="722">
        <f ca="1">SUM(C10:Q10)</f>
        <v>48265.378054894798</v>
      </c>
      <c r="S10" s="67"/>
    </row>
    <row r="11" spans="1:19" s="475" customFormat="1">
      <c r="A11" s="871" t="s">
        <v>225</v>
      </c>
      <c r="B11" s="876"/>
      <c r="C11" s="719">
        <f>huishoudens!B8</f>
        <v>32309.919127080168</v>
      </c>
      <c r="D11" s="719">
        <f>huishoudens!C8</f>
        <v>0</v>
      </c>
      <c r="E11" s="719">
        <f>huishoudens!D8</f>
        <v>57968.165901943561</v>
      </c>
      <c r="F11" s="719">
        <f>huishoudens!E8</f>
        <v>2597.4527673156585</v>
      </c>
      <c r="G11" s="719">
        <f>huishoudens!F8</f>
        <v>45801.433758949519</v>
      </c>
      <c r="H11" s="719">
        <f>huishoudens!G8</f>
        <v>0</v>
      </c>
      <c r="I11" s="719">
        <f>huishoudens!H8</f>
        <v>0</v>
      </c>
      <c r="J11" s="719">
        <f>huishoudens!I8</f>
        <v>0</v>
      </c>
      <c r="K11" s="719">
        <f>huishoudens!J8</f>
        <v>0</v>
      </c>
      <c r="L11" s="719">
        <f>huishoudens!K8</f>
        <v>0</v>
      </c>
      <c r="M11" s="719">
        <f>huishoudens!L8</f>
        <v>0</v>
      </c>
      <c r="N11" s="719">
        <f>huishoudens!M8</f>
        <v>0</v>
      </c>
      <c r="O11" s="719">
        <f>huishoudens!N8</f>
        <v>30176.064901036927</v>
      </c>
      <c r="P11" s="719">
        <f>huishoudens!O8</f>
        <v>379.89000000000004</v>
      </c>
      <c r="Q11" s="720">
        <f>huishoudens!P8</f>
        <v>1105.8666666666668</v>
      </c>
      <c r="R11" s="722">
        <f>SUM(C11:Q11)</f>
        <v>170338.79312299253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13777.474269999999</v>
      </c>
      <c r="D13" s="719">
        <f>industrie!C18</f>
        <v>0</v>
      </c>
      <c r="E13" s="719">
        <f>industrie!D18</f>
        <v>3366.977547668464</v>
      </c>
      <c r="F13" s="719">
        <f>industrie!E18</f>
        <v>525.49498674069605</v>
      </c>
      <c r="G13" s="719">
        <f>industrie!F18</f>
        <v>23557.130418237452</v>
      </c>
      <c r="H13" s="719">
        <f>industrie!G18</f>
        <v>0</v>
      </c>
      <c r="I13" s="719">
        <f>industrie!H18</f>
        <v>0</v>
      </c>
      <c r="J13" s="719">
        <f>industrie!I18</f>
        <v>0</v>
      </c>
      <c r="K13" s="719">
        <f>industrie!J18</f>
        <v>284.59902178985379</v>
      </c>
      <c r="L13" s="719">
        <f>industrie!K18</f>
        <v>0</v>
      </c>
      <c r="M13" s="719">
        <f>industrie!L18</f>
        <v>0</v>
      </c>
      <c r="N13" s="719">
        <f>industrie!M18</f>
        <v>0</v>
      </c>
      <c r="O13" s="719">
        <f>industrie!N18</f>
        <v>6798.6468234171507</v>
      </c>
      <c r="P13" s="719">
        <f>industrie!O18</f>
        <v>0</v>
      </c>
      <c r="Q13" s="720">
        <f>industrie!P18</f>
        <v>0</v>
      </c>
      <c r="R13" s="722">
        <f>SUM(C13:Q13)</f>
        <v>48310.323067853606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69552.480497080163</v>
      </c>
      <c r="D15" s="724">
        <f t="shared" ref="D15:Q15" ca="1" si="0">SUM(D9:D14)</f>
        <v>0</v>
      </c>
      <c r="E15" s="724">
        <f t="shared" ca="1" si="0"/>
        <v>80762.784273226207</v>
      </c>
      <c r="F15" s="724">
        <f t="shared" si="0"/>
        <v>3413.8613498485247</v>
      </c>
      <c r="G15" s="724">
        <f t="shared" ca="1" si="0"/>
        <v>73175.175924959563</v>
      </c>
      <c r="H15" s="724">
        <f t="shared" si="0"/>
        <v>0</v>
      </c>
      <c r="I15" s="724">
        <f t="shared" si="0"/>
        <v>0</v>
      </c>
      <c r="J15" s="724">
        <f t="shared" si="0"/>
        <v>0</v>
      </c>
      <c r="K15" s="724">
        <f t="shared" si="0"/>
        <v>284.59902178985379</v>
      </c>
      <c r="L15" s="724">
        <f t="shared" si="0"/>
        <v>0</v>
      </c>
      <c r="M15" s="724">
        <f t="shared" ca="1" si="0"/>
        <v>0</v>
      </c>
      <c r="N15" s="724">
        <f t="shared" si="0"/>
        <v>0</v>
      </c>
      <c r="O15" s="724">
        <f t="shared" ca="1" si="0"/>
        <v>38212.953178836608</v>
      </c>
      <c r="P15" s="724">
        <f t="shared" si="0"/>
        <v>387.70666666666671</v>
      </c>
      <c r="Q15" s="725">
        <f t="shared" si="0"/>
        <v>1124.9333333333334</v>
      </c>
      <c r="R15" s="726">
        <f ca="1">SUM(R9:R14)</f>
        <v>266914.49424574093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1415.5369023420071</v>
      </c>
      <c r="I18" s="719">
        <f>transport!H54</f>
        <v>0</v>
      </c>
      <c r="J18" s="719">
        <f>transport!I54</f>
        <v>0</v>
      </c>
      <c r="K18" s="719">
        <f>transport!J54</f>
        <v>0</v>
      </c>
      <c r="L18" s="719">
        <f>transport!K54</f>
        <v>0</v>
      </c>
      <c r="M18" s="719">
        <f>transport!L54</f>
        <v>0</v>
      </c>
      <c r="N18" s="719">
        <f>transport!M54</f>
        <v>80.723943027581143</v>
      </c>
      <c r="O18" s="719">
        <f>transport!N54</f>
        <v>0</v>
      </c>
      <c r="P18" s="719">
        <f>transport!O54</f>
        <v>0</v>
      </c>
      <c r="Q18" s="720">
        <f>transport!P54</f>
        <v>0</v>
      </c>
      <c r="R18" s="722">
        <f>SUM(C18:Q18)</f>
        <v>1496.2608453695882</v>
      </c>
      <c r="S18" s="67"/>
    </row>
    <row r="19" spans="1:19" s="475" customFormat="1" ht="15" thickBot="1">
      <c r="A19" s="871" t="s">
        <v>307</v>
      </c>
      <c r="B19" s="876"/>
      <c r="C19" s="728">
        <f>transport!B14</f>
        <v>16.258235986273895</v>
      </c>
      <c r="D19" s="728">
        <f>transport!C14</f>
        <v>0</v>
      </c>
      <c r="E19" s="728">
        <f>transport!D14</f>
        <v>42.483967456808287</v>
      </c>
      <c r="F19" s="728">
        <f>transport!E14</f>
        <v>270.99631595602165</v>
      </c>
      <c r="G19" s="728">
        <f>transport!F14</f>
        <v>0</v>
      </c>
      <c r="H19" s="728">
        <f>transport!G14</f>
        <v>74599.674907701905</v>
      </c>
      <c r="I19" s="728">
        <f>transport!H14</f>
        <v>16064.014749574382</v>
      </c>
      <c r="J19" s="728">
        <f>transport!I14</f>
        <v>0</v>
      </c>
      <c r="K19" s="728">
        <f>transport!J14</f>
        <v>0</v>
      </c>
      <c r="L19" s="728">
        <f>transport!K14</f>
        <v>0</v>
      </c>
      <c r="M19" s="728">
        <f>transport!L14</f>
        <v>0</v>
      </c>
      <c r="N19" s="728">
        <f>transport!M14</f>
        <v>4809.764863334075</v>
      </c>
      <c r="O19" s="728">
        <f>transport!N14</f>
        <v>0</v>
      </c>
      <c r="P19" s="728">
        <f>transport!O14</f>
        <v>0</v>
      </c>
      <c r="Q19" s="729">
        <f>transport!P14</f>
        <v>0</v>
      </c>
      <c r="R19" s="730">
        <f>SUM(C19:Q19)</f>
        <v>95803.193040009472</v>
      </c>
      <c r="S19" s="67"/>
    </row>
    <row r="20" spans="1:19" s="475" customFormat="1" ht="15.75" thickBot="1">
      <c r="A20" s="731" t="s">
        <v>230</v>
      </c>
      <c r="B20" s="879"/>
      <c r="C20" s="874">
        <f>SUM(C17:C19)</f>
        <v>16.258235986273895</v>
      </c>
      <c r="D20" s="732">
        <f t="shared" ref="D20:R20" si="1">SUM(D17:D19)</f>
        <v>0</v>
      </c>
      <c r="E20" s="732">
        <f t="shared" si="1"/>
        <v>42.483967456808287</v>
      </c>
      <c r="F20" s="732">
        <f t="shared" si="1"/>
        <v>270.99631595602165</v>
      </c>
      <c r="G20" s="732">
        <f t="shared" si="1"/>
        <v>0</v>
      </c>
      <c r="H20" s="732">
        <f t="shared" si="1"/>
        <v>76015.211810043911</v>
      </c>
      <c r="I20" s="732">
        <f t="shared" si="1"/>
        <v>16064.014749574382</v>
      </c>
      <c r="J20" s="732">
        <f t="shared" si="1"/>
        <v>0</v>
      </c>
      <c r="K20" s="732">
        <f t="shared" si="1"/>
        <v>0</v>
      </c>
      <c r="L20" s="732">
        <f t="shared" si="1"/>
        <v>0</v>
      </c>
      <c r="M20" s="732">
        <f t="shared" si="1"/>
        <v>0</v>
      </c>
      <c r="N20" s="732">
        <f t="shared" si="1"/>
        <v>4890.4888063616563</v>
      </c>
      <c r="O20" s="732">
        <f t="shared" si="1"/>
        <v>0</v>
      </c>
      <c r="P20" s="732">
        <f t="shared" si="1"/>
        <v>0</v>
      </c>
      <c r="Q20" s="733">
        <f t="shared" si="1"/>
        <v>0</v>
      </c>
      <c r="R20" s="734">
        <f t="shared" si="1"/>
        <v>97299.453885379058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4061.2293</v>
      </c>
      <c r="D22" s="728">
        <f>+landbouw!C8</f>
        <v>62.357142857142847</v>
      </c>
      <c r="E22" s="728">
        <f>+landbouw!D8</f>
        <v>2954.9507629887057</v>
      </c>
      <c r="F22" s="728">
        <f>+landbouw!E8</f>
        <v>37.616806775789961</v>
      </c>
      <c r="G22" s="728">
        <f>+landbouw!F8</f>
        <v>10304.112397487703</v>
      </c>
      <c r="H22" s="728">
        <f>+landbouw!G8</f>
        <v>0</v>
      </c>
      <c r="I22" s="728">
        <f>+landbouw!H8</f>
        <v>0</v>
      </c>
      <c r="J22" s="728">
        <f>+landbouw!I8</f>
        <v>0</v>
      </c>
      <c r="K22" s="728">
        <f>+landbouw!J8</f>
        <v>622.63177514126892</v>
      </c>
      <c r="L22" s="728">
        <f>+landbouw!K8</f>
        <v>0</v>
      </c>
      <c r="M22" s="728">
        <f>+landbouw!L8</f>
        <v>0</v>
      </c>
      <c r="N22" s="728">
        <f>+landbouw!M8</f>
        <v>0</v>
      </c>
      <c r="O22" s="728">
        <f>+landbouw!N8</f>
        <v>0</v>
      </c>
      <c r="P22" s="728">
        <f>+landbouw!O8</f>
        <v>0</v>
      </c>
      <c r="Q22" s="729">
        <f>+landbouw!P8</f>
        <v>0</v>
      </c>
      <c r="R22" s="730">
        <f>SUM(C22:Q22)</f>
        <v>18042.898185250608</v>
      </c>
      <c r="S22" s="67"/>
    </row>
    <row r="23" spans="1:19" s="475" customFormat="1" ht="17.25" thickTop="1" thickBot="1">
      <c r="A23" s="735" t="s">
        <v>116</v>
      </c>
      <c r="B23" s="865"/>
      <c r="C23" s="736">
        <f ca="1">C20+C15+C22</f>
        <v>73629.968033066441</v>
      </c>
      <c r="D23" s="736">
        <f t="shared" ref="D23:Q23" ca="1" si="2">D20+D15+D22</f>
        <v>62.357142857142847</v>
      </c>
      <c r="E23" s="736">
        <f t="shared" ca="1" si="2"/>
        <v>83760.219003671722</v>
      </c>
      <c r="F23" s="736">
        <f t="shared" si="2"/>
        <v>3722.4744725803362</v>
      </c>
      <c r="G23" s="736">
        <f t="shared" ca="1" si="2"/>
        <v>83479.288322447261</v>
      </c>
      <c r="H23" s="736">
        <f t="shared" si="2"/>
        <v>76015.211810043911</v>
      </c>
      <c r="I23" s="736">
        <f t="shared" si="2"/>
        <v>16064.014749574382</v>
      </c>
      <c r="J23" s="736">
        <f t="shared" si="2"/>
        <v>0</v>
      </c>
      <c r="K23" s="736">
        <f t="shared" si="2"/>
        <v>907.23079693112277</v>
      </c>
      <c r="L23" s="736">
        <f t="shared" si="2"/>
        <v>0</v>
      </c>
      <c r="M23" s="736">
        <f t="shared" ca="1" si="2"/>
        <v>0</v>
      </c>
      <c r="N23" s="736">
        <f t="shared" si="2"/>
        <v>4890.4888063616563</v>
      </c>
      <c r="O23" s="736">
        <f t="shared" ca="1" si="2"/>
        <v>38212.953178836608</v>
      </c>
      <c r="P23" s="736">
        <f t="shared" si="2"/>
        <v>387.70666666666671</v>
      </c>
      <c r="Q23" s="737">
        <f t="shared" si="2"/>
        <v>1124.9333333333334</v>
      </c>
      <c r="R23" s="738">
        <f ca="1">R20+R15+R22</f>
        <v>382256.84631637059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4525.0858849036958</v>
      </c>
      <c r="D36" s="719">
        <f ca="1">tertiair!C20</f>
        <v>0</v>
      </c>
      <c r="E36" s="719">
        <f ca="1">tertiair!D20</f>
        <v>3924.3834463700655</v>
      </c>
      <c r="F36" s="719">
        <f>tertiair!E20</f>
        <v>66.037386244822542</v>
      </c>
      <c r="G36" s="719">
        <f ca="1">tertiair!F20</f>
        <v>1019.0353366552804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9534.5420541738658</v>
      </c>
    </row>
    <row r="37" spans="1:18">
      <c r="A37" s="886" t="s">
        <v>225</v>
      </c>
      <c r="B37" s="893"/>
      <c r="C37" s="719">
        <f ca="1">huishoudens!B12</f>
        <v>6230.7528781485071</v>
      </c>
      <c r="D37" s="719">
        <f ca="1">huishoudens!C12</f>
        <v>0</v>
      </c>
      <c r="E37" s="719">
        <f>huishoudens!D12</f>
        <v>11709.5695121926</v>
      </c>
      <c r="F37" s="719">
        <f>huishoudens!E12</f>
        <v>589.62177818065447</v>
      </c>
      <c r="G37" s="719">
        <f>huishoudens!F12</f>
        <v>12228.982813639523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30758.926982161283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2656.8942226002155</v>
      </c>
      <c r="D39" s="719">
        <f ca="1">industrie!C22</f>
        <v>0</v>
      </c>
      <c r="E39" s="719">
        <f>industrie!D22</f>
        <v>680.12946462902983</v>
      </c>
      <c r="F39" s="719">
        <f>industrie!E22</f>
        <v>119.28736199013801</v>
      </c>
      <c r="G39" s="719">
        <f>industrie!F22</f>
        <v>6289.7538216694002</v>
      </c>
      <c r="H39" s="719">
        <f>industrie!G22</f>
        <v>0</v>
      </c>
      <c r="I39" s="719">
        <f>industrie!H22</f>
        <v>0</v>
      </c>
      <c r="J39" s="719">
        <f>industrie!I22</f>
        <v>0</v>
      </c>
      <c r="K39" s="719">
        <f>industrie!J22</f>
        <v>100.74805371360824</v>
      </c>
      <c r="L39" s="719">
        <f>industrie!K22</f>
        <v>0</v>
      </c>
      <c r="M39" s="719">
        <f>industrie!L22</f>
        <v>0</v>
      </c>
      <c r="N39" s="719">
        <f>industrie!M22</f>
        <v>0</v>
      </c>
      <c r="O39" s="719">
        <f>industrie!N22</f>
        <v>0</v>
      </c>
      <c r="P39" s="719">
        <f>industrie!O22</f>
        <v>0</v>
      </c>
      <c r="Q39" s="829">
        <f>industrie!P22</f>
        <v>0</v>
      </c>
      <c r="R39" s="919">
        <f ca="1">SUM(C39:Q39)</f>
        <v>9846.8129246023927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13412.732985652419</v>
      </c>
      <c r="D41" s="764">
        <f t="shared" ref="D41:R41" ca="1" si="4">SUM(D35:D40)</f>
        <v>0</v>
      </c>
      <c r="E41" s="764">
        <f t="shared" ca="1" si="4"/>
        <v>16314.082423191696</v>
      </c>
      <c r="F41" s="764">
        <f t="shared" si="4"/>
        <v>774.94652641561504</v>
      </c>
      <c r="G41" s="764">
        <f t="shared" ca="1" si="4"/>
        <v>19537.771971964205</v>
      </c>
      <c r="H41" s="764">
        <f t="shared" si="4"/>
        <v>0</v>
      </c>
      <c r="I41" s="764">
        <f t="shared" si="4"/>
        <v>0</v>
      </c>
      <c r="J41" s="764">
        <f t="shared" si="4"/>
        <v>0</v>
      </c>
      <c r="K41" s="764">
        <f t="shared" si="4"/>
        <v>100.74805371360824</v>
      </c>
      <c r="L41" s="764">
        <f t="shared" si="4"/>
        <v>0</v>
      </c>
      <c r="M41" s="764">
        <f t="shared" ca="1" si="4"/>
        <v>0</v>
      </c>
      <c r="N41" s="764">
        <f t="shared" si="4"/>
        <v>0</v>
      </c>
      <c r="O41" s="764">
        <f t="shared" ca="1" si="4"/>
        <v>0</v>
      </c>
      <c r="P41" s="764">
        <f t="shared" si="4"/>
        <v>0</v>
      </c>
      <c r="Q41" s="765">
        <f t="shared" si="4"/>
        <v>0</v>
      </c>
      <c r="R41" s="766">
        <f t="shared" ca="1" si="4"/>
        <v>50140.281960937544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377.94835292531593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377.94835292531593</v>
      </c>
    </row>
    <row r="45" spans="1:18" ht="15" thickBot="1">
      <c r="A45" s="889" t="s">
        <v>307</v>
      </c>
      <c r="B45" s="899"/>
      <c r="C45" s="728">
        <f ca="1">transport!B18</f>
        <v>3.1352926098842957</v>
      </c>
      <c r="D45" s="728">
        <f>transport!C18</f>
        <v>0</v>
      </c>
      <c r="E45" s="728">
        <f>transport!D18</f>
        <v>8.5817614262752748</v>
      </c>
      <c r="F45" s="728">
        <f>transport!E18</f>
        <v>61.516163722016913</v>
      </c>
      <c r="G45" s="728">
        <f>transport!F18</f>
        <v>0</v>
      </c>
      <c r="H45" s="728">
        <f>transport!G18</f>
        <v>19918.113200356409</v>
      </c>
      <c r="I45" s="728">
        <f>transport!H18</f>
        <v>3999.9396726440214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23991.286090758607</v>
      </c>
    </row>
    <row r="46" spans="1:18" ht="15.75" thickBot="1">
      <c r="A46" s="887" t="s">
        <v>230</v>
      </c>
      <c r="B46" s="900"/>
      <c r="C46" s="764">
        <f t="shared" ref="C46:R46" ca="1" si="5">SUM(C43:C45)</f>
        <v>3.1352926098842957</v>
      </c>
      <c r="D46" s="764">
        <f t="shared" ca="1" si="5"/>
        <v>0</v>
      </c>
      <c r="E46" s="764">
        <f t="shared" si="5"/>
        <v>8.5817614262752748</v>
      </c>
      <c r="F46" s="764">
        <f t="shared" si="5"/>
        <v>61.516163722016913</v>
      </c>
      <c r="G46" s="764">
        <f t="shared" si="5"/>
        <v>0</v>
      </c>
      <c r="H46" s="764">
        <f t="shared" si="5"/>
        <v>20296.061553281725</v>
      </c>
      <c r="I46" s="764">
        <f t="shared" si="5"/>
        <v>3999.9396726440214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24369.234443683923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783.18104264728322</v>
      </c>
      <c r="D48" s="719">
        <f ca="1">+landbouw!C12</f>
        <v>0</v>
      </c>
      <c r="E48" s="719">
        <f>+landbouw!D12</f>
        <v>596.90005412371863</v>
      </c>
      <c r="F48" s="719">
        <f>+landbouw!E12</f>
        <v>8.5390151381043218</v>
      </c>
      <c r="G48" s="719">
        <f>+landbouw!F12</f>
        <v>2751.198010129217</v>
      </c>
      <c r="H48" s="719">
        <f>+landbouw!G12</f>
        <v>0</v>
      </c>
      <c r="I48" s="719">
        <f>+landbouw!H12</f>
        <v>0</v>
      </c>
      <c r="J48" s="719">
        <f>+landbouw!I12</f>
        <v>0</v>
      </c>
      <c r="K48" s="719">
        <f>+landbouw!J12</f>
        <v>220.4116484000092</v>
      </c>
      <c r="L48" s="719">
        <f>+landbouw!K12</f>
        <v>0</v>
      </c>
      <c r="M48" s="719">
        <f>+landbouw!L12</f>
        <v>0</v>
      </c>
      <c r="N48" s="719">
        <f>+landbouw!M12</f>
        <v>0</v>
      </c>
      <c r="O48" s="719">
        <f>+landbouw!N12</f>
        <v>0</v>
      </c>
      <c r="P48" s="719">
        <f>+landbouw!O12</f>
        <v>0</v>
      </c>
      <c r="Q48" s="720">
        <f>+landbouw!P12</f>
        <v>0</v>
      </c>
      <c r="R48" s="762">
        <f ca="1">SUM(C48:Q48)</f>
        <v>4360.2297704383327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14199.049320909588</v>
      </c>
      <c r="D53" s="774">
        <f t="shared" ref="D53:Q53" ca="1" si="6">D41+D46+D48</f>
        <v>0</v>
      </c>
      <c r="E53" s="774">
        <f t="shared" ca="1" si="6"/>
        <v>16919.564238741692</v>
      </c>
      <c r="F53" s="774">
        <f t="shared" si="6"/>
        <v>845.0017052757363</v>
      </c>
      <c r="G53" s="774">
        <f t="shared" ca="1" si="6"/>
        <v>22288.969982093422</v>
      </c>
      <c r="H53" s="774">
        <f t="shared" si="6"/>
        <v>20296.061553281725</v>
      </c>
      <c r="I53" s="774">
        <f t="shared" si="6"/>
        <v>3999.9396726440214</v>
      </c>
      <c r="J53" s="774">
        <f t="shared" si="6"/>
        <v>0</v>
      </c>
      <c r="K53" s="774">
        <f t="shared" si="6"/>
        <v>321.15970211361741</v>
      </c>
      <c r="L53" s="774">
        <f t="shared" si="6"/>
        <v>0</v>
      </c>
      <c r="M53" s="774">
        <f t="shared" ca="1" si="6"/>
        <v>0</v>
      </c>
      <c r="N53" s="774">
        <f t="shared" si="6"/>
        <v>0</v>
      </c>
      <c r="O53" s="774">
        <f t="shared" ca="1" si="6"/>
        <v>0</v>
      </c>
      <c r="P53" s="774">
        <f>P41+P46+P48</f>
        <v>0</v>
      </c>
      <c r="Q53" s="775">
        <f t="shared" si="6"/>
        <v>0</v>
      </c>
      <c r="R53" s="776">
        <f ca="1">R41+R46+R48</f>
        <v>78869.746175059801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0.19284334490723865</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1156.2808144590504</v>
      </c>
      <c r="C64" s="796">
        <f>'lokale energieproductie'!B4</f>
        <v>1156.2808144590504</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6839.9452687902676</v>
      </c>
      <c r="C66" s="796">
        <f>'lokale energieproductie'!B6</f>
        <v>6839.9452687902676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1341</v>
      </c>
      <c r="C68" s="795">
        <f>B68*IFERROR(SUM(J68:L68)/SUM(D68:M68),0)</f>
        <v>1341</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3831.4285714285716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9380.8760832493172</v>
      </c>
      <c r="C69" s="804">
        <f>SUM(C64:C68)</f>
        <v>9380.8760832493172</v>
      </c>
      <c r="D69" s="805">
        <f t="shared" ref="D69:M69" si="8">SUM(D67:D68)</f>
        <v>0</v>
      </c>
      <c r="E69" s="805">
        <f t="shared" si="8"/>
        <v>0</v>
      </c>
      <c r="F69" s="805">
        <f t="shared" si="8"/>
        <v>0</v>
      </c>
      <c r="G69" s="805">
        <f t="shared" si="8"/>
        <v>0</v>
      </c>
      <c r="H69" s="805">
        <f t="shared" si="8"/>
        <v>0</v>
      </c>
      <c r="I69" s="805">
        <f t="shared" si="8"/>
        <v>0</v>
      </c>
      <c r="J69" s="805">
        <f t="shared" si="8"/>
        <v>0</v>
      </c>
      <c r="K69" s="805">
        <f t="shared" si="8"/>
        <v>3882.7815126050423</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32309.919127080168</v>
      </c>
      <c r="C4" s="479">
        <f>huishoudens!C8</f>
        <v>0</v>
      </c>
      <c r="D4" s="479">
        <f>huishoudens!D8</f>
        <v>57968.165901943561</v>
      </c>
      <c r="E4" s="479">
        <f>huishoudens!E8</f>
        <v>2597.4527673156585</v>
      </c>
      <c r="F4" s="479">
        <f>huishoudens!F8</f>
        <v>45801.433758949519</v>
      </c>
      <c r="G4" s="479">
        <f>huishoudens!G8</f>
        <v>0</v>
      </c>
      <c r="H4" s="479">
        <f>huishoudens!H8</f>
        <v>0</v>
      </c>
      <c r="I4" s="479">
        <f>huishoudens!I8</f>
        <v>0</v>
      </c>
      <c r="J4" s="479">
        <f>huishoudens!J8</f>
        <v>0</v>
      </c>
      <c r="K4" s="479">
        <f>huishoudens!K8</f>
        <v>0</v>
      </c>
      <c r="L4" s="479">
        <f>huishoudens!L8</f>
        <v>0</v>
      </c>
      <c r="M4" s="479">
        <f>huishoudens!M8</f>
        <v>0</v>
      </c>
      <c r="N4" s="479">
        <f>huishoudens!N8</f>
        <v>30176.064901036927</v>
      </c>
      <c r="O4" s="479">
        <f>huishoudens!O8</f>
        <v>379.89000000000004</v>
      </c>
      <c r="P4" s="480">
        <f>huishoudens!P8</f>
        <v>1105.8666666666668</v>
      </c>
      <c r="Q4" s="481">
        <f>SUM(B4:P4)</f>
        <v>170338.79312299253</v>
      </c>
    </row>
    <row r="5" spans="1:17">
      <c r="A5" s="478" t="s">
        <v>156</v>
      </c>
      <c r="B5" s="479">
        <f ca="1">tertiair!B16</f>
        <v>22679.683100000002</v>
      </c>
      <c r="C5" s="479">
        <f ca="1">tertiair!C16</f>
        <v>0</v>
      </c>
      <c r="D5" s="479">
        <f ca="1">tertiair!D16</f>
        <v>19427.640823614183</v>
      </c>
      <c r="E5" s="479">
        <f>tertiair!E16</f>
        <v>290.91359579216976</v>
      </c>
      <c r="F5" s="479">
        <f ca="1">tertiair!F16</f>
        <v>3816.6117477725857</v>
      </c>
      <c r="G5" s="479">
        <f>tertiair!G16</f>
        <v>0</v>
      </c>
      <c r="H5" s="479">
        <f>tertiair!H16</f>
        <v>0</v>
      </c>
      <c r="I5" s="479">
        <f>tertiair!I16</f>
        <v>0</v>
      </c>
      <c r="J5" s="479">
        <f>tertiair!J16</f>
        <v>0</v>
      </c>
      <c r="K5" s="479">
        <f>tertiair!K16</f>
        <v>0</v>
      </c>
      <c r="L5" s="479">
        <f ca="1">tertiair!L16</f>
        <v>0</v>
      </c>
      <c r="M5" s="479">
        <f>tertiair!M16</f>
        <v>0</v>
      </c>
      <c r="N5" s="479">
        <f ca="1">tertiair!N16</f>
        <v>1238.2414543825307</v>
      </c>
      <c r="O5" s="479">
        <f>tertiair!O16</f>
        <v>7.8166666666666664</v>
      </c>
      <c r="P5" s="480">
        <f>tertiair!P16</f>
        <v>19.066666666666666</v>
      </c>
      <c r="Q5" s="478">
        <f t="shared" ref="Q5:Q13" ca="1" si="0">SUM(B5:P5)</f>
        <v>47479.974054894796</v>
      </c>
    </row>
    <row r="6" spans="1:17">
      <c r="A6" s="478" t="s">
        <v>194</v>
      </c>
      <c r="B6" s="479">
        <f>'openbare verlichting'!B8</f>
        <v>785.404</v>
      </c>
      <c r="C6" s="479"/>
      <c r="D6" s="479"/>
      <c r="E6" s="479"/>
      <c r="F6" s="479"/>
      <c r="G6" s="479"/>
      <c r="H6" s="479"/>
      <c r="I6" s="479"/>
      <c r="J6" s="479"/>
      <c r="K6" s="479"/>
      <c r="L6" s="479"/>
      <c r="M6" s="479"/>
      <c r="N6" s="479"/>
      <c r="O6" s="479"/>
      <c r="P6" s="480"/>
      <c r="Q6" s="478">
        <f t="shared" si="0"/>
        <v>785.404</v>
      </c>
    </row>
    <row r="7" spans="1:17">
      <c r="A7" s="478" t="s">
        <v>112</v>
      </c>
      <c r="B7" s="479">
        <f>landbouw!B8</f>
        <v>4061.2293</v>
      </c>
      <c r="C7" s="479">
        <f>landbouw!C8</f>
        <v>62.357142857142847</v>
      </c>
      <c r="D7" s="479">
        <f>landbouw!D8</f>
        <v>2954.9507629887057</v>
      </c>
      <c r="E7" s="479">
        <f>landbouw!E8</f>
        <v>37.616806775789961</v>
      </c>
      <c r="F7" s="479">
        <f>landbouw!F8</f>
        <v>10304.112397487703</v>
      </c>
      <c r="G7" s="479">
        <f>landbouw!G8</f>
        <v>0</v>
      </c>
      <c r="H7" s="479">
        <f>landbouw!H8</f>
        <v>0</v>
      </c>
      <c r="I7" s="479">
        <f>landbouw!I8</f>
        <v>0</v>
      </c>
      <c r="J7" s="479">
        <f>landbouw!J8</f>
        <v>622.63177514126892</v>
      </c>
      <c r="K7" s="479">
        <f>landbouw!K8</f>
        <v>0</v>
      </c>
      <c r="L7" s="479">
        <f>landbouw!L8</f>
        <v>0</v>
      </c>
      <c r="M7" s="479">
        <f>landbouw!M8</f>
        <v>0</v>
      </c>
      <c r="N7" s="479">
        <f>landbouw!N8</f>
        <v>0</v>
      </c>
      <c r="O7" s="479">
        <f>landbouw!O8</f>
        <v>0</v>
      </c>
      <c r="P7" s="480">
        <f>landbouw!P8</f>
        <v>0</v>
      </c>
      <c r="Q7" s="478">
        <f t="shared" si="0"/>
        <v>18042.898185250608</v>
      </c>
    </row>
    <row r="8" spans="1:17">
      <c r="A8" s="478" t="s">
        <v>650</v>
      </c>
      <c r="B8" s="479">
        <f>industrie!B18</f>
        <v>13777.474269999999</v>
      </c>
      <c r="C8" s="479">
        <f>industrie!C18</f>
        <v>0</v>
      </c>
      <c r="D8" s="479">
        <f>industrie!D18</f>
        <v>3366.977547668464</v>
      </c>
      <c r="E8" s="479">
        <f>industrie!E18</f>
        <v>525.49498674069605</v>
      </c>
      <c r="F8" s="479">
        <f>industrie!F18</f>
        <v>23557.130418237452</v>
      </c>
      <c r="G8" s="479">
        <f>industrie!G18</f>
        <v>0</v>
      </c>
      <c r="H8" s="479">
        <f>industrie!H18</f>
        <v>0</v>
      </c>
      <c r="I8" s="479">
        <f>industrie!I18</f>
        <v>0</v>
      </c>
      <c r="J8" s="479">
        <f>industrie!J18</f>
        <v>284.59902178985379</v>
      </c>
      <c r="K8" s="479">
        <f>industrie!K18</f>
        <v>0</v>
      </c>
      <c r="L8" s="479">
        <f>industrie!L18</f>
        <v>0</v>
      </c>
      <c r="M8" s="479">
        <f>industrie!M18</f>
        <v>0</v>
      </c>
      <c r="N8" s="479">
        <f>industrie!N18</f>
        <v>6798.6468234171507</v>
      </c>
      <c r="O8" s="479">
        <f>industrie!O18</f>
        <v>0</v>
      </c>
      <c r="P8" s="480">
        <f>industrie!P18</f>
        <v>0</v>
      </c>
      <c r="Q8" s="478">
        <f t="shared" si="0"/>
        <v>48310.323067853606</v>
      </c>
    </row>
    <row r="9" spans="1:17" s="484" customFormat="1">
      <c r="A9" s="482" t="s">
        <v>571</v>
      </c>
      <c r="B9" s="483">
        <f>transport!B14</f>
        <v>16.258235986273895</v>
      </c>
      <c r="C9" s="483"/>
      <c r="D9" s="483">
        <f>transport!D14</f>
        <v>42.483967456808287</v>
      </c>
      <c r="E9" s="483">
        <f>transport!E14</f>
        <v>270.99631595602165</v>
      </c>
      <c r="F9" s="483"/>
      <c r="G9" s="483">
        <f>transport!G14</f>
        <v>74599.674907701905</v>
      </c>
      <c r="H9" s="483">
        <f>transport!H14</f>
        <v>16064.014749574382</v>
      </c>
      <c r="I9" s="483"/>
      <c r="J9" s="483"/>
      <c r="K9" s="483"/>
      <c r="L9" s="483"/>
      <c r="M9" s="483">
        <f>transport!M14</f>
        <v>4809.764863334075</v>
      </c>
      <c r="N9" s="483"/>
      <c r="O9" s="483"/>
      <c r="P9" s="483"/>
      <c r="Q9" s="482">
        <f>SUM(B9:P9)</f>
        <v>95803.193040009472</v>
      </c>
    </row>
    <row r="10" spans="1:17">
      <c r="A10" s="478" t="s">
        <v>561</v>
      </c>
      <c r="B10" s="479">
        <f>transport!B54</f>
        <v>0</v>
      </c>
      <c r="C10" s="479"/>
      <c r="D10" s="479">
        <f>transport!D54</f>
        <v>0</v>
      </c>
      <c r="E10" s="479"/>
      <c r="F10" s="479"/>
      <c r="G10" s="479">
        <f>transport!G54</f>
        <v>1415.5369023420071</v>
      </c>
      <c r="H10" s="479"/>
      <c r="I10" s="479"/>
      <c r="J10" s="479"/>
      <c r="K10" s="479"/>
      <c r="L10" s="479"/>
      <c r="M10" s="479">
        <f>transport!M54</f>
        <v>80.723943027581143</v>
      </c>
      <c r="N10" s="479"/>
      <c r="O10" s="479"/>
      <c r="P10" s="480"/>
      <c r="Q10" s="478">
        <f t="shared" si="0"/>
        <v>1496.2608453695882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73629.968033066441</v>
      </c>
      <c r="C14" s="489">
        <f t="shared" ref="C14:Q14" ca="1" si="1">SUM(C4:C13)</f>
        <v>62.357142857142847</v>
      </c>
      <c r="D14" s="489">
        <f t="shared" ca="1" si="1"/>
        <v>83760.219003671722</v>
      </c>
      <c r="E14" s="489">
        <f t="shared" si="1"/>
        <v>3722.4744725803362</v>
      </c>
      <c r="F14" s="489">
        <f t="shared" ca="1" si="1"/>
        <v>83479.288322447261</v>
      </c>
      <c r="G14" s="489">
        <f t="shared" si="1"/>
        <v>76015.211810043911</v>
      </c>
      <c r="H14" s="489">
        <f t="shared" si="1"/>
        <v>16064.014749574382</v>
      </c>
      <c r="I14" s="489">
        <f t="shared" si="1"/>
        <v>0</v>
      </c>
      <c r="J14" s="489">
        <f t="shared" si="1"/>
        <v>907.23079693112277</v>
      </c>
      <c r="K14" s="489">
        <f t="shared" si="1"/>
        <v>0</v>
      </c>
      <c r="L14" s="489">
        <f t="shared" ca="1" si="1"/>
        <v>0</v>
      </c>
      <c r="M14" s="489">
        <f t="shared" si="1"/>
        <v>4890.4888063616563</v>
      </c>
      <c r="N14" s="489">
        <f t="shared" ca="1" si="1"/>
        <v>38212.953178836608</v>
      </c>
      <c r="O14" s="489">
        <f t="shared" si="1"/>
        <v>387.70666666666671</v>
      </c>
      <c r="P14" s="490">
        <f t="shared" si="1"/>
        <v>1124.9333333333334</v>
      </c>
      <c r="Q14" s="490">
        <f t="shared" ca="1" si="1"/>
        <v>382256.84631637059</v>
      </c>
    </row>
    <row r="16" spans="1:17">
      <c r="A16" s="492" t="s">
        <v>566</v>
      </c>
      <c r="B16" s="842">
        <f ca="1">huishoudens!B10</f>
        <v>0.19284334490723862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6230.7528781485071</v>
      </c>
      <c r="C21" s="479">
        <f t="shared" ref="C21:C28" ca="1" si="3">C4*$C$16</f>
        <v>0</v>
      </c>
      <c r="D21" s="479">
        <f t="shared" ref="D21:D30" si="4">D4*$D$16</f>
        <v>11709.5695121926</v>
      </c>
      <c r="E21" s="479">
        <f t="shared" ref="E21:E30" si="5">E4*$E$16</f>
        <v>589.62177818065447</v>
      </c>
      <c r="F21" s="479">
        <f t="shared" ref="F21:F28" si="6">F4*$F$16</f>
        <v>12228.982813639523</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30758.926982161283</v>
      </c>
    </row>
    <row r="22" spans="1:17">
      <c r="A22" s="478" t="s">
        <v>156</v>
      </c>
      <c r="B22" s="479">
        <f t="shared" ca="1" si="2"/>
        <v>4373.6259504401714</v>
      </c>
      <c r="C22" s="479">
        <f t="shared" ca="1" si="3"/>
        <v>0</v>
      </c>
      <c r="D22" s="479">
        <f t="shared" ca="1" si="4"/>
        <v>3924.3834463700655</v>
      </c>
      <c r="E22" s="479">
        <f t="shared" si="5"/>
        <v>66.037386244822542</v>
      </c>
      <c r="F22" s="479">
        <f t="shared" ca="1" si="6"/>
        <v>1019.0353366552804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9383.0821197103414</v>
      </c>
    </row>
    <row r="23" spans="1:17">
      <c r="A23" s="478" t="s">
        <v>194</v>
      </c>
      <c r="B23" s="479">
        <f t="shared" ca="1" si="2"/>
        <v>151.45993446352483</v>
      </c>
      <c r="C23" s="479"/>
      <c r="D23" s="479"/>
      <c r="E23" s="479"/>
      <c r="F23" s="479"/>
      <c r="G23" s="479"/>
      <c r="H23" s="479"/>
      <c r="I23" s="479"/>
      <c r="J23" s="479"/>
      <c r="K23" s="479"/>
      <c r="L23" s="479"/>
      <c r="M23" s="479"/>
      <c r="N23" s="479"/>
      <c r="O23" s="479"/>
      <c r="P23" s="480"/>
      <c r="Q23" s="478">
        <f t="shared" ca="1" si="17"/>
        <v>151.45993446352483</v>
      </c>
    </row>
    <row r="24" spans="1:17">
      <c r="A24" s="478" t="s">
        <v>112</v>
      </c>
      <c r="B24" s="479">
        <f t="shared" ca="1" si="2"/>
        <v>783.18104264728322</v>
      </c>
      <c r="C24" s="479">
        <f t="shared" ca="1" si="3"/>
        <v>0</v>
      </c>
      <c r="D24" s="479">
        <f t="shared" si="4"/>
        <v>596.90005412371863</v>
      </c>
      <c r="E24" s="479">
        <f t="shared" si="5"/>
        <v>8.5390151381043218</v>
      </c>
      <c r="F24" s="479">
        <f t="shared" si="6"/>
        <v>2751.198010129217</v>
      </c>
      <c r="G24" s="479">
        <f t="shared" si="7"/>
        <v>0</v>
      </c>
      <c r="H24" s="479">
        <f t="shared" si="8"/>
        <v>0</v>
      </c>
      <c r="I24" s="479">
        <f t="shared" si="9"/>
        <v>0</v>
      </c>
      <c r="J24" s="479">
        <f t="shared" si="10"/>
        <v>220.4116484000092</v>
      </c>
      <c r="K24" s="479">
        <f t="shared" si="11"/>
        <v>0</v>
      </c>
      <c r="L24" s="479">
        <f t="shared" si="12"/>
        <v>0</v>
      </c>
      <c r="M24" s="479">
        <f t="shared" si="13"/>
        <v>0</v>
      </c>
      <c r="N24" s="479">
        <f t="shared" si="14"/>
        <v>0</v>
      </c>
      <c r="O24" s="479">
        <f t="shared" si="15"/>
        <v>0</v>
      </c>
      <c r="P24" s="480">
        <f t="shared" si="16"/>
        <v>0</v>
      </c>
      <c r="Q24" s="478">
        <f t="shared" ca="1" si="17"/>
        <v>4360.2297704383327</v>
      </c>
    </row>
    <row r="25" spans="1:17">
      <c r="A25" s="478" t="s">
        <v>650</v>
      </c>
      <c r="B25" s="479">
        <f t="shared" ca="1" si="2"/>
        <v>2656.8942226002155</v>
      </c>
      <c r="C25" s="479">
        <f t="shared" ca="1" si="3"/>
        <v>0</v>
      </c>
      <c r="D25" s="479">
        <f t="shared" si="4"/>
        <v>680.12946462902983</v>
      </c>
      <c r="E25" s="479">
        <f t="shared" si="5"/>
        <v>119.28736199013801</v>
      </c>
      <c r="F25" s="479">
        <f t="shared" si="6"/>
        <v>6289.7538216694002</v>
      </c>
      <c r="G25" s="479">
        <f t="shared" si="7"/>
        <v>0</v>
      </c>
      <c r="H25" s="479">
        <f t="shared" si="8"/>
        <v>0</v>
      </c>
      <c r="I25" s="479">
        <f t="shared" si="9"/>
        <v>0</v>
      </c>
      <c r="J25" s="479">
        <f t="shared" si="10"/>
        <v>100.74805371360824</v>
      </c>
      <c r="K25" s="479">
        <f t="shared" si="11"/>
        <v>0</v>
      </c>
      <c r="L25" s="479">
        <f t="shared" si="12"/>
        <v>0</v>
      </c>
      <c r="M25" s="479">
        <f t="shared" si="13"/>
        <v>0</v>
      </c>
      <c r="N25" s="479">
        <f t="shared" si="14"/>
        <v>0</v>
      </c>
      <c r="O25" s="479">
        <f t="shared" si="15"/>
        <v>0</v>
      </c>
      <c r="P25" s="480">
        <f t="shared" si="16"/>
        <v>0</v>
      </c>
      <c r="Q25" s="478">
        <f t="shared" ca="1" si="17"/>
        <v>9846.8129246023927</v>
      </c>
    </row>
    <row r="26" spans="1:17" s="484" customFormat="1">
      <c r="A26" s="482" t="s">
        <v>571</v>
      </c>
      <c r="B26" s="836">
        <f t="shared" ca="1" si="2"/>
        <v>3.1352926098842957</v>
      </c>
      <c r="C26" s="483"/>
      <c r="D26" s="483">
        <f t="shared" si="4"/>
        <v>8.5817614262752748</v>
      </c>
      <c r="E26" s="483">
        <f t="shared" si="5"/>
        <v>61.516163722016913</v>
      </c>
      <c r="F26" s="483"/>
      <c r="G26" s="483">
        <f t="shared" si="7"/>
        <v>19918.113200356409</v>
      </c>
      <c r="H26" s="483">
        <f t="shared" si="8"/>
        <v>3999.9396726440214</v>
      </c>
      <c r="I26" s="483"/>
      <c r="J26" s="483"/>
      <c r="K26" s="483"/>
      <c r="L26" s="483"/>
      <c r="M26" s="483">
        <f t="shared" si="13"/>
        <v>0</v>
      </c>
      <c r="N26" s="483"/>
      <c r="O26" s="483"/>
      <c r="P26" s="494"/>
      <c r="Q26" s="482">
        <f t="shared" ca="1" si="17"/>
        <v>23991.286090758607</v>
      </c>
    </row>
    <row r="27" spans="1:17">
      <c r="A27" s="478" t="s">
        <v>561</v>
      </c>
      <c r="B27" s="479">
        <f t="shared" ca="1" si="2"/>
        <v>0</v>
      </c>
      <c r="C27" s="479"/>
      <c r="D27" s="483">
        <f t="shared" si="4"/>
        <v>0</v>
      </c>
      <c r="E27" s="479"/>
      <c r="F27" s="479"/>
      <c r="G27" s="479">
        <f t="shared" si="7"/>
        <v>377.94835292531593</v>
      </c>
      <c r="H27" s="479"/>
      <c r="I27" s="479"/>
      <c r="J27" s="479"/>
      <c r="K27" s="479"/>
      <c r="L27" s="479"/>
      <c r="M27" s="479">
        <f t="shared" si="13"/>
        <v>0</v>
      </c>
      <c r="N27" s="479"/>
      <c r="O27" s="479"/>
      <c r="P27" s="480"/>
      <c r="Q27" s="478">
        <f t="shared" ca="1" si="17"/>
        <v>377.94835292531593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14199.049320909588</v>
      </c>
      <c r="C31" s="489">
        <f t="shared" ca="1" si="18"/>
        <v>0</v>
      </c>
      <c r="D31" s="489">
        <f t="shared" ca="1" si="18"/>
        <v>16919.564238741688</v>
      </c>
      <c r="E31" s="489">
        <f t="shared" si="18"/>
        <v>845.0017052757363</v>
      </c>
      <c r="F31" s="489">
        <f t="shared" ca="1" si="18"/>
        <v>22288.969982093422</v>
      </c>
      <c r="G31" s="489">
        <f t="shared" si="18"/>
        <v>20296.061553281725</v>
      </c>
      <c r="H31" s="489">
        <f t="shared" si="18"/>
        <v>3999.9396726440214</v>
      </c>
      <c r="I31" s="489">
        <f t="shared" si="18"/>
        <v>0</v>
      </c>
      <c r="J31" s="489">
        <f t="shared" si="18"/>
        <v>321.15970211361741</v>
      </c>
      <c r="K31" s="489">
        <f t="shared" si="18"/>
        <v>0</v>
      </c>
      <c r="L31" s="489">
        <f t="shared" ca="1" si="18"/>
        <v>0</v>
      </c>
      <c r="M31" s="489">
        <f t="shared" si="18"/>
        <v>0</v>
      </c>
      <c r="N31" s="489">
        <f t="shared" ca="1" si="18"/>
        <v>0</v>
      </c>
      <c r="O31" s="489">
        <f t="shared" si="18"/>
        <v>0</v>
      </c>
      <c r="P31" s="490">
        <f t="shared" si="18"/>
        <v>0</v>
      </c>
      <c r="Q31" s="490">
        <f t="shared" ca="1" si="18"/>
        <v>78869.746175059801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0.19284334490723862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0.19284334490723862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0.19284334490723862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2019-01-01T21:30:35Z</dcterms:modified>
</cp:coreProperties>
</file>