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C16" i="15"/>
  <c r="J15" i="16"/>
  <c r="F8" i="17"/>
  <c r="G22" i="14" s="1"/>
  <c r="D6" i="17"/>
  <c r="D8" s="1"/>
  <c r="L16" i="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J15" i="14"/>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N20"/>
  <c r="N23" s="1"/>
  <c r="E5" i="48"/>
  <c r="E22" s="1"/>
  <c r="R22" i="14"/>
  <c r="E20" i="15"/>
  <c r="F36" i="14" s="1"/>
  <c r="O31" i="48"/>
  <c r="F18" i="16"/>
  <c r="G13" i="14" s="1"/>
  <c r="G15" s="1"/>
  <c r="G23" s="1"/>
  <c r="M16" i="18"/>
  <c r="M19" s="1"/>
  <c r="K10" i="14"/>
  <c r="R10" s="1"/>
  <c r="J18" i="16"/>
  <c r="J22" s="1"/>
  <c r="K39" i="14" s="1"/>
  <c r="Q7" i="48"/>
  <c r="E18" i="16"/>
  <c r="E8" i="48" s="1"/>
  <c r="E25" s="1"/>
  <c r="E31"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N22" i="16"/>
  <c r="O39" i="14" s="1"/>
  <c r="O41" s="1"/>
  <c r="F8" i="48"/>
  <c r="Q4"/>
  <c r="N22"/>
  <c r="R11" i="14"/>
  <c r="J21" i="48"/>
  <c r="C20" i="16" l="1"/>
  <c r="C22" s="1"/>
  <c r="D39" i="14" s="1"/>
  <c r="C18" i="15"/>
  <c r="C20" s="1"/>
  <c r="D36" i="14" s="1"/>
  <c r="C17" i="49"/>
  <c r="C29" i="20"/>
  <c r="C10" i="13"/>
  <c r="C16" i="48" s="1"/>
  <c r="C16" i="22"/>
  <c r="C17" i="19"/>
  <c r="C19" s="1"/>
  <c r="D35" i="14" s="1"/>
  <c r="C10" i="17"/>
  <c r="C12" s="1"/>
  <c r="D48" i="14" s="1"/>
  <c r="C56" i="22"/>
  <c r="C58" s="1"/>
  <c r="D44" i="14" s="1"/>
  <c r="D46" s="1"/>
  <c r="O13"/>
  <c r="O15" s="1"/>
  <c r="F22" i="16"/>
  <c r="G39" i="14" s="1"/>
  <c r="G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<sst xmlns="http://schemas.openxmlformats.org/spreadsheetml/2006/main" count="2173" uniqueCount="888">
  <si>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</si>
  <si>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</si>
  <si>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</si>
  <si>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</si>
  <si>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</si>
  <si>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</si>
  <si>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</si>
  <si>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</si>
  <si>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</si>
  <si>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</si>
  <si>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</si>
  <si>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</si>
  <si>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</si>
  <si>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</si>
  <si>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</si>
  <si>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</si>
  <si>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</si>
  <si>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</si>
  <si>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</si>
  <si>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</si>
  <si>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</si>
  <si>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</si>
  <si>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</si>
  <si>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</si>
  <si>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</si>
  <si>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</si>
  <si>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</si>
  <si>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</si>
  <si>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</si>
  <si>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</si>
  <si>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</si>
  <si>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</si>
  <si>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</si>
  <si>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</si>
  <si>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</si>
  <si>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</si>
  <si>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</si>
  <si>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</si>
  <si>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</si>
  <si>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</si>
  <si>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</si>
  <si>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</si>
  <si>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</si>
  <si>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</si>
  <si>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</si>
  <si>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</si>
  <si>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</si>
  <si>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</si>
  <si>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</si>
  <si>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</si>
  <si>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</si>
  <si>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</si>
  <si>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</si>
  <si>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</si>
  <si>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</si>
  <si>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</si>
  <si>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</si>
  <si>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</si>
  <si>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</si>
  <si>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</si>
  <si>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</si>
  <si>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</si>
  <si>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</si>
  <si>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</si>
  <si>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</si>
  <si>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</si>
  <si>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</si>
  <si>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</si>
  <si>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</si>
  <si>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</si>
  <si>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</si>
  <si>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</si>
  <si>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</si>
  <si>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</si>
  <si>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</si>
  <si>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</si>
  <si>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</si>
  <si>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</si>
  <si>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</si>
  <si>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</si>
  <si>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</si>
  <si>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</si>
  <si>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</si>
  <si>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</si>
  <si>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</si>
  <si>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</si>
  <si>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</si>
  <si>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</si>
  <si>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</si>
  <si>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</si>
  <si>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</si>
  <si>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</si>
  <si>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</si>
  <si>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</si>
  <si>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</si>
  <si>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</si>
  <si>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</si>
  <si>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</si>
  <si>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</si>
  <si>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</si>
  <si>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</si>
  <si>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</si>
  <si>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</si>
  <si>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</si>
  <si>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</si>
  <si>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</si>
  <si>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</si>
  <si>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</si>
  <si>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</si>
  <si>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</si>
  <si>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</si>
  <si>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</si>
  <si>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</si>
  <si>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</si>
  <si>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</si>
  <si>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</si>
  <si>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</si>
  <si>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</si>
  <si>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</si>
  <si>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</si>
  <si>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</si>
  <si>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</si>
  <si>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</si>
  <si>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</si>
  <si>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</si>
  <si>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</si>
  <si>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</si>
  <si>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</si>
  <si>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</si>
  <si>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</si>
  <si>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</si>
  <si>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</si>
  <si>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</si>
  <si>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</si>
  <si>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</si>
  <si>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</si>
  <si>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</si>
  <si>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</si>
  <si>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</si>
  <si>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</si>
  <si>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</si>
  <si>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</si>
  <si>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</si>
  <si>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</si>
  <si>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</si>
  <si>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</si>
  <si>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</si>
  <si>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</si>
  <si>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</si>
  <si>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</si>
  <si>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</si>
  <si>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</si>
  <si>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</si>
  <si>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</si>
  <si>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</si>
  <si>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</si>
  <si>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</si>
  <si>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</si>
  <si>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</si>
  <si>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</si>
  <si>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</si>
  <si>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</si>
  <si>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</si>
  <si>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</si>
  <si>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</si>
  <si>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</si>
  <si>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</si>
  <si>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</si>
  <si>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</si>
  <si>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</si>
  <si>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</si>
  <si>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</si>
  <si>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</si>
  <si>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</si>
  <si>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</si>
  <si>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</si>
  <si>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</si>
  <si>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</si>
  <si>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</si>
  <si>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</si>
  <si>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</si>
  <si>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</si>
  <si>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</si>
  <si>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</si>
  <si>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</si>
  <si>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</si>
  <si>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</si>
  <si>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</si>
  <si>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</si>
  <si>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</si>
  <si>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</si>
  <si>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</si>
  <si>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</si>
  <si>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</si>
  <si>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</si>
  <si>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</si>
  <si>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</si>
  <si>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</si>
  <si>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</si>
  <si>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</si>
  <si>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</si>
  <si>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</si>
  <si>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</si>
  <si>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</si>
  <si>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</si>
  <si>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</si>
  <si>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</si>
  <si>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</si>
  <si>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</si>
  <si>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</si>
  <si>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</si>
  <si>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</si>
  <si>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</si>
  <si>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</si>
  <si>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</si>
  <si>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</si>
  <si>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</si>
  <si>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</si>
  <si>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</si>
  <si>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</si>
  <si>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</si>
  <si>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</si>
  <si>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</si>
  <si>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</si>
  <si>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</si>
  <si>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</si>
  <si>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</si>
  <si>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</si>
  <si>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</si>
  <si>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</si>
  <si>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</si>
  <si>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</si>
  <si>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</si>
  <si>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</si>
  <si>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</si>
  <si>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</si>
  <si>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</si>
  <si>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</si>
  <si>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</si>
  <si>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</si>
  <si>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</si>
  <si>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</si>
  <si>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</si>
  <si>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</si>
  <si>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</si>
  <si>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</si>
  <si>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</si>
  <si>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</si>
  <si>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</si>
  <si>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</si>
  <si>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</si>
  <si>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</si>
  <si>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</si>
  <si>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</si>
  <si>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</si>
  <si>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</si>
  <si>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</si>
  <si>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</si>
  <si>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</si>
  <si>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</si>
  <si>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</si>
  <si>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</si>
  <si>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</si>
  <si>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</si>
  <si>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</si>
  <si>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</si>
  <si>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</si>
  <si>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</si>
  <si>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</si>
  <si>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</si>
  <si>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</si>
  <si>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</si>
  <si>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</si>
  <si>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</si>
  <si>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</si>
  <si>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</si>
  <si>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</si>
  <si>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</si>
  <si>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</si>
  <si>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</si>
  <si>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</si>
  <si>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</si>
  <si>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</si>
  <si>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</si>
  <si>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</si>
  <si>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</si>
  <si>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</si>
  <si>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</si>
  <si>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</si>
  <si>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</si>
  <si>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</si>
  <si>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</si>
  <si>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</si>
  <si>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</si>
  <si>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</si>
  <si>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</si>
  <si>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</si>
  <si>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</si>
  <si>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</si>
  <si>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</si>
  <si>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</si>
  <si>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</si>
  <si>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</si>
  <si>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</si>
  <si>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</si>
  <si>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</si>
  <si>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</si>
  <si>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</si>
  <si>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</si>
  <si>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</si>
  <si>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</si>
  <si>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</si>
  <si>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</si>
  <si>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</si>
  <si>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</si>
  <si>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</si>
  <si>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</si>
  <si>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</si>
  <si>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</si>
  <si>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</si>
  <si>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</si>
  <si>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</si>
  <si>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</si>
  <si>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</si>
  <si>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</si>
  <si>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</si>
  <si>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</si>
  <si>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</si>
  <si>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</si>
  <si>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</si>
  <si>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</si>
  <si>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</si>
  <si>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</si>
  <si>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</si>
  <si>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</si>
  <si>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</si>
  <si>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</si>
  <si>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</si>
  <si>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</si>
  <si>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</si>
  <si>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</si>
  <si>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</si>
  <si>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</si>
  <si>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</si>
  <si>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</si>
  <si>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</si>
  <si>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</si>
  <si>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</si>
  <si>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</si>
  <si>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</si>
  <si>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</si>
  <si>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</si>
  <si>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</si>
  <si>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</si>
  <si>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</si>
  <si>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</si>
  <si>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</si>
  <si>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</si>
  <si>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</si>
  <si>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</si>
  <si>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</si>
  <si>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</si>
  <si>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</si>
  <si>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</si>
  <si>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</si>
  <si>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</si>
  <si>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</si>
  <si>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</si>
  <si>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</si>
  <si>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</si>
  <si>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</si>
  <si>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</si>
  <si>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</si>
  <si>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</si>
  <si>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</si>
  <si>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</si>
  <si>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</si>
  <si>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</si>
  <si>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</si>
  <si>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</si>
  <si>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</si>
  <si>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</si>
  <si>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</si>
  <si>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</si>
  <si>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</si>
  <si>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</si>
  <si>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</si>
  <si>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</si>
  <si>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</si>
  <si>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</si>
  <si>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</si>
  <si>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</si>
  <si>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</si>
  <si>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</si>
  <si>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</si>
  <si>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</si>
  <si>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</si>
  <si>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</si>
  <si>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</si>
  <si>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</si>
  <si>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</si>
  <si>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</si>
  <si>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</si>
  <si>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</si>
  <si>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</si>
  <si>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</si>
  <si>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</si>
  <si>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</si>
  <si>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</si>
  <si>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</si>
  <si>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</si>
  <si>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</si>
  <si>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</si>
  <si>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</si>
  <si>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</si>
  <si>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</si>
  <si>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</si>
  <si>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</si>
  <si>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</si>
  <si>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</si>
  <si>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</si>
  <si>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</si>
  <si>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</si>
  <si>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</si>
  <si>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</si>
  <si>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</si>
  <si>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</si>
  <si>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</si>
  <si>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</si>
  <si>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</si>
  <si>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</si>
  <si>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</si>
  <si>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</si>
  <si>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</si>
  <si>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</si>
  <si>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</si>
  <si>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</si>
  <si>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</si>
  <si>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</si>
  <si>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</si>
  <si>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</si>
  <si>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</si>
  <si>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</si>
  <si>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</si>
  <si>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</si>
  <si>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</si>
  <si>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</si>
  <si>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</si>
  <si>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</si>
  <si>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</si>
  <si>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</si>
  <si>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</si>
  <si>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</si>
  <si>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</si>
  <si>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</si>
  <si>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</si>
  <si>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</si>
  <si>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</si>
  <si>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</si>
  <si>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</si>
  <si>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</si>
  <si>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</si>
  <si>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</si>
  <si>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</si>
  <si>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</si>
  <si>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</si>
  <si>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</si>
  <si>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</si>
  <si>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</si>
  <si>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</si>
  <si>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</si>
  <si>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</si>
  <si>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</si>
  <si>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</si>
  <si>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</si>
  <si>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</si>
  <si>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</si>
  <si>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</si>
  <si>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</si>
  <si>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</si>
  <si>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</si>
  <si>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</si>
  <si>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</si>
  <si>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</si>
  <si>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</si>
  <si>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</si>
  <si>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</si>
  <si>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</si>
  <si>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</si>
  <si>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</si>
  <si>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</si>
  <si>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</si>
  <si>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</si>
  <si>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</si>
  <si>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</si>
  <si>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</si>
  <si>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</si>
  <si>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</si>
  <si>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</si>
  <si>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</si>
  <si>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</si>
  <si>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</si>
  <si>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</si>
  <si>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</si>
  <si>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</si>
  <si>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</si>
  <si>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</si>
  <si>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</si>
  <si>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</si>
  <si>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</si>
  <si>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</si>
  <si>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</si>
  <si>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</si>
  <si>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</si>
  <si>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</si>
  <si>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</si>
  <si>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</si>
  <si>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</si>
  <si>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</si>
  <si>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</si>
  <si>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</si>
  <si>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</si>
  <si>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</si>
  <si>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</si>
  <si>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</si>
  <si>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</si>
  <si>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</si>
  <si>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</si>
  <si>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</si>
  <si>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</si>
  <si>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</si>
  <si>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</si>
  <si>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</si>
  <si>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</si>
  <si>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</si>
  <si>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</si>
  <si>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</si>
  <si>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</si>
  <si>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</si>
  <si>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</si>
  <si>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</si>
  <si>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</si>
  <si>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</si>
  <si>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</si>
  <si>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</si>
  <si>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</si>
  <si>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</si>
  <si>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</si>
  <si>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</si>
  <si>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</si>
  <si>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</si>
  <si>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</si>
  <si>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</si>
  <si>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</si>
  <si>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</si>
  <si>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</si>
  <si>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</si>
  <si>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</si>
  <si>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</si>
  <si>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</si>
  <si>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</si>
  <si>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</si>
  <si>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</si>
  <si>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</si>
  <si>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</si>
  <si>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</si>
  <si>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</si>
  <si>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</si>
  <si>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</si>
  <si>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</si>
  <si>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</si>
  <si>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</si>
  <si>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</si>
  <si>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</si>
  <si>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</si>
  <si>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</si>
  <si>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</si>
  <si>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</si>
  <si>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</si>
  <si>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</si>
  <si>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</si>
  <si>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</si>
  <si>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</si>
  <si>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</si>
  <si>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</si>
  <si>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</si>
  <si>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</si>
  <si>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</si>
  <si>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</si>
  <si>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</si>
  <si>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</si>
  <si>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</si>
  <si>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</si>
  <si>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</si>
  <si>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</si>
  <si>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</si>
  <si>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</si>
  <si>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</si>
  <si>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</si>
  <si>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</si>
  <si>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</si>
  <si>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</si>
  <si>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</si>
  <si>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</si>
  <si>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</si>
  <si>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</si>
  <si>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</si>
  <si>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</si>
  <si>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</si>
  <si>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</si>
  <si>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</si>
  <si>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</si>
  <si>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</si>
  <si>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</si>
  <si>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</si>
  <si>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</si>
  <si>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</si>
  <si>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</si>
  <si>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</si>
  <si>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</si>
  <si>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</si>
  <si>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</si>
  <si>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</si>
  <si>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</si>
  <si>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</si>
  <si>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</si>
  <si>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</si>
  <si>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</si>
  <si>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</si>
  <si>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</si>
  <si>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</si>
  <si>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</si>
  <si>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</si>
  <si>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</si>
  <si>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</si>
  <si>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</si>
  <si>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</si>
  <si>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</si>
  <si>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</si>
  <si>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</si>
  <si>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</si>
  <si>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</si>
  <si>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</si>
  <si>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</si>
  <si>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</si>
  <si>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</si>
  <si>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</si>
  <si>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</si>
  <si>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</si>
  <si>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</si>
  <si>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</si>
  <si>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</si>
  <si>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</si>
  <si>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</si>
  <si>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</si>
  <si>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</si>
  <si>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</si>
  <si>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</si>
  <si>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</si>
  <si>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</si>
  <si>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</si>
  <si>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</si>
  <si>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</si>
  <si>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</si>
  <si>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</si>
  <si>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</si>
  <si>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</si>
  <si>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</si>
  <si>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</si>
  <si>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</si>
  <si>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</si>
  <si>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</si>
  <si>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</si>
  <si>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</si>
  <si>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</si>
  <si>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</si>
  <si>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</si>
  <si>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</si>
  <si>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</si>
  <si>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</si>
  <si>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</si>
  <si>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</si>
  <si>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</si>
  <si>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</si>
  <si>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</si>
  <si>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</si>
  <si>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</si>
  <si>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</si>
  <si>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</si>
  <si>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</si>
  <si>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</si>
  <si>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</si>
  <si>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</si>
  <si>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</si>
  <si>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</si>
  <si>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</si>
  <si>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</si>
  <si>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</si>
  <si>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</si>
  <si>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</si>
  <si>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</si>
  <si>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</si>
  <si>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</si>
  <si>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</si>
  <si>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</si>
  <si>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</si>
  <si>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</si>
  <si>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</si>
  <si>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</si>
  <si>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</si>
  <si>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</si>
  <si>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</si>
  <si>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</si>
  <si>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</si>
  <si>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</si>
  <si>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</si>
  <si>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</si>
  <si>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</si>
  <si>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</si>
  <si>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</si>
  <si>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</si>
  <si>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</si>
  <si>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</si>
  <si>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</si>
  <si>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</si>
  <si>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</si>
  <si>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</si>
  <si>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</si>
  <si>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</si>
  <si>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</si>
  <si>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</si>
  <si>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</si>
  <si>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</si>
  <si>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</si>
  <si>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</si>
  <si>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</si>
  <si>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</si>
  <si>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</si>
  <si>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</si>
  <si>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</si>
  <si>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</si>
  <si>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</si>
  <si>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</si>
  <si>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</si>
  <si>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</si>
  <si>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</si>
  <si>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</si>
  <si>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</si>
  <si>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</si>
  <si>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</si>
  <si>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</si>
  <si>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</si>
  <si>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</si>
  <si>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</si>
  <si>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</si>
  <si>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</si>
  <si>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</si>
  <si>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</si>
  <si>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</si>
  <si>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</si>
  <si>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</si>
  <si>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</si>
  <si>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</si>
  <si>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</si>
  <si>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</si>
  <si>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</si>
  <si>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</si>
  <si>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</si>
  <si>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</si>
  <si>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</si>
  <si>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</si>
  <si>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</si>
  <si>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</si>
  <si>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</si>
  <si>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</si>
  <si>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</si>
  <si>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</si>
  <si>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</si>
  <si>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</si>
  <si>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</si>
  <si>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</si>
  <si>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</si>
  <si>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</si>
  <si>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</si>
  <si>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</si>
  <si>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</si>
  <si>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</si>
  <si>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</si>
  <si>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</si>
  <si>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</si>
  <si>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</si>
  <si>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</si>
  <si>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</si>
  <si>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</si>
  <si>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</si>
  <si>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</si>
  <si>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</si>
  <si>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</si>
  <si>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</si>
  <si>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</si>
  <si>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</si>
  <si>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</si>
  <si>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</si>
  <si>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</si>
  <si>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</si>
  <si>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</si>
  <si>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</si>
  <si>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</si>
  <si>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</si>
  <si>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</si>
  <si>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</si>
  <si>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</si>
  <si>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</si>
  <si>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</si>
  <si>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</si>
  <si>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</si>
  <si>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</si>
  <si>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</si>
  <si>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</si>
  <si>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</si>
  <si>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</si>
  <si>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</si>
  <si>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</si>
  <si>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</si>
  <si>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</si>
  <si>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</si>
  <si>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</si>
  <si>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</si>
  <si>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</si>
  <si>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</si>
  <si>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</si>
  <si>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</si>
  <si>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</si>
  <si>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</si>
  <si>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</si>
  <si>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</si>
  <si>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</si>
  <si>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</si>
  <si>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</si>
  <si>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</si>
  <si>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</si>
  <si>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</si>
  <si>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</si>
  <si>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</si>
  <si>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</si>
  <si>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</si>
  <si>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</si>
  <si>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</si>
  <si>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</si>
  <si>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</si>
  <si>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</si>
  <si>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</si>
  <si>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</si>
  <si>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</si>
  <si>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</si>
  <si>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</si>
  <si>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</si>
  <si>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</si>
  <si>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</si>
  <si>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</si>
  <si>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</si>
  <si>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</si>
  <si>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</si>
  <si>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12030</t>
  </si>
  <si>
    <t>PUURS</t>
  </si>
  <si>
    <t>Paarden&amp;pony's 200 - 600 kg</t>
  </si>
  <si>
    <t>Paarden&amp;pony's &lt; 200 kg</t>
  </si>
  <si>
    <t>referentietaak LNE (2017); Jaarverslag De Lijn (2014)</t>
  </si>
  <si>
    <t>op basis van VEA (maart 2018) en Inventaris Hernieuwbare Energiebronnen (juni 2018)</t>
  </si>
  <si>
    <t>VEA (maart 2016)</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</si>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</sst>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121311.74819018932</c:v>
                </c:pt>
                <c:pt idx="1">
                  <c:v>60507.831370400745</c:v>
                </c:pt>
                <c:pt idx="2">
                  <c:v>1527.9680000000001</c:v>
                </c:pt>
                <c:pt idx="3">
                  <c:v>5626.4119903999635</c:v>
                </c:pt>
                <c:pt idx="4">
                  <c:v>338327.09169255372</c:v>
                </c:pt>
                <c:pt idx="5">
                  <c:v>404242.00825060409</c:v>
                </c:pt>
                <c:pt idx="6">
                  <c:v>1685.6757822150416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26848"/>
        <c:axId val="184128640"/>
      </c:barChart>
      <c:catAx>
        <c:axId val="184126848"/>
        <c:scaling>
          <c:orientation val="minMax"/>
        </c:scaling>
        <c:axPos val="b"/>
        <c:numFmt formatCode="General" sourceLinked="0"/>
        <c:tickLblPos val="nextTo"/>
        <c:crossAx val="184128640"/>
        <c:crosses val="autoZero"/>
        <c:auto val="1"/>
        <c:lblAlgn val="ctr"/>
        <c:lblOffset val="100"/>
      </c:catAx>
      <c:valAx>
        <c:axId val="184128640"/>
        <c:scaling>
          <c:orientation val="minMax"/>
        </c:scaling>
        <c:axPos val="l"/>
        <c:majorGridlines/>
        <c:numFmt formatCode="#,##0" sourceLinked="1"/>
        <c:tickLblPos val="nextTo"/>
        <c:crossAx val="184126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121311.74819018932</c:v>
                </c:pt>
                <c:pt idx="1">
                  <c:v>60507.831370400745</c:v>
                </c:pt>
                <c:pt idx="2">
                  <c:v>1527.9680000000001</c:v>
                </c:pt>
                <c:pt idx="3">
                  <c:v>5626.4119903999635</c:v>
                </c:pt>
                <c:pt idx="4">
                  <c:v>338327.09169255372</c:v>
                </c:pt>
                <c:pt idx="5">
                  <c:v>404242.00825060409</c:v>
                </c:pt>
                <c:pt idx="6">
                  <c:v>1685.6757822150416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23118.796269620154</c:v>
                </c:pt>
                <c:pt idx="1">
                  <c:v>11790.663777973505</c:v>
                </c:pt>
                <c:pt idx="2">
                  <c:v>301.67200996411174</c:v>
                </c:pt>
                <c:pt idx="3">
                  <c:v>1306.3476896406844</c:v>
                </c:pt>
                <c:pt idx="4">
                  <c:v>67682.945192952742</c:v>
                </c:pt>
                <c:pt idx="5">
                  <c:v>101416.2880847545</c:v>
                </c:pt>
                <c:pt idx="6">
                  <c:v>425.79366253275191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23008"/>
        <c:axId val="184573952"/>
      </c:barChart>
      <c:catAx>
        <c:axId val="184523008"/>
        <c:scaling>
          <c:orientation val="minMax"/>
        </c:scaling>
        <c:axPos val="b"/>
        <c:numFmt formatCode="General" sourceLinked="0"/>
        <c:tickLblPos val="nextTo"/>
        <c:crossAx val="184573952"/>
        <c:crosses val="autoZero"/>
        <c:auto val="1"/>
        <c:lblAlgn val="ctr"/>
        <c:lblOffset val="100"/>
      </c:catAx>
      <c:valAx>
        <c:axId val="184573952"/>
        <c:scaling>
          <c:orientation val="minMax"/>
        </c:scaling>
        <c:axPos val="l"/>
        <c:majorGridlines/>
        <c:numFmt formatCode="#,##0" sourceLinked="1"/>
        <c:tickLblPos val="nextTo"/>
        <c:crossAx val="184523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23118.796269620154</c:v>
                </c:pt>
                <c:pt idx="1">
                  <c:v>11790.663777973505</c:v>
                </c:pt>
                <c:pt idx="2">
                  <c:v>301.67200996411174</c:v>
                </c:pt>
                <c:pt idx="3">
                  <c:v>1306.3476896406844</c:v>
                </c:pt>
                <c:pt idx="4">
                  <c:v>67682.945192952742</c:v>
                </c:pt>
                <c:pt idx="5">
                  <c:v>101416.2880847545</c:v>
                </c:pt>
                <c:pt idx="6">
                  <c:v>425.79366253275191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12030</v>
      </c>
      <c r="B6" s="416"/>
      <c r="C6" s="417"/>
    </row>
    <row r="7" spans="1:7" s="414" customFormat="1" ht="15.75" customHeight="1">
      <c r="A7" s="418" t="str">
        <f>txtMunicipality</f>
        <v>PUURS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29186.493600000002</v>
      </c>
      <c r="D10" s="719">
        <f ca="1">tertiair!C16</f>
        <v>72.321428571428569</v>
      </c>
      <c r="E10" s="719">
        <f ca="1">tertiair!D16</f>
        <v>25486.126963027706</v>
      </c>
      <c r="F10" s="719">
        <f>tertiair!E16</f>
        <v>267.78439216575975</v>
      </c>
      <c r="G10" s="719">
        <f ca="1">tertiair!F16</f>
        <v>4133.9838001494127</v>
      </c>
      <c r="H10" s="719">
        <f>tertiair!G16</f>
        <v>0</v>
      </c>
      <c r="I10" s="719">
        <f>tertiair!H16</f>
        <v>0</v>
      </c>
      <c r="J10" s="719">
        <f>tertiair!I16</f>
        <v>0</v>
      </c>
      <c r="K10" s="719">
        <f>tertiair!J16</f>
        <v>0</v>
      </c>
      <c r="L10" s="719">
        <f>tertiair!K16</f>
        <v>0</v>
      </c>
      <c r="M10" s="719">
        <f ca="1">tertiair!L16</f>
        <v>0</v>
      </c>
      <c r="N10" s="719">
        <f>tertiair!M16</f>
        <v>0</v>
      </c>
      <c r="O10" s="719">
        <f ca="1">tertiair!N16</f>
        <v>2830.3258531531037</v>
      </c>
      <c r="P10" s="719">
        <f>tertiair!O16</f>
        <v>1.5633333333333335</v>
      </c>
      <c r="Q10" s="720">
        <f>tertiair!P16</f>
        <v>57.2</v>
      </c>
      <c r="R10" s="722">
        <f ca="1">SUM(C10:Q10)</f>
        <v>62035.799370400739</v>
      </c>
      <c r="S10" s="67"/>
    </row>
    <row r="11" spans="1:19" s="475" customFormat="1">
      <c r="A11" s="871" t="s">
        <v>225</v>
      </c>
      <c r="B11" s="876"/>
      <c r="C11" s="719">
        <f>huishoudens!B8</f>
        <v>29258.109669197809</v>
      </c>
      <c r="D11" s="719">
        <f>huishoudens!C8</f>
        <v>0</v>
      </c>
      <c r="E11" s="719">
        <f>huishoudens!D8</f>
        <v>71099.919125196771</v>
      </c>
      <c r="F11" s="719">
        <f>huishoudens!E8</f>
        <v>2111.047566588979</v>
      </c>
      <c r="G11" s="719">
        <f>huishoudens!F8</f>
        <v>9366.572904052613</v>
      </c>
      <c r="H11" s="719">
        <f>huishoudens!G8</f>
        <v>0</v>
      </c>
      <c r="I11" s="719">
        <f>huishoudens!H8</f>
        <v>0</v>
      </c>
      <c r="J11" s="719">
        <f>huishoudens!I8</f>
        <v>0</v>
      </c>
      <c r="K11" s="719">
        <f>huishoudens!J8</f>
        <v>0</v>
      </c>
      <c r="L11" s="719">
        <f>huishoudens!K8</f>
        <v>0</v>
      </c>
      <c r="M11" s="719">
        <f>huishoudens!L8</f>
        <v>0</v>
      </c>
      <c r="N11" s="719">
        <f>huishoudens!M8</f>
        <v>0</v>
      </c>
      <c r="O11" s="719">
        <f>huishoudens!N8</f>
        <v>8701.7855918198256</v>
      </c>
      <c r="P11" s="719">
        <f>huishoudens!O8</f>
        <v>259.51333333333338</v>
      </c>
      <c r="Q11" s="720">
        <f>huishoudens!P8</f>
        <v>514.79999999999995</v>
      </c>
      <c r="R11" s="722">
        <f>SUM(C11:Q11)</f>
        <v>121311.74819018932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136482.03599999999</v>
      </c>
      <c r="D13" s="719">
        <f>industrie!C18</f>
        <v>20944.28571428571</v>
      </c>
      <c r="E13" s="719">
        <f>industrie!D18</f>
        <v>108933.11148423649</v>
      </c>
      <c r="F13" s="719">
        <f>industrie!E18</f>
        <v>5195.641412824797</v>
      </c>
      <c r="G13" s="719">
        <f>industrie!F18</f>
        <v>46393.335011614261</v>
      </c>
      <c r="H13" s="719">
        <f>industrie!G18</f>
        <v>0</v>
      </c>
      <c r="I13" s="719">
        <f>industrie!H18</f>
        <v>0</v>
      </c>
      <c r="J13" s="719">
        <f>industrie!I18</f>
        <v>0</v>
      </c>
      <c r="K13" s="719">
        <f>industrie!J18</f>
        <v>532.64701850983602</v>
      </c>
      <c r="L13" s="719">
        <f>industrie!K18</f>
        <v>0</v>
      </c>
      <c r="M13" s="719">
        <f>industrie!L18</f>
        <v>0</v>
      </c>
      <c r="N13" s="719">
        <f>industrie!M18</f>
        <v>0</v>
      </c>
      <c r="O13" s="719">
        <f>industrie!N18</f>
        <v>19846.035051082596</v>
      </c>
      <c r="P13" s="719">
        <f>industrie!O18</f>
        <v>0</v>
      </c>
      <c r="Q13" s="720">
        <f>industrie!P18</f>
        <v>0</v>
      </c>
      <c r="R13" s="722">
        <f>SUM(C13:Q13)</f>
        <v>338327.09169255372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194926.6392691978</v>
      </c>
      <c r="D15" s="724">
        <f t="shared" ref="D15:Q15" ca="1" si="0">SUM(D9:D14)</f>
        <v>21016.607142857138</v>
      </c>
      <c r="E15" s="724">
        <f t="shared" ca="1" si="0"/>
        <v>205519.15757246097</v>
      </c>
      <c r="F15" s="724">
        <f t="shared" si="0"/>
        <v>7574.4733715795355</v>
      </c>
      <c r="G15" s="724">
        <f t="shared" ca="1" si="0"/>
        <v>59893.891715816288</v>
      </c>
      <c r="H15" s="724">
        <f t="shared" si="0"/>
        <v>0</v>
      </c>
      <c r="I15" s="724">
        <f t="shared" si="0"/>
        <v>0</v>
      </c>
      <c r="J15" s="724">
        <f t="shared" si="0"/>
        <v>0</v>
      </c>
      <c r="K15" s="724">
        <f t="shared" si="0"/>
        <v>532.64701850983602</v>
      </c>
      <c r="L15" s="724">
        <f t="shared" si="0"/>
        <v>0</v>
      </c>
      <c r="M15" s="724">
        <f t="shared" ca="1" si="0"/>
        <v>0</v>
      </c>
      <c r="N15" s="724">
        <f t="shared" si="0"/>
        <v>0</v>
      </c>
      <c r="O15" s="724">
        <f t="shared" ca="1" si="0"/>
        <v>31378.146496055524</v>
      </c>
      <c r="P15" s="724">
        <f t="shared" si="0"/>
        <v>261.07666666666671</v>
      </c>
      <c r="Q15" s="725">
        <f t="shared" si="0"/>
        <v>572</v>
      </c>
      <c r="R15" s="726">
        <f ca="1">SUM(R9:R14)</f>
        <v>521674.6392531438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1594.7328184747262</v>
      </c>
      <c r="I18" s="719">
        <f>transport!H54</f>
        <v>0</v>
      </c>
      <c r="J18" s="719">
        <f>transport!I54</f>
        <v>0</v>
      </c>
      <c r="K18" s="719">
        <f>transport!J54</f>
        <v>0</v>
      </c>
      <c r="L18" s="719">
        <f>transport!K54</f>
        <v>0</v>
      </c>
      <c r="M18" s="719">
        <f>transport!L54</f>
        <v>0</v>
      </c>
      <c r="N18" s="719">
        <f>transport!M54</f>
        <v>90.942963740315506</v>
      </c>
      <c r="O18" s="719">
        <f>transport!N54</f>
        <v>0</v>
      </c>
      <c r="P18" s="719">
        <f>transport!O54</f>
        <v>0</v>
      </c>
      <c r="Q18" s="720">
        <f>transport!P54</f>
        <v>0</v>
      </c>
      <c r="R18" s="722">
        <f>SUM(C18:Q18)</f>
        <v>1685.6757822150416</v>
      </c>
      <c r="S18" s="67"/>
    </row>
    <row r="19" spans="1:19" s="475" customFormat="1" ht="15" thickBot="1">
      <c r="A19" s="871" t="s">
        <v>307</v>
      </c>
      <c r="B19" s="876"/>
      <c r="C19" s="728">
        <f>transport!B14</f>
        <v>51.939153976136978</v>
      </c>
      <c r="D19" s="728">
        <f>transport!C14</f>
        <v>0</v>
      </c>
      <c r="E19" s="728">
        <f>transport!D14</f>
        <v>136.60220087361597</v>
      </c>
      <c r="F19" s="728">
        <f>transport!E14</f>
        <v>908.96578597198504</v>
      </c>
      <c r="G19" s="728">
        <f>transport!F14</f>
        <v>0</v>
      </c>
      <c r="H19" s="728">
        <f>transport!G14</f>
        <v>330370.71430033032</v>
      </c>
      <c r="I19" s="728">
        <f>transport!H14</f>
        <v>52060.738801858402</v>
      </c>
      <c r="J19" s="728">
        <f>transport!I14</f>
        <v>0</v>
      </c>
      <c r="K19" s="728">
        <f>transport!J14</f>
        <v>0</v>
      </c>
      <c r="L19" s="728">
        <f>transport!K14</f>
        <v>0</v>
      </c>
      <c r="M19" s="728">
        <f>transport!L14</f>
        <v>0</v>
      </c>
      <c r="N19" s="728">
        <f>transport!M14</f>
        <v>20713.048007593643</v>
      </c>
      <c r="O19" s="728">
        <f>transport!N14</f>
        <v>0</v>
      </c>
      <c r="P19" s="728">
        <f>transport!O14</f>
        <v>0</v>
      </c>
      <c r="Q19" s="729">
        <f>transport!P14</f>
        <v>0</v>
      </c>
      <c r="R19" s="730">
        <f>SUM(C19:Q19)</f>
        <v>404242.00825060409</v>
      </c>
      <c r="S19" s="67"/>
    </row>
    <row r="20" spans="1:19" s="475" customFormat="1" ht="15.75" thickBot="1">
      <c r="A20" s="731" t="s">
        <v>230</v>
      </c>
      <c r="B20" s="879"/>
      <c r="C20" s="874">
        <f>SUM(C17:C19)</f>
        <v>51.939153976136978</v>
      </c>
      <c r="D20" s="732">
        <f t="shared" ref="D20:R20" si="1">SUM(D17:D19)</f>
        <v>0</v>
      </c>
      <c r="E20" s="732">
        <f t="shared" si="1"/>
        <v>136.60220087361597</v>
      </c>
      <c r="F20" s="732">
        <f t="shared" si="1"/>
        <v>908.96578597198504</v>
      </c>
      <c r="G20" s="732">
        <f t="shared" si="1"/>
        <v>0</v>
      </c>
      <c r="H20" s="732">
        <f t="shared" si="1"/>
        <v>331965.44711880502</v>
      </c>
      <c r="I20" s="732">
        <f t="shared" si="1"/>
        <v>52060.738801858402</v>
      </c>
      <c r="J20" s="732">
        <f t="shared" si="1"/>
        <v>0</v>
      </c>
      <c r="K20" s="732">
        <f t="shared" si="1"/>
        <v>0</v>
      </c>
      <c r="L20" s="732">
        <f t="shared" si="1"/>
        <v>0</v>
      </c>
      <c r="M20" s="732">
        <f t="shared" si="1"/>
        <v>0</v>
      </c>
      <c r="N20" s="732">
        <f t="shared" si="1"/>
        <v>20803.990971333958</v>
      </c>
      <c r="O20" s="732">
        <f t="shared" si="1"/>
        <v>0</v>
      </c>
      <c r="P20" s="732">
        <f t="shared" si="1"/>
        <v>0</v>
      </c>
      <c r="Q20" s="733">
        <f t="shared" si="1"/>
        <v>0</v>
      </c>
      <c r="R20" s="734">
        <f t="shared" si="1"/>
        <v>405927.68403281912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923.46749999999997</v>
      </c>
      <c r="D22" s="728">
        <f>+landbouw!C8</f>
        <v>0</v>
      </c>
      <c r="E22" s="728">
        <f>+landbouw!D8</f>
        <v>2209.8001060756246</v>
      </c>
      <c r="F22" s="728">
        <f>+landbouw!E8</f>
        <v>8.553542768742906</v>
      </c>
      <c r="G22" s="728">
        <f>+landbouw!F8</f>
        <v>2343.0129678782168</v>
      </c>
      <c r="H22" s="728">
        <f>+landbouw!G8</f>
        <v>0</v>
      </c>
      <c r="I22" s="728">
        <f>+landbouw!H8</f>
        <v>0</v>
      </c>
      <c r="J22" s="728">
        <f>+landbouw!I8</f>
        <v>0</v>
      </c>
      <c r="K22" s="728">
        <f>+landbouw!J8</f>
        <v>141.57787367737882</v>
      </c>
      <c r="L22" s="728">
        <f>+landbouw!K8</f>
        <v>0</v>
      </c>
      <c r="M22" s="728">
        <f>+landbouw!L8</f>
        <v>0</v>
      </c>
      <c r="N22" s="728">
        <f>+landbouw!M8</f>
        <v>0</v>
      </c>
      <c r="O22" s="728">
        <f>+landbouw!N8</f>
        <v>0</v>
      </c>
      <c r="P22" s="728">
        <f>+landbouw!O8</f>
        <v>0</v>
      </c>
      <c r="Q22" s="729">
        <f>+landbouw!P8</f>
        <v>0</v>
      </c>
      <c r="R22" s="730">
        <f>SUM(C22:Q22)</f>
        <v>5626.4119903999635</v>
      </c>
      <c r="S22" s="67"/>
    </row>
    <row r="23" spans="1:19" s="475" customFormat="1" ht="17.25" thickTop="1" thickBot="1">
      <c r="A23" s="735" t="s">
        <v>116</v>
      </c>
      <c r="B23" s="865"/>
      <c r="C23" s="736">
        <f ca="1">C20+C15+C22</f>
        <v>195902.04592317392</v>
      </c>
      <c r="D23" s="736">
        <f t="shared" ref="D23:Q23" ca="1" si="2">D20+D15+D22</f>
        <v>21016.607142857138</v>
      </c>
      <c r="E23" s="736">
        <f t="shared" ca="1" si="2"/>
        <v>207865.5598794102</v>
      </c>
      <c r="F23" s="736">
        <f t="shared" si="2"/>
        <v>8491.9927003202629</v>
      </c>
      <c r="G23" s="736">
        <f t="shared" ca="1" si="2"/>
        <v>62236.904683694505</v>
      </c>
      <c r="H23" s="736">
        <f t="shared" si="2"/>
        <v>331965.44711880502</v>
      </c>
      <c r="I23" s="736">
        <f t="shared" si="2"/>
        <v>52060.738801858402</v>
      </c>
      <c r="J23" s="736">
        <f t="shared" si="2"/>
        <v>0</v>
      </c>
      <c r="K23" s="736">
        <f t="shared" si="2"/>
        <v>674.22489218721489</v>
      </c>
      <c r="L23" s="736">
        <f t="shared" si="2"/>
        <v>0</v>
      </c>
      <c r="M23" s="736">
        <f t="shared" ca="1" si="2"/>
        <v>0</v>
      </c>
      <c r="N23" s="736">
        <f t="shared" si="2"/>
        <v>20803.990971333958</v>
      </c>
      <c r="O23" s="736">
        <f t="shared" ca="1" si="2"/>
        <v>31378.146496055524</v>
      </c>
      <c r="P23" s="736">
        <f t="shared" si="2"/>
        <v>261.07666666666671</v>
      </c>
      <c r="Q23" s="737">
        <f t="shared" si="2"/>
        <v>572</v>
      </c>
      <c r="R23" s="738">
        <f ca="1">R20+R15+R22</f>
        <v>933228.73527636286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5762.3904349545828</v>
      </c>
      <c r="D36" s="719">
        <f ca="1">tertiair!C20</f>
        <v>17.186974789915961</v>
      </c>
      <c r="E36" s="719">
        <f ca="1">tertiair!D20</f>
        <v>5148.1976465315965</v>
      </c>
      <c r="F36" s="719">
        <f>tertiair!E20</f>
        <v>60.787057021627469</v>
      </c>
      <c r="G36" s="719">
        <f ca="1">tertiair!F20</f>
        <v>1103.7736746398932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12092.335787937616</v>
      </c>
    </row>
    <row r="37" spans="1:18">
      <c r="A37" s="886" t="s">
        <v>225</v>
      </c>
      <c r="B37" s="893"/>
      <c r="C37" s="719">
        <f ca="1">huishoudens!B12</f>
        <v>5776.5298433326589</v>
      </c>
      <c r="D37" s="719">
        <f ca="1">huishoudens!C12</f>
        <v>0</v>
      </c>
      <c r="E37" s="719">
        <f>huishoudens!D12</f>
        <v>14362.183663289748</v>
      </c>
      <c r="F37" s="719">
        <f>huishoudens!E12</f>
        <v>479.20779761569821</v>
      </c>
      <c r="G37" s="719">
        <f>huishoudens!F12</f>
        <v>2500.8749653820478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23118.796269620154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26946.120680612588</v>
      </c>
      <c r="D39" s="719">
        <f ca="1">industrie!C22</f>
        <v>4977.3478991596612</v>
      </c>
      <c r="E39" s="719">
        <f>industrie!D22</f>
        <v>22004.488519815772</v>
      </c>
      <c r="F39" s="719">
        <f>industrie!E22</f>
        <v>1179.4106007112289</v>
      </c>
      <c r="G39" s="719">
        <f>industrie!F22</f>
        <v>12387.020448101008</v>
      </c>
      <c r="H39" s="719">
        <f>industrie!G22</f>
        <v>0</v>
      </c>
      <c r="I39" s="719">
        <f>industrie!H22</f>
        <v>0</v>
      </c>
      <c r="J39" s="719">
        <f>industrie!I22</f>
        <v>0</v>
      </c>
      <c r="K39" s="719">
        <f>industrie!J22</f>
        <v>188.55704455248193</v>
      </c>
      <c r="L39" s="719">
        <f>industrie!K22</f>
        <v>0</v>
      </c>
      <c r="M39" s="719">
        <f>industrie!L22</f>
        <v>0</v>
      </c>
      <c r="N39" s="719">
        <f>industrie!M22</f>
        <v>0</v>
      </c>
      <c r="O39" s="719">
        <f>industrie!N22</f>
        <v>0</v>
      </c>
      <c r="P39" s="719">
        <f>industrie!O22</f>
        <v>0</v>
      </c>
      <c r="Q39" s="829">
        <f>industrie!P22</f>
        <v>0</v>
      </c>
      <c r="R39" s="919">
        <f ca="1">SUM(C39:Q39)</f>
        <v>67682.945192952742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38485.04095889983</v>
      </c>
      <c r="D41" s="764">
        <f t="shared" ref="D41:R41" ca="1" si="4">SUM(D35:D40)</f>
        <v>4994.5348739495776</v>
      </c>
      <c r="E41" s="764">
        <f t="shared" ca="1" si="4"/>
        <v>41514.869829637115</v>
      </c>
      <c r="F41" s="764">
        <f t="shared" si="4"/>
        <v>1719.4054553485546</v>
      </c>
      <c r="G41" s="764">
        <f t="shared" ca="1" si="4"/>
        <v>15991.669088122948</v>
      </c>
      <c r="H41" s="764">
        <f t="shared" si="4"/>
        <v>0</v>
      </c>
      <c r="I41" s="764">
        <f t="shared" si="4"/>
        <v>0</v>
      </c>
      <c r="J41" s="764">
        <f t="shared" si="4"/>
        <v>0</v>
      </c>
      <c r="K41" s="764">
        <f t="shared" si="4"/>
        <v>188.55704455248193</v>
      </c>
      <c r="L41" s="764">
        <f t="shared" si="4"/>
        <v>0</v>
      </c>
      <c r="M41" s="764">
        <f t="shared" ca="1" si="4"/>
        <v>0</v>
      </c>
      <c r="N41" s="764">
        <f t="shared" si="4"/>
        <v>0</v>
      </c>
      <c r="O41" s="764">
        <f t="shared" ca="1" si="4"/>
        <v>0</v>
      </c>
      <c r="P41" s="764">
        <f t="shared" si="4"/>
        <v>0</v>
      </c>
      <c r="Q41" s="765">
        <f t="shared" si="4"/>
        <v>0</v>
      </c>
      <c r="R41" s="766">
        <f t="shared" ca="1" si="4"/>
        <v>102894.07725051051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425.79366253275191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425.79366253275191</v>
      </c>
    </row>
    <row r="45" spans="1:18" ht="15" thickBot="1">
      <c r="A45" s="889" t="s">
        <v>307</v>
      </c>
      <c r="B45" s="899"/>
      <c r="C45" s="728">
        <f ca="1">transport!B18</f>
        <v>10.254526911438413</v>
      </c>
      <c r="D45" s="728">
        <f>transport!C18</f>
        <v>0</v>
      </c>
      <c r="E45" s="728">
        <f>transport!D18</f>
        <v>27.593644576470428</v>
      </c>
      <c r="F45" s="728">
        <f>transport!E18</f>
        <v>206.3352334156406</v>
      </c>
      <c r="G45" s="728">
        <f>transport!F18</f>
        <v>0</v>
      </c>
      <c r="H45" s="728">
        <f>transport!G18</f>
        <v>88208.980718188206</v>
      </c>
      <c r="I45" s="728">
        <f>transport!H18</f>
        <v>12963.123961662743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101416.2880847545</v>
      </c>
    </row>
    <row r="46" spans="1:18" ht="15.75" thickBot="1">
      <c r="A46" s="887" t="s">
        <v>230</v>
      </c>
      <c r="B46" s="900"/>
      <c r="C46" s="764">
        <f t="shared" ref="C46:R46" ca="1" si="5">SUM(C43:C45)</f>
        <v>10.254526911438413</v>
      </c>
      <c r="D46" s="764">
        <f t="shared" ca="1" si="5"/>
        <v>0</v>
      </c>
      <c r="E46" s="764">
        <f t="shared" si="5"/>
        <v>27.593644576470428</v>
      </c>
      <c r="F46" s="764">
        <f t="shared" si="5"/>
        <v>206.3352334156406</v>
      </c>
      <c r="G46" s="764">
        <f t="shared" si="5"/>
        <v>0</v>
      </c>
      <c r="H46" s="764">
        <f t="shared" si="5"/>
        <v>88634.774380720963</v>
      </c>
      <c r="I46" s="764">
        <f t="shared" si="5"/>
        <v>12963.123961662743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101842.08174728726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182.32338429962758</v>
      </c>
      <c r="D48" s="719">
        <f ca="1">+landbouw!C12</f>
        <v>0</v>
      </c>
      <c r="E48" s="719">
        <f>+landbouw!D12</f>
        <v>446.37962142727622</v>
      </c>
      <c r="F48" s="719">
        <f>+landbouw!E12</f>
        <v>1.9416542085046398</v>
      </c>
      <c r="G48" s="719">
        <f>+landbouw!F12</f>
        <v>625.58446242348396</v>
      </c>
      <c r="H48" s="719">
        <f>+landbouw!G12</f>
        <v>0</v>
      </c>
      <c r="I48" s="719">
        <f>+landbouw!H12</f>
        <v>0</v>
      </c>
      <c r="J48" s="719">
        <f>+landbouw!I12</f>
        <v>0</v>
      </c>
      <c r="K48" s="719">
        <f>+landbouw!J12</f>
        <v>50.118567281792096</v>
      </c>
      <c r="L48" s="719">
        <f>+landbouw!K12</f>
        <v>0</v>
      </c>
      <c r="M48" s="719">
        <f>+landbouw!L12</f>
        <v>0</v>
      </c>
      <c r="N48" s="719">
        <f>+landbouw!M12</f>
        <v>0</v>
      </c>
      <c r="O48" s="719">
        <f>+landbouw!N12</f>
        <v>0</v>
      </c>
      <c r="P48" s="719">
        <f>+landbouw!O12</f>
        <v>0</v>
      </c>
      <c r="Q48" s="720">
        <f>+landbouw!P12</f>
        <v>0</v>
      </c>
      <c r="R48" s="762">
        <f ca="1">SUM(C48:Q48)</f>
        <v>1306.3476896406844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38677.618870110899</v>
      </c>
      <c r="D53" s="774">
        <f t="shared" ref="D53:Q53" ca="1" si="6">D41+D46+D48</f>
        <v>4994.5348739495776</v>
      </c>
      <c r="E53" s="774">
        <f t="shared" ca="1" si="6"/>
        <v>41988.843095640856</v>
      </c>
      <c r="F53" s="774">
        <f t="shared" si="6"/>
        <v>1927.6823429726999</v>
      </c>
      <c r="G53" s="774">
        <f t="shared" ca="1" si="6"/>
        <v>16617.253550546433</v>
      </c>
      <c r="H53" s="774">
        <f t="shared" si="6"/>
        <v>88634.774380720963</v>
      </c>
      <c r="I53" s="774">
        <f t="shared" si="6"/>
        <v>12963.123961662743</v>
      </c>
      <c r="J53" s="774">
        <f t="shared" si="6"/>
        <v>0</v>
      </c>
      <c r="K53" s="774">
        <f t="shared" si="6"/>
        <v>238.67561183427404</v>
      </c>
      <c r="L53" s="774">
        <f t="shared" si="6"/>
        <v>0</v>
      </c>
      <c r="M53" s="774">
        <f t="shared" ca="1" si="6"/>
        <v>0</v>
      </c>
      <c r="N53" s="774">
        <f t="shared" si="6"/>
        <v>0</v>
      </c>
      <c r="O53" s="774">
        <f t="shared" ca="1" si="6"/>
        <v>0</v>
      </c>
      <c r="P53" s="774">
        <f>P41+P46+P48</f>
        <v>0</v>
      </c>
      <c r="Q53" s="775">
        <f t="shared" si="6"/>
        <v>0</v>
      </c>
      <c r="R53" s="776">
        <f ca="1">R41+R46+R48</f>
        <v>206042.50668743844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0.197433460624903</v>
      </c>
      <c r="D55" s="837">
        <f t="shared" ca="1" si="7"/>
        <v>0.23764705882352935</v>
      </c>
      <c r="E55" s="837">
        <f t="shared" ca="1" si="7"/>
        <v>0.20199999999999999</v>
      </c>
      <c r="F55" s="837">
        <f t="shared" si="7"/>
        <v>0.22700000000000004</v>
      </c>
      <c r="G55" s="837">
        <f t="shared" ca="1" si="7"/>
        <v>0.26700000000000002</v>
      </c>
      <c r="H55" s="837">
        <f t="shared" si="7"/>
        <v>0.26700000000000007</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12088.39033298098</v>
      </c>
      <c r="C64" s="796">
        <f>'lokale energieproductie'!B4</f>
        <v>12088.39033298098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9909.9742175857573</v>
      </c>
      <c r="C66" s="796">
        <f>'lokale energieproductie'!B6</f>
        <v>9909.9742175857573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14711.624999999998</v>
      </c>
      <c r="C67" s="795">
        <f>B67*IFERROR(SUM(J67:L67)/SUM(D67:M67),0)</f>
        <v>0</v>
      </c>
      <c r="D67" s="827">
        <f>'lokale energieproductie'!C7</f>
        <v>17307.794117647056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3496.1744117647054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36709.989550566737</v>
      </c>
      <c r="C69" s="804">
        <f>SUM(C64:C68)</f>
        <v>21998.364550566737</v>
      </c>
      <c r="D69" s="805">
        <f t="shared" ref="D69:M69" si="8">SUM(D67:D68)</f>
        <v>17307.794117647056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3496.1744117647054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21016.607142857138</v>
      </c>
      <c r="C78" s="818">
        <f>B78*IFERROR(SUM(I78:L78)/SUM(D78:M78),0)</f>
        <v>0</v>
      </c>
      <c r="D78" s="833">
        <f>'lokale energieproductie'!C16</f>
        <v>24725.420168067216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4994.5348739495776</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21016.607142857138</v>
      </c>
      <c r="C81" s="804">
        <f>SUM(C78:C80)</f>
        <v>0</v>
      </c>
      <c r="D81" s="804">
        <f t="shared" ref="D81:P81" si="9">SUM(D78:D80)</f>
        <v>24725.420168067216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4994.5348739495776</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29258.109669197809</v>
      </c>
      <c r="C4" s="479">
        <f>huishoudens!C8</f>
        <v>0</v>
      </c>
      <c r="D4" s="479">
        <f>huishoudens!D8</f>
        <v>71099.919125196771</v>
      </c>
      <c r="E4" s="479">
        <f>huishoudens!E8</f>
        <v>2111.047566588979</v>
      </c>
      <c r="F4" s="479">
        <f>huishoudens!F8</f>
        <v>9366.572904052613</v>
      </c>
      <c r="G4" s="479">
        <f>huishoudens!G8</f>
        <v>0</v>
      </c>
      <c r="H4" s="479">
        <f>huishoudens!H8</f>
        <v>0</v>
      </c>
      <c r="I4" s="479">
        <f>huishoudens!I8</f>
        <v>0</v>
      </c>
      <c r="J4" s="479">
        <f>huishoudens!J8</f>
        <v>0</v>
      </c>
      <c r="K4" s="479">
        <f>huishoudens!K8</f>
        <v>0</v>
      </c>
      <c r="L4" s="479">
        <f>huishoudens!L8</f>
        <v>0</v>
      </c>
      <c r="M4" s="479">
        <f>huishoudens!M8</f>
        <v>0</v>
      </c>
      <c r="N4" s="479">
        <f>huishoudens!N8</f>
        <v>8701.7855918198256</v>
      </c>
      <c r="O4" s="479">
        <f>huishoudens!O8</f>
        <v>259.51333333333338</v>
      </c>
      <c r="P4" s="480">
        <f>huishoudens!P8</f>
        <v>514.79999999999995</v>
      </c>
      <c r="Q4" s="481">
        <f>SUM(B4:P4)</f>
        <v>121311.74819018932</v>
      </c>
    </row>
    <row r="5" spans="1:17">
      <c r="A5" s="478" t="s">
        <v>156</v>
      </c>
      <c r="B5" s="479">
        <f ca="1">tertiair!B16</f>
        <v>27658.525600000001</v>
      </c>
      <c r="C5" s="479">
        <f ca="1">tertiair!C16</f>
        <v>72.321428571428569</v>
      </c>
      <c r="D5" s="479">
        <f ca="1">tertiair!D16</f>
        <v>25486.126963027706</v>
      </c>
      <c r="E5" s="479">
        <f>tertiair!E16</f>
        <v>267.78439216575975</v>
      </c>
      <c r="F5" s="479">
        <f ca="1">tertiair!F16</f>
        <v>4133.9838001494127</v>
      </c>
      <c r="G5" s="479">
        <f>tertiair!G16</f>
        <v>0</v>
      </c>
      <c r="H5" s="479">
        <f>tertiair!H16</f>
        <v>0</v>
      </c>
      <c r="I5" s="479">
        <f>tertiair!I16</f>
        <v>0</v>
      </c>
      <c r="J5" s="479">
        <f>tertiair!J16</f>
        <v>0</v>
      </c>
      <c r="K5" s="479">
        <f>tertiair!K16</f>
        <v>0</v>
      </c>
      <c r="L5" s="479">
        <f ca="1">tertiair!L16</f>
        <v>0</v>
      </c>
      <c r="M5" s="479">
        <f>tertiair!M16</f>
        <v>0</v>
      </c>
      <c r="N5" s="479">
        <f ca="1">tertiair!N16</f>
        <v>2830.3258531531037</v>
      </c>
      <c r="O5" s="479">
        <f>tertiair!O16</f>
        <v>1.5633333333333335</v>
      </c>
      <c r="P5" s="480">
        <f>tertiair!P16</f>
        <v>57.2</v>
      </c>
      <c r="Q5" s="478">
        <f t="shared" ref="Q5:Q13" ca="1" si="0">SUM(B5:P5)</f>
        <v>60507.831370400745</v>
      </c>
    </row>
    <row r="6" spans="1:17">
      <c r="A6" s="478" t="s">
        <v>194</v>
      </c>
      <c r="B6" s="479">
        <f>'openbare verlichting'!B8</f>
        <v>1527.9680000000001</v>
      </c>
      <c r="C6" s="479"/>
      <c r="D6" s="479"/>
      <c r="E6" s="479"/>
      <c r="F6" s="479"/>
      <c r="G6" s="479"/>
      <c r="H6" s="479"/>
      <c r="I6" s="479"/>
      <c r="J6" s="479"/>
      <c r="K6" s="479"/>
      <c r="L6" s="479"/>
      <c r="M6" s="479"/>
      <c r="N6" s="479"/>
      <c r="O6" s="479"/>
      <c r="P6" s="480"/>
      <c r="Q6" s="478">
        <f t="shared" si="0"/>
        <v>1527.9680000000001</v>
      </c>
    </row>
    <row r="7" spans="1:17">
      <c r="A7" s="478" t="s">
        <v>112</v>
      </c>
      <c r="B7" s="479">
        <f>landbouw!B8</f>
        <v>923.46749999999997</v>
      </c>
      <c r="C7" s="479">
        <f>landbouw!C8</f>
        <v>0</v>
      </c>
      <c r="D7" s="479">
        <f>landbouw!D8</f>
        <v>2209.8001060756246</v>
      </c>
      <c r="E7" s="479">
        <f>landbouw!E8</f>
        <v>8.553542768742906</v>
      </c>
      <c r="F7" s="479">
        <f>landbouw!F8</f>
        <v>2343.0129678782168</v>
      </c>
      <c r="G7" s="479">
        <f>landbouw!G8</f>
        <v>0</v>
      </c>
      <c r="H7" s="479">
        <f>landbouw!H8</f>
        <v>0</v>
      </c>
      <c r="I7" s="479">
        <f>landbouw!I8</f>
        <v>0</v>
      </c>
      <c r="J7" s="479">
        <f>landbouw!J8</f>
        <v>141.57787367737882</v>
      </c>
      <c r="K7" s="479">
        <f>landbouw!K8</f>
        <v>0</v>
      </c>
      <c r="L7" s="479">
        <f>landbouw!L8</f>
        <v>0</v>
      </c>
      <c r="M7" s="479">
        <f>landbouw!M8</f>
        <v>0</v>
      </c>
      <c r="N7" s="479">
        <f>landbouw!N8</f>
        <v>0</v>
      </c>
      <c r="O7" s="479">
        <f>landbouw!O8</f>
        <v>0</v>
      </c>
      <c r="P7" s="480">
        <f>landbouw!P8</f>
        <v>0</v>
      </c>
      <c r="Q7" s="478">
        <f t="shared" si="0"/>
        <v>5626.4119903999635</v>
      </c>
    </row>
    <row r="8" spans="1:17">
      <c r="A8" s="478" t="s">
        <v>650</v>
      </c>
      <c r="B8" s="479">
        <f>industrie!B18</f>
        <v>136482.03599999999</v>
      </c>
      <c r="C8" s="479">
        <f>industrie!C18</f>
        <v>20944.28571428571</v>
      </c>
      <c r="D8" s="479">
        <f>industrie!D18</f>
        <v>108933.11148423649</v>
      </c>
      <c r="E8" s="479">
        <f>industrie!E18</f>
        <v>5195.641412824797</v>
      </c>
      <c r="F8" s="479">
        <f>industrie!F18</f>
        <v>46393.335011614261</v>
      </c>
      <c r="G8" s="479">
        <f>industrie!G18</f>
        <v>0</v>
      </c>
      <c r="H8" s="479">
        <f>industrie!H18</f>
        <v>0</v>
      </c>
      <c r="I8" s="479">
        <f>industrie!I18</f>
        <v>0</v>
      </c>
      <c r="J8" s="479">
        <f>industrie!J18</f>
        <v>532.64701850983602</v>
      </c>
      <c r="K8" s="479">
        <f>industrie!K18</f>
        <v>0</v>
      </c>
      <c r="L8" s="479">
        <f>industrie!L18</f>
        <v>0</v>
      </c>
      <c r="M8" s="479">
        <f>industrie!M18</f>
        <v>0</v>
      </c>
      <c r="N8" s="479">
        <f>industrie!N18</f>
        <v>19846.035051082596</v>
      </c>
      <c r="O8" s="479">
        <f>industrie!O18</f>
        <v>0</v>
      </c>
      <c r="P8" s="480">
        <f>industrie!P18</f>
        <v>0</v>
      </c>
      <c r="Q8" s="478">
        <f t="shared" si="0"/>
        <v>338327.09169255372</v>
      </c>
    </row>
    <row r="9" spans="1:17" s="484" customFormat="1">
      <c r="A9" s="482" t="s">
        <v>571</v>
      </c>
      <c r="B9" s="483">
        <f>transport!B14</f>
        <v>51.939153976136978</v>
      </c>
      <c r="C9" s="483"/>
      <c r="D9" s="483">
        <f>transport!D14</f>
        <v>136.60220087361597</v>
      </c>
      <c r="E9" s="483">
        <f>transport!E14</f>
        <v>908.96578597198504</v>
      </c>
      <c r="F9" s="483"/>
      <c r="G9" s="483">
        <f>transport!G14</f>
        <v>330370.71430033032</v>
      </c>
      <c r="H9" s="483">
        <f>transport!H14</f>
        <v>52060.738801858402</v>
      </c>
      <c r="I9" s="483"/>
      <c r="J9" s="483"/>
      <c r="K9" s="483"/>
      <c r="L9" s="483"/>
      <c r="M9" s="483">
        <f>transport!M14</f>
        <v>20713.048007593643</v>
      </c>
      <c r="N9" s="483"/>
      <c r="O9" s="483"/>
      <c r="P9" s="483"/>
      <c r="Q9" s="482">
        <f>SUM(B9:P9)</f>
        <v>404242.00825060409</v>
      </c>
    </row>
    <row r="10" spans="1:17">
      <c r="A10" s="478" t="s">
        <v>561</v>
      </c>
      <c r="B10" s="479">
        <f>transport!B54</f>
        <v>0</v>
      </c>
      <c r="C10" s="479"/>
      <c r="D10" s="479">
        <f>transport!D54</f>
        <v>0</v>
      </c>
      <c r="E10" s="479"/>
      <c r="F10" s="479"/>
      <c r="G10" s="479">
        <f>transport!G54</f>
        <v>1594.7328184747262</v>
      </c>
      <c r="H10" s="479"/>
      <c r="I10" s="479"/>
      <c r="J10" s="479"/>
      <c r="K10" s="479"/>
      <c r="L10" s="479"/>
      <c r="M10" s="479">
        <f>transport!M54</f>
        <v>90.942963740315506</v>
      </c>
      <c r="N10" s="479"/>
      <c r="O10" s="479"/>
      <c r="P10" s="480"/>
      <c r="Q10" s="478">
        <f t="shared" si="0"/>
        <v>1685.6757822150416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195902.04592317392</v>
      </c>
      <c r="C14" s="489">
        <f t="shared" ref="C14:Q14" ca="1" si="1">SUM(C4:C13)</f>
        <v>21016.607142857138</v>
      </c>
      <c r="D14" s="489">
        <f t="shared" ca="1" si="1"/>
        <v>207865.5598794102</v>
      </c>
      <c r="E14" s="489">
        <f t="shared" si="1"/>
        <v>8491.9927003202629</v>
      </c>
      <c r="F14" s="489">
        <f t="shared" ca="1" si="1"/>
        <v>62236.904683694505</v>
      </c>
      <c r="G14" s="489">
        <f t="shared" si="1"/>
        <v>331965.44711880502</v>
      </c>
      <c r="H14" s="489">
        <f t="shared" si="1"/>
        <v>52060.738801858402</v>
      </c>
      <c r="I14" s="489">
        <f t="shared" si="1"/>
        <v>0</v>
      </c>
      <c r="J14" s="489">
        <f t="shared" si="1"/>
        <v>674.22489218721489</v>
      </c>
      <c r="K14" s="489">
        <f t="shared" si="1"/>
        <v>0</v>
      </c>
      <c r="L14" s="489">
        <f t="shared" ca="1" si="1"/>
        <v>0</v>
      </c>
      <c r="M14" s="489">
        <f t="shared" si="1"/>
        <v>20803.990971333958</v>
      </c>
      <c r="N14" s="489">
        <f t="shared" ca="1" si="1"/>
        <v>31378.146496055524</v>
      </c>
      <c r="O14" s="489">
        <f t="shared" si="1"/>
        <v>261.07666666666671</v>
      </c>
      <c r="P14" s="490">
        <f t="shared" si="1"/>
        <v>572</v>
      </c>
      <c r="Q14" s="490">
        <f t="shared" ca="1" si="1"/>
        <v>933228.73527636286</v>
      </c>
    </row>
    <row r="16" spans="1:17">
      <c r="A16" s="492" t="s">
        <v>566</v>
      </c>
      <c r="B16" s="842">
        <f ca="1">huishoudens!B10</f>
        <v>0.19743346062490297</v>
      </c>
      <c r="C16" s="842">
        <f ca="1">huishoudens!C10</f>
        <v>0.23764705882352935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5776.5298433326589</v>
      </c>
      <c r="C21" s="479">
        <f t="shared" ref="C21:C28" ca="1" si="3">C4*$C$16</f>
        <v>0</v>
      </c>
      <c r="D21" s="479">
        <f t="shared" ref="D21:D30" si="4">D4*$D$16</f>
        <v>14362.183663289748</v>
      </c>
      <c r="E21" s="479">
        <f t="shared" ref="E21:E30" si="5">E4*$E$16</f>
        <v>479.20779761569821</v>
      </c>
      <c r="F21" s="479">
        <f t="shared" ref="F21:F28" si="6">F4*$F$16</f>
        <v>2500.8749653820478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23118.796269620154</v>
      </c>
    </row>
    <row r="22" spans="1:17">
      <c r="A22" s="478" t="s">
        <v>156</v>
      </c>
      <c r="B22" s="479">
        <f t="shared" ca="1" si="2"/>
        <v>5460.7184249904712</v>
      </c>
      <c r="C22" s="479">
        <f t="shared" ca="1" si="3"/>
        <v>17.186974789915961</v>
      </c>
      <c r="D22" s="479">
        <f t="shared" ca="1" si="4"/>
        <v>5148.1976465315965</v>
      </c>
      <c r="E22" s="479">
        <f t="shared" si="5"/>
        <v>60.787057021627469</v>
      </c>
      <c r="F22" s="479">
        <f t="shared" ca="1" si="6"/>
        <v>1103.7736746398932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11790.663777973505</v>
      </c>
    </row>
    <row r="23" spans="1:17">
      <c r="A23" s="478" t="s">
        <v>194</v>
      </c>
      <c r="B23" s="479">
        <f t="shared" ca="1" si="2"/>
        <v>301.67200996411174</v>
      </c>
      <c r="C23" s="479"/>
      <c r="D23" s="479"/>
      <c r="E23" s="479"/>
      <c r="F23" s="479"/>
      <c r="G23" s="479"/>
      <c r="H23" s="479"/>
      <c r="I23" s="479"/>
      <c r="J23" s="479"/>
      <c r="K23" s="479"/>
      <c r="L23" s="479"/>
      <c r="M23" s="479"/>
      <c r="N23" s="479"/>
      <c r="O23" s="479"/>
      <c r="P23" s="480"/>
      <c r="Q23" s="478">
        <f t="shared" ca="1" si="17"/>
        <v>301.67200996411174</v>
      </c>
    </row>
    <row r="24" spans="1:17">
      <c r="A24" s="478" t="s">
        <v>112</v>
      </c>
      <c r="B24" s="479">
        <f t="shared" ca="1" si="2"/>
        <v>182.32338429962758</v>
      </c>
      <c r="C24" s="479">
        <f t="shared" ca="1" si="3"/>
        <v>0</v>
      </c>
      <c r="D24" s="479">
        <f t="shared" si="4"/>
        <v>446.37962142727622</v>
      </c>
      <c r="E24" s="479">
        <f t="shared" si="5"/>
        <v>1.9416542085046398</v>
      </c>
      <c r="F24" s="479">
        <f t="shared" si="6"/>
        <v>625.58446242348396</v>
      </c>
      <c r="G24" s="479">
        <f t="shared" si="7"/>
        <v>0</v>
      </c>
      <c r="H24" s="479">
        <f t="shared" si="8"/>
        <v>0</v>
      </c>
      <c r="I24" s="479">
        <f t="shared" si="9"/>
        <v>0</v>
      </c>
      <c r="J24" s="479">
        <f t="shared" si="10"/>
        <v>50.118567281792096</v>
      </c>
      <c r="K24" s="479">
        <f t="shared" si="11"/>
        <v>0</v>
      </c>
      <c r="L24" s="479">
        <f t="shared" si="12"/>
        <v>0</v>
      </c>
      <c r="M24" s="479">
        <f t="shared" si="13"/>
        <v>0</v>
      </c>
      <c r="N24" s="479">
        <f t="shared" si="14"/>
        <v>0</v>
      </c>
      <c r="O24" s="479">
        <f t="shared" si="15"/>
        <v>0</v>
      </c>
      <c r="P24" s="480">
        <f t="shared" si="16"/>
        <v>0</v>
      </c>
      <c r="Q24" s="478">
        <f t="shared" ca="1" si="17"/>
        <v>1306.3476896406844</v>
      </c>
    </row>
    <row r="25" spans="1:17">
      <c r="A25" s="478" t="s">
        <v>650</v>
      </c>
      <c r="B25" s="479">
        <f t="shared" ca="1" si="2"/>
        <v>26946.120680612588</v>
      </c>
      <c r="C25" s="479">
        <f t="shared" ca="1" si="3"/>
        <v>4977.3478991596612</v>
      </c>
      <c r="D25" s="479">
        <f t="shared" si="4"/>
        <v>22004.488519815772</v>
      </c>
      <c r="E25" s="479">
        <f t="shared" si="5"/>
        <v>1179.4106007112289</v>
      </c>
      <c r="F25" s="479">
        <f t="shared" si="6"/>
        <v>12387.020448101008</v>
      </c>
      <c r="G25" s="479">
        <f t="shared" si="7"/>
        <v>0</v>
      </c>
      <c r="H25" s="479">
        <f t="shared" si="8"/>
        <v>0</v>
      </c>
      <c r="I25" s="479">
        <f t="shared" si="9"/>
        <v>0</v>
      </c>
      <c r="J25" s="479">
        <f t="shared" si="10"/>
        <v>188.55704455248193</v>
      </c>
      <c r="K25" s="479">
        <f t="shared" si="11"/>
        <v>0</v>
      </c>
      <c r="L25" s="479">
        <f t="shared" si="12"/>
        <v>0</v>
      </c>
      <c r="M25" s="479">
        <f t="shared" si="13"/>
        <v>0</v>
      </c>
      <c r="N25" s="479">
        <f t="shared" si="14"/>
        <v>0</v>
      </c>
      <c r="O25" s="479">
        <f t="shared" si="15"/>
        <v>0</v>
      </c>
      <c r="P25" s="480">
        <f t="shared" si="16"/>
        <v>0</v>
      </c>
      <c r="Q25" s="478">
        <f t="shared" ca="1" si="17"/>
        <v>67682.945192952742</v>
      </c>
    </row>
    <row r="26" spans="1:17" s="484" customFormat="1">
      <c r="A26" s="482" t="s">
        <v>571</v>
      </c>
      <c r="B26" s="836">
        <f t="shared" ca="1" si="2"/>
        <v>10.254526911438413</v>
      </c>
      <c r="C26" s="483"/>
      <c r="D26" s="483">
        <f t="shared" si="4"/>
        <v>27.593644576470428</v>
      </c>
      <c r="E26" s="483">
        <f t="shared" si="5"/>
        <v>206.3352334156406</v>
      </c>
      <c r="F26" s="483"/>
      <c r="G26" s="483">
        <f t="shared" si="7"/>
        <v>88208.980718188206</v>
      </c>
      <c r="H26" s="483">
        <f t="shared" si="8"/>
        <v>12963.123961662743</v>
      </c>
      <c r="I26" s="483"/>
      <c r="J26" s="483"/>
      <c r="K26" s="483"/>
      <c r="L26" s="483"/>
      <c r="M26" s="483">
        <f t="shared" si="13"/>
        <v>0</v>
      </c>
      <c r="N26" s="483"/>
      <c r="O26" s="483"/>
      <c r="P26" s="494"/>
      <c r="Q26" s="482">
        <f t="shared" ca="1" si="17"/>
        <v>101416.2880847545</v>
      </c>
    </row>
    <row r="27" spans="1:17">
      <c r="A27" s="478" t="s">
        <v>561</v>
      </c>
      <c r="B27" s="479">
        <f t="shared" ca="1" si="2"/>
        <v>0</v>
      </c>
      <c r="C27" s="479"/>
      <c r="D27" s="483">
        <f t="shared" si="4"/>
        <v>0</v>
      </c>
      <c r="E27" s="479"/>
      <c r="F27" s="479"/>
      <c r="G27" s="479">
        <f t="shared" si="7"/>
        <v>425.79366253275191</v>
      </c>
      <c r="H27" s="479"/>
      <c r="I27" s="479"/>
      <c r="J27" s="479"/>
      <c r="K27" s="479"/>
      <c r="L27" s="479"/>
      <c r="M27" s="479">
        <f t="shared" si="13"/>
        <v>0</v>
      </c>
      <c r="N27" s="479"/>
      <c r="O27" s="479"/>
      <c r="P27" s="480"/>
      <c r="Q27" s="478">
        <f t="shared" ca="1" si="17"/>
        <v>425.79366253275191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38677.618870110899</v>
      </c>
      <c r="C31" s="489">
        <f t="shared" ca="1" si="18"/>
        <v>4994.5348739495776</v>
      </c>
      <c r="D31" s="489">
        <f t="shared" ca="1" si="18"/>
        <v>41988.843095640856</v>
      </c>
      <c r="E31" s="489">
        <f t="shared" si="18"/>
        <v>1927.6823429726999</v>
      </c>
      <c r="F31" s="489">
        <f t="shared" ca="1" si="18"/>
        <v>16617.253550546433</v>
      </c>
      <c r="G31" s="489">
        <f t="shared" si="18"/>
        <v>88634.774380720963</v>
      </c>
      <c r="H31" s="489">
        <f t="shared" si="18"/>
        <v>12963.123961662743</v>
      </c>
      <c r="I31" s="489">
        <f t="shared" si="18"/>
        <v>0</v>
      </c>
      <c r="J31" s="489">
        <f t="shared" si="18"/>
        <v>238.67561183427404</v>
      </c>
      <c r="K31" s="489">
        <f t="shared" si="18"/>
        <v>0</v>
      </c>
      <c r="L31" s="489">
        <f t="shared" ca="1" si="18"/>
        <v>0</v>
      </c>
      <c r="M31" s="489">
        <f t="shared" si="18"/>
        <v>0</v>
      </c>
      <c r="N31" s="489">
        <f t="shared" ca="1" si="18"/>
        <v>0</v>
      </c>
      <c r="O31" s="489">
        <f t="shared" si="18"/>
        <v>0</v>
      </c>
      <c r="P31" s="490">
        <f t="shared" si="18"/>
        <v>0</v>
      </c>
      <c r="Q31" s="490">
        <f t="shared" ca="1" si="18"/>
        <v>206042.50668743846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0.19743346062490297</v>
      </c>
      <c r="C17" s="529">
        <f ca="1">'EF ele_warmte'!B22</f>
        <v>0.23764705882352935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0.19743346062490297</v>
      </c>
      <c r="C17" s="529">
        <f ca="1">'EF ele_warmte'!B22</f>
        <v>0.23764705882352935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0.19743346062490297</v>
      </c>
      <c r="C29" s="530">
        <f ca="1">'EF ele_warmte'!B22</f>
        <v>0.23764705882352935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6949</v>
      </c>
      <c r="C9" s="342">
        <v>7472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1160</v>
      </c>
    </row>
    <row r="15" spans="1:6">
      <c r="A15" s="348" t="s">
        <v>184</v>
      </c>
      <c r="B15" s="334">
        <v>859</v>
      </c>
    </row>
    <row r="16" spans="1:6">
      <c r="A16" s="348" t="s">
        <v>6</v>
      </c>
      <c r="B16" s="334">
        <v>556</v>
      </c>
    </row>
    <row r="17" spans="1:6">
      <c r="A17" s="348" t="s">
        <v>7</v>
      </c>
      <c r="B17" s="334">
        <v>21</v>
      </c>
    </row>
    <row r="18" spans="1:6">
      <c r="A18" s="348" t="s">
        <v>8</v>
      </c>
      <c r="B18" s="334">
        <v>201</v>
      </c>
    </row>
    <row r="19" spans="1:6">
      <c r="A19" s="348" t="s">
        <v>9</v>
      </c>
      <c r="B19" s="334">
        <v>82</v>
      </c>
    </row>
    <row r="20" spans="1:6">
      <c r="A20" s="348" t="s">
        <v>10</v>
      </c>
      <c r="B20" s="334">
        <v>76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v>
      </c>
    </row>
    <row r="27" spans="1:6">
      <c r="A27" s="348" t="s">
        <v>17</v>
      </c>
      <c r="B27" s="334">
        <v>0</v>
      </c>
    </row>
    <row r="28" spans="1:6" s="356" customFormat="1">
      <c r="A28" s="355" t="s">
        <v>18</v>
      </c>
      <c r="B28" s="355">
        <v>2210</v>
      </c>
    </row>
    <row r="29" spans="1:6">
      <c r="A29" s="355" t="s">
        <v>865</v>
      </c>
      <c r="B29" s="355">
        <v>107</v>
      </c>
      <c r="C29" s="356"/>
      <c r="D29" s="356"/>
      <c r="E29" s="356"/>
      <c r="F29" s="356"/>
    </row>
    <row r="30" spans="1:6">
      <c r="A30" s="341" t="s">
        <v>866</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43131.56</v>
      </c>
    </row>
    <row r="39" spans="1:6">
      <c r="A39" s="348" t="s">
        <v>30</v>
      </c>
      <c r="B39" s="348" t="s">
        <v>31</v>
      </c>
      <c r="C39" s="334">
        <v>5182</v>
      </c>
      <c r="D39" s="334">
        <v>78824744.041238099</v>
      </c>
      <c r="E39" s="334">
        <v>6862</v>
      </c>
      <c r="F39" s="334">
        <v>25742179</v>
      </c>
    </row>
    <row r="40" spans="1:6">
      <c r="A40" s="348" t="s">
        <v>30</v>
      </c>
      <c r="B40" s="348" t="s">
        <v>29</v>
      </c>
      <c r="C40" s="334">
        <v>0</v>
      </c>
      <c r="D40" s="334">
        <v>0</v>
      </c>
      <c r="E40" s="334">
        <v>0</v>
      </c>
      <c r="F40" s="334">
        <v>0</v>
      </c>
    </row>
    <row r="41" spans="1:6">
      <c r="A41" s="348" t="s">
        <v>32</v>
      </c>
      <c r="B41" s="348" t="s">
        <v>33</v>
      </c>
      <c r="C41" s="334">
        <v>41</v>
      </c>
      <c r="D41" s="334">
        <v>1176209.7549852501</v>
      </c>
      <c r="E41" s="334">
        <v>154</v>
      </c>
      <c r="F41" s="334">
        <v>9651164</v>
      </c>
    </row>
    <row r="42" spans="1:6">
      <c r="A42" s="348" t="s">
        <v>32</v>
      </c>
      <c r="B42" s="348" t="s">
        <v>34</v>
      </c>
      <c r="C42" s="334">
        <v>11</v>
      </c>
      <c r="D42" s="334">
        <v>105271513.35115901</v>
      </c>
      <c r="E42" s="334">
        <v>12</v>
      </c>
      <c r="F42" s="334">
        <v>53486269</v>
      </c>
    </row>
    <row r="43" spans="1:6">
      <c r="A43" s="348" t="s">
        <v>32</v>
      </c>
      <c r="B43" s="348" t="s">
        <v>35</v>
      </c>
      <c r="C43" s="334">
        <v>0</v>
      </c>
      <c r="D43" s="334">
        <v>0</v>
      </c>
      <c r="E43" s="334">
        <v>0</v>
      </c>
      <c r="F43" s="334">
        <v>0</v>
      </c>
    </row>
    <row r="44" spans="1:6">
      <c r="A44" s="348" t="s">
        <v>32</v>
      </c>
      <c r="B44" s="348" t="s">
        <v>36</v>
      </c>
      <c r="C44" s="334">
        <v>3</v>
      </c>
      <c r="D44" s="334">
        <v>230979.89201752099</v>
      </c>
      <c r="E44" s="334">
        <v>19</v>
      </c>
      <c r="F44" s="334">
        <v>1554630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36</v>
      </c>
      <c r="D48" s="334">
        <v>30994278.011905801</v>
      </c>
      <c r="E48" s="334">
        <v>46</v>
      </c>
      <c r="F48" s="334">
        <v>42285880</v>
      </c>
    </row>
    <row r="49" spans="1:6">
      <c r="A49" s="348" t="s">
        <v>32</v>
      </c>
      <c r="B49" s="348" t="s">
        <v>40</v>
      </c>
      <c r="C49" s="334">
        <v>0</v>
      </c>
      <c r="D49" s="334">
        <v>0</v>
      </c>
      <c r="E49" s="334">
        <v>0</v>
      </c>
      <c r="F49" s="334">
        <v>0</v>
      </c>
    </row>
    <row r="50" spans="1:6">
      <c r="A50" s="348" t="s">
        <v>32</v>
      </c>
      <c r="B50" s="348" t="s">
        <v>41</v>
      </c>
      <c r="C50" s="334">
        <v>14</v>
      </c>
      <c r="D50" s="334">
        <v>29535093.172646299</v>
      </c>
      <c r="E50" s="334">
        <v>15</v>
      </c>
      <c r="F50" s="334">
        <v>14843093</v>
      </c>
    </row>
    <row r="51" spans="1:6">
      <c r="A51" s="348" t="s">
        <v>42</v>
      </c>
      <c r="B51" s="348" t="s">
        <v>43</v>
      </c>
      <c r="C51" s="334">
        <v>6</v>
      </c>
      <c r="D51" s="334">
        <v>81499.687895225899</v>
      </c>
      <c r="E51" s="334">
        <v>38</v>
      </c>
      <c r="F51" s="334">
        <v>702730</v>
      </c>
    </row>
    <row r="52" spans="1:6">
      <c r="A52" s="348" t="s">
        <v>42</v>
      </c>
      <c r="B52" s="348" t="s">
        <v>29</v>
      </c>
      <c r="C52" s="334">
        <v>3</v>
      </c>
      <c r="D52" s="334">
        <v>92712.034951463706</v>
      </c>
      <c r="E52" s="334">
        <v>13</v>
      </c>
      <c r="F52" s="334">
        <v>220737.5</v>
      </c>
    </row>
    <row r="53" spans="1:6">
      <c r="A53" s="348" t="s">
        <v>44</v>
      </c>
      <c r="B53" s="348" t="s">
        <v>45</v>
      </c>
      <c r="C53" s="334">
        <v>117</v>
      </c>
      <c r="D53" s="334">
        <v>2275677.5300087701</v>
      </c>
      <c r="E53" s="334">
        <v>220</v>
      </c>
      <c r="F53" s="334">
        <v>777895.1</v>
      </c>
    </row>
    <row r="54" spans="1:6">
      <c r="A54" s="348" t="s">
        <v>46</v>
      </c>
      <c r="B54" s="348" t="s">
        <v>47</v>
      </c>
      <c r="C54" s="334">
        <v>0</v>
      </c>
      <c r="D54" s="334">
        <v>0</v>
      </c>
      <c r="E54" s="334">
        <v>1</v>
      </c>
      <c r="F54" s="334">
        <v>1527968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1317213.776302</v>
      </c>
      <c r="E57" s="334">
        <v>69</v>
      </c>
      <c r="F57" s="334">
        <v>2978637</v>
      </c>
    </row>
    <row r="58" spans="1:6">
      <c r="A58" s="348" t="s">
        <v>49</v>
      </c>
      <c r="B58" s="348" t="s">
        <v>51</v>
      </c>
      <c r="C58" s="334">
        <v>24</v>
      </c>
      <c r="D58" s="334">
        <v>1140519.6541496499</v>
      </c>
      <c r="E58" s="334">
        <v>45</v>
      </c>
      <c r="F58" s="334">
        <v>1482943</v>
      </c>
    </row>
    <row r="59" spans="1:6">
      <c r="A59" s="348" t="s">
        <v>49</v>
      </c>
      <c r="B59" s="348" t="s">
        <v>52</v>
      </c>
      <c r="C59" s="334">
        <v>88</v>
      </c>
      <c r="D59" s="334">
        <v>4042474.0061418</v>
      </c>
      <c r="E59" s="334">
        <v>155</v>
      </c>
      <c r="F59" s="334">
        <v>6754394</v>
      </c>
    </row>
    <row r="60" spans="1:6">
      <c r="A60" s="348" t="s">
        <v>49</v>
      </c>
      <c r="B60" s="348" t="s">
        <v>53</v>
      </c>
      <c r="C60" s="334">
        <v>56</v>
      </c>
      <c r="D60" s="334">
        <v>2500814.26888608</v>
      </c>
      <c r="E60" s="334">
        <v>129</v>
      </c>
      <c r="F60" s="334">
        <v>2411552</v>
      </c>
    </row>
    <row r="61" spans="1:6">
      <c r="A61" s="348" t="s">
        <v>49</v>
      </c>
      <c r="B61" s="348" t="s">
        <v>54</v>
      </c>
      <c r="C61" s="334">
        <v>152</v>
      </c>
      <c r="D61" s="334">
        <v>10579596.5000057</v>
      </c>
      <c r="E61" s="334">
        <v>237</v>
      </c>
      <c r="F61" s="334">
        <v>6459136</v>
      </c>
    </row>
    <row r="62" spans="1:6">
      <c r="A62" s="348" t="s">
        <v>49</v>
      </c>
      <c r="B62" s="348" t="s">
        <v>55</v>
      </c>
      <c r="C62" s="334">
        <v>24</v>
      </c>
      <c r="D62" s="334">
        <v>1897393.7375244</v>
      </c>
      <c r="E62" s="334">
        <v>25</v>
      </c>
      <c r="F62" s="334">
        <v>490523.6</v>
      </c>
    </row>
    <row r="63" spans="1:6">
      <c r="A63" s="348" t="s">
        <v>49</v>
      </c>
      <c r="B63" s="348" t="s">
        <v>29</v>
      </c>
      <c r="C63" s="334">
        <v>103</v>
      </c>
      <c r="D63" s="334">
        <v>6937475.6625009701</v>
      </c>
      <c r="E63" s="334">
        <v>103</v>
      </c>
      <c r="F63" s="334">
        <v>7030715</v>
      </c>
    </row>
    <row r="64" spans="1:6">
      <c r="A64" s="348" t="s">
        <v>56</v>
      </c>
      <c r="B64" s="348" t="s">
        <v>57</v>
      </c>
      <c r="C64" s="334">
        <v>0</v>
      </c>
      <c r="D64" s="334">
        <v>0</v>
      </c>
      <c r="E64" s="334">
        <v>0</v>
      </c>
      <c r="F64" s="334">
        <v>0</v>
      </c>
    </row>
    <row r="65" spans="1:6">
      <c r="A65" s="348" t="s">
        <v>56</v>
      </c>
      <c r="B65" s="348" t="s">
        <v>29</v>
      </c>
      <c r="C65" s="334">
        <v>2</v>
      </c>
      <c r="D65" s="334">
        <v>63573.348104139302</v>
      </c>
      <c r="E65" s="334">
        <v>3</v>
      </c>
      <c r="F65" s="334">
        <v>10253.16</v>
      </c>
    </row>
    <row r="66" spans="1:6">
      <c r="A66" s="348" t="s">
        <v>56</v>
      </c>
      <c r="B66" s="348" t="s">
        <v>58</v>
      </c>
      <c r="C66" s="334">
        <v>0</v>
      </c>
      <c r="D66" s="334">
        <v>0</v>
      </c>
      <c r="E66" s="334">
        <v>9</v>
      </c>
      <c r="F66" s="334">
        <v>2561966</v>
      </c>
    </row>
    <row r="67" spans="1:6">
      <c r="A67" s="355" t="s">
        <v>56</v>
      </c>
      <c r="B67" s="355" t="s">
        <v>59</v>
      </c>
      <c r="C67" s="334">
        <v>0</v>
      </c>
      <c r="D67" s="334">
        <v>0</v>
      </c>
      <c r="E67" s="334">
        <v>0</v>
      </c>
      <c r="F67" s="334">
        <v>0</v>
      </c>
    </row>
    <row r="68" spans="1:6">
      <c r="A68" s="341" t="s">
        <v>56</v>
      </c>
      <c r="B68" s="341" t="s">
        <v>60</v>
      </c>
      <c r="C68" s="334">
        <v>11</v>
      </c>
      <c r="D68" s="334">
        <v>3936122.2946080901</v>
      </c>
      <c r="E68" s="334">
        <v>33</v>
      </c>
      <c r="F68" s="334">
        <v>2356092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246035881</v>
      </c>
      <c r="E73" s="477">
        <v>262990277.49462846</v>
      </c>
    </row>
    <row r="74" spans="1:6">
      <c r="A74" s="348" t="s">
        <v>64</v>
      </c>
      <c r="B74" s="348" t="s">
        <v>714</v>
      </c>
      <c r="C74" s="1288" t="s">
        <v>716</v>
      </c>
      <c r="D74" s="477">
        <v>37425477.59312278</v>
      </c>
      <c r="E74" s="477">
        <v>38390959.838018499</v>
      </c>
    </row>
    <row r="75" spans="1:6">
      <c r="A75" s="348" t="s">
        <v>65</v>
      </c>
      <c r="B75" s="348" t="s">
        <v>713</v>
      </c>
      <c r="C75" s="1288" t="s">
        <v>717</v>
      </c>
      <c r="D75" s="477">
        <v>63144753</v>
      </c>
      <c r="E75" s="477">
        <v>66654712.916097566</v>
      </c>
    </row>
    <row r="76" spans="1:6">
      <c r="A76" s="348" t="s">
        <v>65</v>
      </c>
      <c r="B76" s="348" t="s">
        <v>714</v>
      </c>
      <c r="C76" s="1288" t="s">
        <v>718</v>
      </c>
      <c r="D76" s="477">
        <v>8676761.5931227822</v>
      </c>
      <c r="E76" s="477">
        <v>9027822.8102678396</v>
      </c>
    </row>
    <row r="77" spans="1:6">
      <c r="A77" s="348" t="s">
        <v>66</v>
      </c>
      <c r="B77" s="348" t="s">
        <v>713</v>
      </c>
      <c r="C77" s="1288" t="s">
        <v>719</v>
      </c>
      <c r="D77" s="477">
        <v>69789228</v>
      </c>
      <c r="E77" s="477">
        <v>74617012.766985089</v>
      </c>
    </row>
    <row r="78" spans="1:6">
      <c r="A78" s="341" t="s">
        <v>66</v>
      </c>
      <c r="B78" s="341" t="s">
        <v>714</v>
      </c>
      <c r="C78" s="341" t="s">
        <v>720</v>
      </c>
      <c r="D78" s="1284">
        <v>9155216</v>
      </c>
      <c r="E78" s="1284">
        <v>9950154.5829242356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450452.81375443487</v>
      </c>
      <c r="C83" s="477">
        <v>445349.14576374175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12088.39033298098</v>
      </c>
    </row>
    <row r="91" spans="1:6">
      <c r="A91" s="348" t="s">
        <v>68</v>
      </c>
      <c r="B91" s="334">
        <v>3515.9306691978081</v>
      </c>
    </row>
    <row r="92" spans="1:6">
      <c r="A92" s="341" t="s">
        <v>69</v>
      </c>
      <c r="B92" s="342">
        <v>6394.0435483879492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1</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195902.04592317392</v>
      </c>
      <c r="C3" s="43" t="s">
        <v>170</v>
      </c>
      <c r="D3" s="43"/>
      <c r="E3" s="154"/>
      <c r="F3" s="43"/>
      <c r="G3" s="43"/>
      <c r="H3" s="43"/>
      <c r="I3" s="43"/>
      <c r="J3" s="43"/>
      <c r="K3" s="96"/>
    </row>
    <row r="4" spans="1:11">
      <c r="A4" s="384" t="s">
        <v>171</v>
      </c>
      <c r="B4" s="49">
        <f>IF(ISERROR('SEAP template'!B69),0,'SEAP template'!B69)</f>
        <v>36709.989550566737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3496.1744117647054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0.19743346062490297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4994.5348739495776</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21016.607142857138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1527.9680000000001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1527.9680000000001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0.19743346062490297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301.67200996411174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25742.179</v>
      </c>
      <c r="C5" s="17">
        <f>IF(ISERROR('Eigen informatie GS &amp; warmtenet'!B57),0,'Eigen informatie GS &amp; warmtenet'!B57)</f>
        <v>0</v>
      </c>
      <c r="D5" s="30">
        <f>(SUM(HH_hh_gas_kWh,HH_rest_gas_kWh)/1000)*0.902</f>
        <v>71099.919125196771</v>
      </c>
      <c r="E5" s="17">
        <f>B46*B57</f>
        <v>2111.047566588979</v>
      </c>
      <c r="F5" s="17">
        <f>B51*B62</f>
        <v>9366.572904052613</v>
      </c>
      <c r="G5" s="18"/>
      <c r="H5" s="17"/>
      <c r="I5" s="17"/>
      <c r="J5" s="17">
        <f>B50*B61+C50*C61</f>
        <v>0</v>
      </c>
      <c r="K5" s="17"/>
      <c r="L5" s="17"/>
      <c r="M5" s="17"/>
      <c r="N5" s="17">
        <f>B48*B59+C48*C59</f>
        <v>8701.7855918198256</v>
      </c>
      <c r="O5" s="17">
        <f>B69*B70*B71</f>
        <v>259.51333333333338</v>
      </c>
      <c r="P5" s="17">
        <f>B77*B78*B79/1000-B77*B78*B79/1000/B80</f>
        <v>514.79999999999995</v>
      </c>
    </row>
    <row r="6" spans="1:16">
      <c r="A6" s="16" t="s">
        <v>631</v>
      </c>
      <c r="B6" s="844">
        <f>kWh_PV_kleiner_dan_10kW</f>
        <v>3515.9306691978081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29258.109669197809</v>
      </c>
      <c r="C8" s="21">
        <f>C5</f>
        <v>0</v>
      </c>
      <c r="D8" s="21">
        <f>D5</f>
        <v>71099.919125196771</v>
      </c>
      <c r="E8" s="21">
        <f>E5</f>
        <v>2111.047566588979</v>
      </c>
      <c r="F8" s="21">
        <f>F5</f>
        <v>9366.572904052613</v>
      </c>
      <c r="G8" s="21"/>
      <c r="H8" s="21"/>
      <c r="I8" s="21"/>
      <c r="J8" s="21">
        <f>J5</f>
        <v>0</v>
      </c>
      <c r="K8" s="21"/>
      <c r="L8" s="21">
        <f>L5</f>
        <v>0</v>
      </c>
      <c r="M8" s="21">
        <f>M5</f>
        <v>0</v>
      </c>
      <c r="N8" s="21">
        <f>N5</f>
        <v>8701.7855918198256</v>
      </c>
      <c r="O8" s="21">
        <f>O5</f>
        <v>259.51333333333338</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0.19743346062490297</v>
      </c>
      <c r="C10" s="25">
        <f ca="1">'EF ele_warmte'!B22</f>
        <v>0.23764705882352935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5776.5298433326589</v>
      </c>
      <c r="C12" s="23">
        <f ca="1">C10*C8</f>
        <v>0</v>
      </c>
      <c r="D12" s="23">
        <f>D8*D10</f>
        <v>14362.183663289748</v>
      </c>
      <c r="E12" s="23">
        <f>E10*E8</f>
        <v>479.20779761569821</v>
      </c>
      <c r="F12" s="23">
        <f>F10*F8</f>
        <v>2500.8749653820478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6949</v>
      </c>
      <c r="C28" s="36"/>
      <c r="D28" s="228"/>
    </row>
    <row r="29" spans="1:7" s="15" customFormat="1">
      <c r="A29" s="230" t="s">
        <v>741</v>
      </c>
      <c r="B29" s="37">
        <f>SUM(HH_hh_gas_aantal,HH_rest_gas_aantal)</f>
        <v>5182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5182</v>
      </c>
      <c r="C32" s="167">
        <f>IF(ISERROR(B32/SUM($B$32,$B$34,$B$35,$B$36,$B$38,$B$39)*100),0,B32/SUM($B$32,$B$34,$B$35,$B$36,$B$38,$B$39)*100)</f>
        <v>74.862756428777814</v>
      </c>
      <c r="D32" s="233"/>
      <c r="G32" s="15"/>
    </row>
    <row r="33" spans="1:7">
      <c r="A33" s="171" t="s">
        <v>72</v>
      </c>
      <c r="B33" s="34" t="s">
        <v>111</v>
      </c>
      <c r="C33" s="167"/>
      <c r="D33" s="233"/>
      <c r="G33" s="15"/>
    </row>
    <row r="34" spans="1:7">
      <c r="A34" s="171" t="s">
        <v>73</v>
      </c>
      <c r="B34" s="33">
        <f>IF((($B$28-$B$32-$B$39-$B$77-$B$38)*C20/100)&lt;0,0,($B$28-$B$32-$B$39-$B$77-$B$38)*C20/100)</f>
        <v>141.48642533936652</v>
      </c>
      <c r="C34" s="167">
        <f>IF(ISERROR(B34/SUM($B$32,$B$34,$B$35,$B$36,$B$38,$B$39)*100),0,B34/SUM($B$32,$B$34,$B$35,$B$36,$B$38,$B$39)*100)</f>
        <v>2.0440107676880457</v>
      </c>
      <c r="D34" s="233"/>
      <c r="G34" s="15"/>
    </row>
    <row r="35" spans="1:7">
      <c r="A35" s="171" t="s">
        <v>74</v>
      </c>
      <c r="B35" s="33">
        <f>IF((($B$28-$B$32-$B$39-$B$77-$B$38)*C21/100)&lt;0,0,($B$28-$B$32-$B$39-$B$77-$B$38)*C21/100)</f>
        <v>1064.2239819004526</v>
      </c>
      <c r="C35" s="167">
        <f>IF(ISERROR(B35/SUM($B$32,$B$34,$B$35,$B$36,$B$38,$B$39)*100),0,B35/SUM($B$32,$B$34,$B$35,$B$36,$B$38,$B$39)*100)</f>
        <v>15.374515774349215</v>
      </c>
      <c r="D35" s="233"/>
      <c r="G35" s="15"/>
    </row>
    <row r="36" spans="1:7">
      <c r="A36" s="171" t="s">
        <v>75</v>
      </c>
      <c r="B36" s="33">
        <f>IF((($B$28-$B$32-$B$39-$B$77-$B$38)*C22/100)&lt;0,0,($B$28-$B$32-$B$39-$B$77-$B$38)*C22/100)</f>
        <v>153.78959276018099</v>
      </c>
      <c r="C36" s="167">
        <f>IF(ISERROR(B36/SUM($B$32,$B$34,$B$35,$B$36,$B$38,$B$39)*100),0,B36/SUM($B$32,$B$34,$B$35,$B$36,$B$38,$B$39)*100)</f>
        <v>2.2217508344435277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380.5</v>
      </c>
      <c r="C39" s="167">
        <f>IF(ISERROR(B39/SUM($B$32,$B$34,$B$35,$B$36,$B$38,$B$39)*100),0,B39/SUM($B$32,$B$34,$B$35,$B$36,$B$38,$B$39)*100)</f>
        <v>5.4969661947414039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5182</v>
      </c>
      <c r="C44" s="34" t="s">
        <v>111</v>
      </c>
      <c r="D44" s="174"/>
    </row>
    <row r="45" spans="1:7">
      <c r="A45" s="171" t="s">
        <v>72</v>
      </c>
      <c r="B45" s="33" t="str">
        <f t="shared" si="0"/>
        <v>-</v>
      </c>
      <c r="C45" s="34" t="s">
        <v>111</v>
      </c>
      <c r="D45" s="174"/>
    </row>
    <row r="46" spans="1:7">
      <c r="A46" s="171" t="s">
        <v>73</v>
      </c>
      <c r="B46" s="33">
        <f t="shared" si="0"/>
        <v>141.48642533936652</v>
      </c>
      <c r="C46" s="34" t="s">
        <v>111</v>
      </c>
      <c r="D46" s="174"/>
    </row>
    <row r="47" spans="1:7">
      <c r="A47" s="171" t="s">
        <v>74</v>
      </c>
      <c r="B47" s="33">
        <f t="shared" si="0"/>
        <v>1064.2239819004526</v>
      </c>
      <c r="C47" s="34" t="s">
        <v>111</v>
      </c>
      <c r="D47" s="174"/>
    </row>
    <row r="48" spans="1:7">
      <c r="A48" s="171" t="s">
        <v>75</v>
      </c>
      <c r="B48" s="33">
        <f t="shared" si="0"/>
        <v>153.78959276018099</v>
      </c>
      <c r="C48" s="33">
        <f>B48*10</f>
        <v>1537.8959276018099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27607.900600000001</v>
      </c>
      <c r="C5" s="17">
        <f>IF(ISERROR('Eigen informatie GS &amp; warmtenet'!B58),0,'Eigen informatie GS &amp; warmtenet'!B58)</f>
        <v>0</v>
      </c>
      <c r="D5" s="30">
        <f>SUM(D6:D12)</f>
        <v>25630.769820170564</v>
      </c>
      <c r="E5" s="17">
        <f>SUM(E6:E12)</f>
        <v>267.78439216575975</v>
      </c>
      <c r="F5" s="17">
        <f>SUM(F6:F12)</f>
        <v>4133.9838001494127</v>
      </c>
      <c r="G5" s="18"/>
      <c r="H5" s="17"/>
      <c r="I5" s="17"/>
      <c r="J5" s="17">
        <f>SUM(J6:J12)</f>
        <v>0</v>
      </c>
      <c r="K5" s="17"/>
      <c r="L5" s="17"/>
      <c r="M5" s="17"/>
      <c r="N5" s="17">
        <f>SUM(N6:N12)</f>
        <v>2830.3258531531037</v>
      </c>
      <c r="O5" s="17">
        <f>B38*B39*B40</f>
        <v>1.5633333333333335</v>
      </c>
      <c r="P5" s="17">
        <f>B46*B47*B48/1000-B46*B47*B48/1000/B49</f>
        <v>57.2</v>
      </c>
      <c r="R5" s="32"/>
    </row>
    <row r="6" spans="1:18">
      <c r="A6" s="32" t="s">
        <v>54</v>
      </c>
      <c r="B6" s="37">
        <f>B26</f>
        <v>6459.1360000000004</v>
      </c>
      <c r="C6" s="33"/>
      <c r="D6" s="37">
        <f>IF(ISERROR(TER_kantoor_gas_kWh/1000),0,TER_kantoor_gas_kWh/1000)*0.902</f>
        <v>9542.7960430051426</v>
      </c>
      <c r="E6" s="33">
        <f>$C$26*'E Balans VL '!I12/100/3.6*1000000</f>
        <v>18.71306468162658</v>
      </c>
      <c r="F6" s="33">
        <f>$C$26*('E Balans VL '!L12+'E Balans VL '!N12)/100/3.6*1000000</f>
        <v>731.03188940061784</v>
      </c>
      <c r="G6" s="34"/>
      <c r="H6" s="33"/>
      <c r="I6" s="33"/>
      <c r="J6" s="33">
        <f>$C$26*('E Balans VL '!D12+'E Balans VL '!E12)/100/3.6*1000000</f>
        <v>0</v>
      </c>
      <c r="K6" s="33"/>
      <c r="L6" s="33"/>
      <c r="M6" s="33"/>
      <c r="N6" s="33">
        <f>$C$26*'E Balans VL '!Y12/100/3.6*1000000</f>
        <v>64.651192056098139</v>
      </c>
      <c r="O6" s="33"/>
      <c r="P6" s="33"/>
      <c r="R6" s="32"/>
    </row>
    <row r="7" spans="1:18">
      <c r="A7" s="32" t="s">
        <v>53</v>
      </c>
      <c r="B7" s="37">
        <f t="shared" ref="B7:B12" si="0">B27</f>
        <v>2411.5520000000001</v>
      </c>
      <c r="C7" s="33"/>
      <c r="D7" s="37">
        <f>IF(ISERROR(TER_horeca_gas_kWh/1000),0,TER_horeca_gas_kWh/1000)*0.902</f>
        <v>2255.7344705352439</v>
      </c>
      <c r="E7" s="33">
        <f>$C$27*'E Balans VL '!I9/100/3.6*1000000</f>
        <v>101.23021521687565</v>
      </c>
      <c r="F7" s="33">
        <f>$C$27*('E Balans VL '!L9+'E Balans VL '!N9)/100/3.6*1000000</f>
        <v>518.17140073143935</v>
      </c>
      <c r="G7" s="34"/>
      <c r="H7" s="33"/>
      <c r="I7" s="33"/>
      <c r="J7" s="33">
        <f>$C$27*('E Balans VL '!D9+'E Balans VL '!E9)/100/3.6*1000000</f>
        <v>0</v>
      </c>
      <c r="K7" s="33"/>
      <c r="L7" s="33"/>
      <c r="M7" s="33"/>
      <c r="N7" s="33">
        <f>$C$27*'E Balans VL '!Y9/100/3.6*1000000</f>
        <v>0.62143586061267919</v>
      </c>
      <c r="O7" s="33"/>
      <c r="P7" s="33"/>
      <c r="R7" s="32"/>
    </row>
    <row r="8" spans="1:18">
      <c r="A8" s="6" t="s">
        <v>52</v>
      </c>
      <c r="B8" s="37">
        <f t="shared" si="0"/>
        <v>6754.3940000000002</v>
      </c>
      <c r="C8" s="33"/>
      <c r="D8" s="37">
        <f>IF(ISERROR(TER_handel_gas_kWh/1000),0,TER_handel_gas_kWh/1000)*0.902</f>
        <v>3646.3115535399038</v>
      </c>
      <c r="E8" s="33">
        <f>$C$28*'E Balans VL '!I13/100/3.6*1000000</f>
        <v>72.54781308232549</v>
      </c>
      <c r="F8" s="33">
        <f>$C$28*('E Balans VL '!L13+'E Balans VL '!N13)/100/3.6*1000000</f>
        <v>874.41207993582839</v>
      </c>
      <c r="G8" s="34"/>
      <c r="H8" s="33"/>
      <c r="I8" s="33"/>
      <c r="J8" s="33">
        <f>$C$28*('E Balans VL '!D13+'E Balans VL '!E13)/100/3.6*1000000</f>
        <v>0</v>
      </c>
      <c r="K8" s="33"/>
      <c r="L8" s="33"/>
      <c r="M8" s="33"/>
      <c r="N8" s="33">
        <f>$C$28*'E Balans VL '!Y13/100/3.6*1000000</f>
        <v>54.792012933947909</v>
      </c>
      <c r="O8" s="33"/>
      <c r="P8" s="33"/>
      <c r="R8" s="32"/>
    </row>
    <row r="9" spans="1:18">
      <c r="A9" s="32" t="s">
        <v>51</v>
      </c>
      <c r="B9" s="37">
        <f t="shared" si="0"/>
        <v>1482.943</v>
      </c>
      <c r="C9" s="33"/>
      <c r="D9" s="37">
        <f>IF(ISERROR(TER_gezond_gas_kWh/1000),0,TER_gezond_gas_kWh/1000)*0.902</f>
        <v>1028.7487280429841</v>
      </c>
      <c r="E9" s="33">
        <f>$C$29*'E Balans VL '!I10/100/3.6*1000000</f>
        <v>1.1805185421836231</v>
      </c>
      <c r="F9" s="33">
        <f>$C$29*('E Balans VL '!L10+'E Balans VL '!N10)/100/3.6*1000000</f>
        <v>180.27315210659989</v>
      </c>
      <c r="G9" s="34"/>
      <c r="H9" s="33"/>
      <c r="I9" s="33"/>
      <c r="J9" s="33">
        <f>$C$29*('E Balans VL '!D10+'E Balans VL '!E10)/100/3.6*1000000</f>
        <v>0</v>
      </c>
      <c r="K9" s="33"/>
      <c r="L9" s="33"/>
      <c r="M9" s="33"/>
      <c r="N9" s="33">
        <f>$C$29*'E Balans VL '!Y10/100/3.6*1000000</f>
        <v>11.978820674065817</v>
      </c>
      <c r="O9" s="33"/>
      <c r="P9" s="33"/>
      <c r="R9" s="32"/>
    </row>
    <row r="10" spans="1:18">
      <c r="A10" s="32" t="s">
        <v>50</v>
      </c>
      <c r="B10" s="37">
        <f t="shared" si="0"/>
        <v>2978.6370000000002</v>
      </c>
      <c r="C10" s="33"/>
      <c r="D10" s="37">
        <f>IF(ISERROR(TER_ander_gas_kWh/1000),0,TER_ander_gas_kWh/1000)*0.902</f>
        <v>1188.1268262244041</v>
      </c>
      <c r="E10" s="33">
        <f>$C$30*'E Balans VL '!I14/100/3.6*1000000</f>
        <v>10.20794547652976</v>
      </c>
      <c r="F10" s="33">
        <f>$C$30*('E Balans VL '!L14+'E Balans VL '!N14)/100/3.6*1000000</f>
        <v>665.30646825012002</v>
      </c>
      <c r="G10" s="34"/>
      <c r="H10" s="33"/>
      <c r="I10" s="33"/>
      <c r="J10" s="33">
        <f>$C$30*('E Balans VL '!D14+'E Balans VL '!E14)/100/3.6*1000000</f>
        <v>0</v>
      </c>
      <c r="K10" s="33"/>
      <c r="L10" s="33"/>
      <c r="M10" s="33"/>
      <c r="N10" s="33">
        <f>$C$30*'E Balans VL '!Y14/100/3.6*1000000</f>
        <v>2098.168174775858</v>
      </c>
      <c r="O10" s="33"/>
      <c r="P10" s="33"/>
      <c r="R10" s="32"/>
    </row>
    <row r="11" spans="1:18">
      <c r="A11" s="32" t="s">
        <v>55</v>
      </c>
      <c r="B11" s="37">
        <f t="shared" si="0"/>
        <v>490.52359999999999</v>
      </c>
      <c r="C11" s="33"/>
      <c r="D11" s="37">
        <f>IF(ISERROR(TER_onderwijs_gas_kWh/1000),0,TER_onderwijs_gas_kWh/1000)*0.902</f>
        <v>1711.4491512470088</v>
      </c>
      <c r="E11" s="33">
        <f>$C$31*'E Balans VL '!I11/100/3.6*1000000</f>
        <v>0.3390838577420548</v>
      </c>
      <c r="F11" s="33">
        <f>$C$31*('E Balans VL '!L11+'E Balans VL '!N11)/100/3.6*1000000</f>
        <v>128.40482973622051</v>
      </c>
      <c r="G11" s="34"/>
      <c r="H11" s="33"/>
      <c r="I11" s="33"/>
      <c r="J11" s="33">
        <f>$C$31*('E Balans VL '!D11+'E Balans VL '!E11)/100/3.6*1000000</f>
        <v>0</v>
      </c>
      <c r="K11" s="33"/>
      <c r="L11" s="33"/>
      <c r="M11" s="33"/>
      <c r="N11" s="33">
        <f>$C$31*'E Balans VL '!Y11/100/3.6*1000000</f>
        <v>0.48827446425890142</v>
      </c>
      <c r="O11" s="33"/>
      <c r="P11" s="33"/>
      <c r="R11" s="32"/>
    </row>
    <row r="12" spans="1:18">
      <c r="A12" s="32" t="s">
        <v>260</v>
      </c>
      <c r="B12" s="37">
        <f t="shared" si="0"/>
        <v>7030.7150000000001</v>
      </c>
      <c r="C12" s="33"/>
      <c r="D12" s="37">
        <f>IF(ISERROR(TER_rest_gas_kWh/1000),0,TER_rest_gas_kWh/1000)*0.902</f>
        <v>6257.6030475758753</v>
      </c>
      <c r="E12" s="33">
        <f>$C$32*'E Balans VL '!I8/100/3.6*1000000</f>
        <v>63.565751308476564</v>
      </c>
      <c r="F12" s="33">
        <f>$C$32*('E Balans VL '!L8+'E Balans VL '!N8)/100/3.6*1000000</f>
        <v>1036.383979988587</v>
      </c>
      <c r="G12" s="34"/>
      <c r="H12" s="33"/>
      <c r="I12" s="33"/>
      <c r="J12" s="33">
        <f>$C$32*('E Balans VL '!D8+'E Balans VL '!E8)/100/3.6*1000000</f>
        <v>0</v>
      </c>
      <c r="K12" s="33"/>
      <c r="L12" s="33"/>
      <c r="M12" s="33"/>
      <c r="N12" s="33">
        <f>$C$32*'E Balans VL '!Y8/100/3.6*1000000</f>
        <v>599.62594238826227</v>
      </c>
      <c r="O12" s="33"/>
      <c r="P12" s="33"/>
      <c r="R12" s="32"/>
    </row>
    <row r="13" spans="1:18">
      <c r="A13" s="16" t="s">
        <v>494</v>
      </c>
      <c r="B13" s="247">
        <f ca="1">'lokale energieproductie'!N90+'lokale energieproductie'!N59</f>
        <v>50.625</v>
      </c>
      <c r="C13" s="247">
        <f ca="1">'lokale energieproductie'!O90+'lokale energieproductie'!O59</f>
        <v>72.321428571428569</v>
      </c>
      <c r="D13" s="310">
        <f ca="1">('lokale energieproductie'!P59+'lokale energieproductie'!P90)*(-1)</f>
        <v>-144.64285714285714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27658.525600000001</v>
      </c>
      <c r="C16" s="21">
        <f t="shared" ca="1" si="1"/>
        <v>72.321428571428569</v>
      </c>
      <c r="D16" s="21">
        <f t="shared" ca="1" si="1"/>
        <v>25486.126963027706</v>
      </c>
      <c r="E16" s="21">
        <f t="shared" si="1"/>
        <v>267.78439216575975</v>
      </c>
      <c r="F16" s="21">
        <f t="shared" ca="1" si="1"/>
        <v>4133.9838001494127</v>
      </c>
      <c r="G16" s="21">
        <f t="shared" si="1"/>
        <v>0</v>
      </c>
      <c r="H16" s="21">
        <f t="shared" si="1"/>
        <v>0</v>
      </c>
      <c r="I16" s="21">
        <f t="shared" si="1"/>
        <v>0</v>
      </c>
      <c r="J16" s="21">
        <f t="shared" si="1"/>
        <v>0</v>
      </c>
      <c r="K16" s="21">
        <f t="shared" si="1"/>
        <v>0</v>
      </c>
      <c r="L16" s="21">
        <f t="shared" ca="1" si="1"/>
        <v>0</v>
      </c>
      <c r="M16" s="21">
        <f t="shared" si="1"/>
        <v>0</v>
      </c>
      <c r="N16" s="21">
        <f t="shared" ca="1" si="1"/>
        <v>2830.3258531531037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0.19743346062490297</v>
      </c>
      <c r="C18" s="25">
        <f ca="1">'EF ele_warmte'!B22</f>
        <v>0.23764705882352935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5460.7184249904712</v>
      </c>
      <c r="C20" s="23">
        <f t="shared" ref="C20:P20" ca="1" si="2">C16*C18</f>
        <v>17.186974789915961</v>
      </c>
      <c r="D20" s="23">
        <f t="shared" ca="1" si="2"/>
        <v>5148.1976465315965</v>
      </c>
      <c r="E20" s="23">
        <f t="shared" si="2"/>
        <v>60.787057021627469</v>
      </c>
      <c r="F20" s="23">
        <f t="shared" ca="1" si="2"/>
        <v>1103.7736746398932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6459.1360000000004</v>
      </c>
      <c r="C26" s="39">
        <f>IF(ISERROR(B26*3.6/1000000/'E Balans VL '!Z12*100),0,B26*3.6/1000000/'E Balans VL '!Z12*100)</f>
        <v>0.14188238974899178</v>
      </c>
      <c r="D26" s="237" t="s">
        <v>692</v>
      </c>
      <c r="F26" s="6"/>
    </row>
    <row r="27" spans="1:18">
      <c r="A27" s="231" t="s">
        <v>53</v>
      </c>
      <c r="B27" s="33">
        <f>IF(ISERROR(TER_horeca_ele_kWh/1000),0,TER_horeca_ele_kWh/1000)</f>
        <v>2411.5520000000001</v>
      </c>
      <c r="C27" s="39">
        <f>IF(ISERROR(B27*3.6/1000000/'E Balans VL '!Z9*100),0,B27*3.6/1000000/'E Balans VL '!Z9*100)</f>
        <v>0.19379224183425822</v>
      </c>
      <c r="D27" s="237" t="s">
        <v>692</v>
      </c>
      <c r="F27" s="6"/>
    </row>
    <row r="28" spans="1:18">
      <c r="A28" s="171" t="s">
        <v>52</v>
      </c>
      <c r="B28" s="33">
        <f>IF(ISERROR(TER_handel_ele_kWh/1000),0,TER_handel_ele_kWh/1000)</f>
        <v>6754.3940000000002</v>
      </c>
      <c r="C28" s="39">
        <f>IF(ISERROR(B28*3.6/1000000/'E Balans VL '!Z13*100),0,B28*3.6/1000000/'E Balans VL '!Z13*100)</f>
        <v>0.19972271186127472</v>
      </c>
      <c r="D28" s="237" t="s">
        <v>692</v>
      </c>
      <c r="F28" s="6"/>
    </row>
    <row r="29" spans="1:18">
      <c r="A29" s="231" t="s">
        <v>51</v>
      </c>
      <c r="B29" s="33">
        <f>IF(ISERROR(TER_gezond_ele_kWh/1000),0,TER_gezond_ele_kWh/1000)</f>
        <v>1482.943</v>
      </c>
      <c r="C29" s="39">
        <f>IF(ISERROR(B29*3.6/1000000/'E Balans VL '!Z10*100),0,B29*3.6/1000000/'E Balans VL '!Z10*100)</f>
        <v>0.16708938988667824</v>
      </c>
      <c r="D29" s="237" t="s">
        <v>692</v>
      </c>
      <c r="F29" s="6"/>
    </row>
    <row r="30" spans="1:18">
      <c r="A30" s="231" t="s">
        <v>50</v>
      </c>
      <c r="B30" s="33">
        <f>IF(ISERROR(TER_ander_ele_kWh/1000),0,TER_ander_ele_kWh/1000)</f>
        <v>2978.6370000000002</v>
      </c>
      <c r="C30" s="39">
        <f>IF(ISERROR(B30*3.6/1000000/'E Balans VL '!Z14*100),0,B30*3.6/1000000/'E Balans VL '!Z14*100)</f>
        <v>0.22526922456004317</v>
      </c>
      <c r="D30" s="237" t="s">
        <v>692</v>
      </c>
      <c r="F30" s="6"/>
    </row>
    <row r="31" spans="1:18">
      <c r="A31" s="231" t="s">
        <v>55</v>
      </c>
      <c r="B31" s="33">
        <f>IF(ISERROR(TER_onderwijs_ele_kWh/1000),0,TER_onderwijs_ele_kWh/1000)</f>
        <v>490.52359999999999</v>
      </c>
      <c r="C31" s="39">
        <f>IF(ISERROR(B31*3.6/1000000/'E Balans VL '!Z11*100),0,B31*3.6/1000000/'E Balans VL '!Z11*100)</f>
        <v>0.10182131234347547</v>
      </c>
      <c r="D31" s="237" t="s">
        <v>692</v>
      </c>
    </row>
    <row r="32" spans="1:18">
      <c r="A32" s="231" t="s">
        <v>260</v>
      </c>
      <c r="B32" s="33">
        <f>IF(ISERROR(TER_rest_ele_kWh/1000),0,TER_rest_ele_kWh/1000)</f>
        <v>7030.7150000000001</v>
      </c>
      <c r="C32" s="39">
        <f>IF(ISERROR(B32*3.6/1000000/'E Balans VL '!Z8*100),0,B32*3.6/1000000/'E Balans VL '!Z8*100)</f>
        <v>5.9229637845430658E-2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121821.03599999999</v>
      </c>
      <c r="C5" s="17">
        <f>IF(ISERROR('Eigen informatie GS &amp; warmtenet'!B59),0,'Eigen informatie GS &amp; warmtenet'!B59)</f>
        <v>0</v>
      </c>
      <c r="D5" s="30">
        <f>SUM(D6:D15)</f>
        <v>150821.68291280791</v>
      </c>
      <c r="E5" s="17">
        <f>SUM(E6:E15)</f>
        <v>5195.641412824797</v>
      </c>
      <c r="F5" s="17">
        <f>SUM(F6:F15)</f>
        <v>46393.335011614261</v>
      </c>
      <c r="G5" s="18"/>
      <c r="H5" s="17"/>
      <c r="I5" s="17"/>
      <c r="J5" s="17">
        <f>SUM(J6:J15)</f>
        <v>532.64701850983602</v>
      </c>
      <c r="K5" s="17"/>
      <c r="L5" s="17"/>
      <c r="M5" s="17"/>
      <c r="N5" s="17">
        <f>SUM(N6:N15)</f>
        <v>19846.035051082596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1554.63</v>
      </c>
      <c r="C8" s="33"/>
      <c r="D8" s="37">
        <f>IF( ISERROR(IND_metaal_Gas_kWH/1000),0,IND_metaal_Gas_kWH/1000)*0.902</f>
        <v>208.34386259980394</v>
      </c>
      <c r="E8" s="33">
        <f>C30*'E Balans VL '!I18/100/3.6*1000000</f>
        <v>38.906947811567719</v>
      </c>
      <c r="F8" s="33">
        <f>C30*'E Balans VL '!L18/100/3.6*1000000+C30*'E Balans VL '!N18/100/3.6*1000000</f>
        <v>487.22877512731907</v>
      </c>
      <c r="G8" s="34"/>
      <c r="H8" s="33"/>
      <c r="I8" s="33"/>
      <c r="J8" s="40">
        <f>C30*'E Balans VL '!D18/100/3.6*1000000+C30*'E Balans VL '!E18/100/3.6*1000000</f>
        <v>0</v>
      </c>
      <c r="K8" s="33"/>
      <c r="L8" s="33"/>
      <c r="M8" s="33"/>
      <c r="N8" s="33">
        <f>C30*'E Balans VL '!Y18/100/3.6*1000000</f>
        <v>39.056340216671288</v>
      </c>
      <c r="O8" s="33"/>
      <c r="P8" s="33"/>
      <c r="R8" s="32"/>
    </row>
    <row r="9" spans="1:18">
      <c r="A9" s="6" t="s">
        <v>33</v>
      </c>
      <c r="B9" s="37">
        <f t="shared" si="0"/>
        <v>9651.1640000000007</v>
      </c>
      <c r="C9" s="33"/>
      <c r="D9" s="37">
        <f>IF( ISERROR(IND_andere_gas_kWh/1000),0,IND_andere_gas_kWh/1000)*0.902</f>
        <v>1060.9411989966957</v>
      </c>
      <c r="E9" s="33">
        <f>C31*'E Balans VL '!I19/100/3.6*1000000</f>
        <v>2653.6742569719922</v>
      </c>
      <c r="F9" s="33">
        <f>C31*'E Balans VL '!L19/100/3.6*1000000+C31*'E Balans VL '!N19/100/3.6*1000000</f>
        <v>7606.796655115154</v>
      </c>
      <c r="G9" s="34"/>
      <c r="H9" s="33"/>
      <c r="I9" s="33"/>
      <c r="J9" s="40">
        <f>C31*'E Balans VL '!D19/100/3.6*1000000+C31*'E Balans VL '!E19/100/3.6*1000000</f>
        <v>0</v>
      </c>
      <c r="K9" s="33"/>
      <c r="L9" s="33"/>
      <c r="M9" s="33"/>
      <c r="N9" s="33">
        <f>C31*'E Balans VL '!Y19/100/3.6*1000000</f>
        <v>3124.3365349002711</v>
      </c>
      <c r="O9" s="33"/>
      <c r="P9" s="33"/>
      <c r="R9" s="32"/>
    </row>
    <row r="10" spans="1:18">
      <c r="A10" s="6" t="s">
        <v>41</v>
      </c>
      <c r="B10" s="37">
        <f t="shared" si="0"/>
        <v>14843.093000000001</v>
      </c>
      <c r="C10" s="33"/>
      <c r="D10" s="37">
        <f>IF( ISERROR(IND_voed_gas_kWh/1000),0,IND_voed_gas_kWh/1000)*0.902</f>
        <v>26640.654041726961</v>
      </c>
      <c r="E10" s="33">
        <f>C32*'E Balans VL '!I20/100/3.6*1000000</f>
        <v>151.31715602840754</v>
      </c>
      <c r="F10" s="33">
        <f>C32*'E Balans VL '!L20/100/3.6*1000000+C32*'E Balans VL '!N20/100/3.6*1000000</f>
        <v>28038.509842414696</v>
      </c>
      <c r="G10" s="34"/>
      <c r="H10" s="33"/>
      <c r="I10" s="33"/>
      <c r="J10" s="40">
        <f>C32*'E Balans VL '!D20/100/3.6*1000000+C32*'E Balans VL '!E20/100/3.6*1000000</f>
        <v>355.24378231017732</v>
      </c>
      <c r="K10" s="33"/>
      <c r="L10" s="33"/>
      <c r="M10" s="33"/>
      <c r="N10" s="33">
        <f>C32*'E Balans VL '!Y20/100/3.6*1000000</f>
        <v>7824.0197256622923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53486.269</v>
      </c>
      <c r="C14" s="33"/>
      <c r="D14" s="37">
        <f>IF( ISERROR(IND_chemie_gas_kWh/1000),0,IND_chemie_gas_kWh/1000)*0.902</f>
        <v>94954.905042745435</v>
      </c>
      <c r="E14" s="33">
        <f>C36*'E Balans VL '!I24/100/3.6*1000000</f>
        <v>200.5288125862503</v>
      </c>
      <c r="F14" s="33">
        <f>C36*'E Balans VL '!L24/100/3.6*1000000+C36*'E Balans VL '!N24/100/3.6*1000000</f>
        <v>622.25671391297783</v>
      </c>
      <c r="G14" s="34"/>
      <c r="H14" s="33"/>
      <c r="I14" s="33"/>
      <c r="J14" s="40">
        <f>C36*'E Balans VL '!D24/100/3.6*1000000+C36*'E Balans VL '!E24/100/3.6*1000000</f>
        <v>0</v>
      </c>
      <c r="K14" s="33"/>
      <c r="L14" s="33"/>
      <c r="M14" s="33"/>
      <c r="N14" s="33">
        <f>C36*'E Balans VL '!Y24/100/3.6*1000000</f>
        <v>913.78723676117227</v>
      </c>
      <c r="O14" s="33"/>
      <c r="P14" s="33"/>
      <c r="R14" s="32"/>
    </row>
    <row r="15" spans="1:18">
      <c r="A15" s="6" t="s">
        <v>270</v>
      </c>
      <c r="B15" s="37">
        <f t="shared" si="0"/>
        <v>42285.88</v>
      </c>
      <c r="C15" s="33"/>
      <c r="D15" s="37">
        <f>IF( ISERROR(IND_rest_gas_kWh/1000),0,IND_rest_gas_kWh/1000)*0.902</f>
        <v>27956.838766739034</v>
      </c>
      <c r="E15" s="33">
        <f>C37*'E Balans VL '!I15/100/3.6*1000000</f>
        <v>2151.2142394265793</v>
      </c>
      <c r="F15" s="33">
        <f>C37*'E Balans VL '!L15/100/3.6*1000000+C37*'E Balans VL '!N15/100/3.6*1000000</f>
        <v>9638.5430250441132</v>
      </c>
      <c r="G15" s="34"/>
      <c r="H15" s="33"/>
      <c r="I15" s="33"/>
      <c r="J15" s="40">
        <f>C37*'E Balans VL '!D15/100/3.6*1000000+C37*'E Balans VL '!E15/100/3.6*1000000</f>
        <v>177.40323619965864</v>
      </c>
      <c r="K15" s="33"/>
      <c r="L15" s="33"/>
      <c r="M15" s="33"/>
      <c r="N15" s="33">
        <f>C37*'E Balans VL '!Y15/100/3.6*1000000</f>
        <v>7944.8352135421883</v>
      </c>
      <c r="O15" s="33"/>
      <c r="P15" s="33"/>
      <c r="R15" s="32"/>
    </row>
    <row r="16" spans="1:18">
      <c r="A16" s="16" t="s">
        <v>494</v>
      </c>
      <c r="B16" s="247">
        <f>'lokale energieproductie'!N89+'lokale energieproductie'!N58</f>
        <v>14660.999999999998</v>
      </c>
      <c r="C16" s="247">
        <f>'lokale energieproductie'!O89+'lokale energieproductie'!O58</f>
        <v>20944.28571428571</v>
      </c>
      <c r="D16" s="310">
        <f>('lokale energieproductie'!P58+'lokale energieproductie'!P89)*(-1)</f>
        <v>-41888.57142857142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136482.03599999999</v>
      </c>
      <c r="C18" s="21">
        <f>C5+C16</f>
        <v>20944.28571428571</v>
      </c>
      <c r="D18" s="21">
        <f>MAX((D5+D16),0)</f>
        <v>108933.11148423649</v>
      </c>
      <c r="E18" s="21">
        <f>MAX((E5+E16),0)</f>
        <v>5195.641412824797</v>
      </c>
      <c r="F18" s="21">
        <f>MAX((F5+F16),0)</f>
        <v>46393.335011614261</v>
      </c>
      <c r="G18" s="21"/>
      <c r="H18" s="21"/>
      <c r="I18" s="21"/>
      <c r="J18" s="21">
        <f>MAX((J5+J16),0)</f>
        <v>532.64701850983602</v>
      </c>
      <c r="K18" s="21"/>
      <c r="L18" s="21">
        <f>MAX((L5+L16),0)</f>
        <v>0</v>
      </c>
      <c r="M18" s="21"/>
      <c r="N18" s="21">
        <f>MAX((N5+N16),0)</f>
        <v>19846.035051082596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0.19743346062490297</v>
      </c>
      <c r="C20" s="25">
        <f ca="1">'EF ele_warmte'!B22</f>
        <v>0.23764705882352935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26946.120680612588</v>
      </c>
      <c r="C22" s="23">
        <f ca="1">C18*C20</f>
        <v>4977.3478991596612</v>
      </c>
      <c r="D22" s="23">
        <f>D18*D20</f>
        <v>22004.488519815772</v>
      </c>
      <c r="E22" s="23">
        <f>E18*E20</f>
        <v>1179.4106007112289</v>
      </c>
      <c r="F22" s="23">
        <f>F18*F20</f>
        <v>12387.020448101008</v>
      </c>
      <c r="G22" s="23"/>
      <c r="H22" s="23"/>
      <c r="I22" s="23"/>
      <c r="J22" s="23">
        <f>J18*J20</f>
        <v>188.55704455248193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1554.63</v>
      </c>
      <c r="C30" s="39">
        <f>IF(ISERROR(B30*3.6/1000000/'E Balans VL '!Z18*100),0,B30*3.6/1000000/'E Balans VL '!Z18*100)</f>
        <v>0.2175963913829044</v>
      </c>
      <c r="D30" s="237" t="s">
        <v>692</v>
      </c>
    </row>
    <row r="31" spans="1:18">
      <c r="A31" s="6" t="s">
        <v>33</v>
      </c>
      <c r="B31" s="37">
        <f>IF( ISERROR(IND_ander_ele_kWh/1000),0,IND_ander_ele_kWh/1000)</f>
        <v>9651.1640000000007</v>
      </c>
      <c r="C31" s="39">
        <f>IF(ISERROR(B31*3.6/1000000/'E Balans VL '!Z19*100),0,B31*3.6/1000000/'E Balans VL '!Z19*100)</f>
        <v>0.42242988263876186</v>
      </c>
      <c r="D31" s="237" t="s">
        <v>692</v>
      </c>
    </row>
    <row r="32" spans="1:18">
      <c r="A32" s="171" t="s">
        <v>41</v>
      </c>
      <c r="B32" s="37">
        <f>IF( ISERROR(IND_voed_ele_kWh/1000),0,IND_voed_ele_kWh/1000)</f>
        <v>14843.093000000001</v>
      </c>
      <c r="C32" s="39">
        <f>IF(ISERROR(B32*3.6/1000000/'E Balans VL '!Z20*100),0,B32*3.6/1000000/'E Balans VL '!Z20*100)</f>
        <v>3.6746569119947301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53486.269</v>
      </c>
      <c r="C36" s="39">
        <f>IF(ISERROR(B36*3.6/1000000/'E Balans VL '!Z24*100),0,B36*3.6/1000000/'E Balans VL '!Z24*100)</f>
        <v>1.3638182214329682</v>
      </c>
      <c r="D36" s="237" t="s">
        <v>692</v>
      </c>
    </row>
    <row r="37" spans="1:5">
      <c r="A37" s="171" t="s">
        <v>270</v>
      </c>
      <c r="B37" s="37">
        <f>IF( ISERROR(IND_rest_ele_kWh/1000),0,IND_rest_ele_kWh/1000)</f>
        <v>42285.88</v>
      </c>
      <c r="C37" s="39">
        <f>IF(ISERROR(B37*3.6/1000000/'E Balans VL '!Z15*100),0,B37*3.6/1000000/'E Balans VL '!Z15*100)</f>
        <v>0.31354256055098778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923.46749999999997</v>
      </c>
      <c r="C5" s="17">
        <f>'Eigen informatie GS &amp; warmtenet'!B60</f>
        <v>0</v>
      </c>
      <c r="D5" s="30">
        <f>IF(ISERROR(SUM(LB_lb_gas_kWh,LB_rest_gas_kWh,onbekend_gas_kWh)/1000),0,SUM(LB_lb_gas_kWh,LB_rest_gas_kWh,onbekend_gas_kWh)/1000)*0.902</f>
        <v>2209.8001060756246</v>
      </c>
      <c r="E5" s="17">
        <f>B17*'E Balans VL '!I25/3.6*1000000/100</f>
        <v>8.553542768742906</v>
      </c>
      <c r="F5" s="17">
        <f>B17*('E Balans VL '!L25/3.6*1000000+'E Balans VL '!N25/3.6*1000000)/100</f>
        <v>2343.0129678782168</v>
      </c>
      <c r="G5" s="18"/>
      <c r="H5" s="17"/>
      <c r="I5" s="17"/>
      <c r="J5" s="17">
        <f>('E Balans VL '!D25+'E Balans VL '!E25)/3.6*1000000*landbouw!B17/100</f>
        <v>141.57787367737882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923.46749999999997</v>
      </c>
      <c r="C8" s="21">
        <f>C5+C6</f>
        <v>0</v>
      </c>
      <c r="D8" s="21">
        <f>MAX((D5+D6),0)</f>
        <v>2209.8001060756246</v>
      </c>
      <c r="E8" s="21">
        <f>MAX((E5+E6),0)</f>
        <v>8.553542768742906</v>
      </c>
      <c r="F8" s="21">
        <f>MAX((F5+F6),0)</f>
        <v>2343.0129678782168</v>
      </c>
      <c r="G8" s="21"/>
      <c r="H8" s="21"/>
      <c r="I8" s="21"/>
      <c r="J8" s="21">
        <f>MAX((J5+J6),0)</f>
        <v>141.57787367737882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0.19743346062490297</v>
      </c>
      <c r="C10" s="31">
        <f ca="1">'EF ele_warmte'!B22</f>
        <v>0.23764705882352935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182.32338429962758</v>
      </c>
      <c r="C12" s="23">
        <f ca="1">C8*C10</f>
        <v>0</v>
      </c>
      <c r="D12" s="23">
        <f>D8*D10</f>
        <v>446.37962142727622</v>
      </c>
      <c r="E12" s="23">
        <f>E8*E10</f>
        <v>1.9416542085046398</v>
      </c>
      <c r="F12" s="23">
        <f>F8*F10</f>
        <v>625.58446242348396</v>
      </c>
      <c r="G12" s="23"/>
      <c r="H12" s="23"/>
      <c r="I12" s="23"/>
      <c r="J12" s="23">
        <f>J8*J10</f>
        <v>50.118567281792096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0.13129749760446041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102.09472995725879</v>
      </c>
      <c r="C26" s="247">
        <f>B26*'GWP N2O_CH4'!B5</f>
        <v>2143.9893291024346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25.622603507089231</v>
      </c>
      <c r="C27" s="247">
        <f>B27*'GWP N2O_CH4'!B5</f>
        <v>538.07467364887384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1.6495301756283349</v>
      </c>
      <c r="C28" s="247">
        <f>B28*'GWP N2O_CH4'!B4</f>
        <v>511.35435444478384</v>
      </c>
      <c r="D28" s="50"/>
    </row>
    <row r="29" spans="1:4">
      <c r="A29" s="41" t="s">
        <v>277</v>
      </c>
      <c r="B29" s="247">
        <f>B34*'ha_N2O bodem landbouw'!B4</f>
        <v>7.6789530912036783</v>
      </c>
      <c r="C29" s="247">
        <f>B29*'GWP N2O_CH4'!B4</f>
        <v>2380.4754582731402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1.7222538958570886E-3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1.8698095431409314E-4</v>
      </c>
      <c r="C5" s="464" t="s">
        <v>211</v>
      </c>
      <c r="D5" s="449">
        <f>SUM(D6:D11)</f>
        <v>4.9176792314501751E-4</v>
      </c>
      <c r="E5" s="449">
        <f>SUM(E6:E11)</f>
        <v>3.2722768294991462E-3</v>
      </c>
      <c r="F5" s="462" t="s">
        <v>211</v>
      </c>
      <c r="G5" s="449">
        <f>SUM(G6:G11)</f>
        <v>1.1893345714811892</v>
      </c>
      <c r="H5" s="449">
        <f>SUM(H6:H11)</f>
        <v>0.18741865968669025</v>
      </c>
      <c r="I5" s="464" t="s">
        <v>211</v>
      </c>
      <c r="J5" s="464" t="s">
        <v>211</v>
      </c>
      <c r="K5" s="464" t="s">
        <v>211</v>
      </c>
      <c r="L5" s="464" t="s">
        <v>211</v>
      </c>
      <c r="M5" s="449">
        <f>SUM(M6:M11)</f>
        <v>7.4566972827337111E-2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1.2139230170468979E-4</v>
      </c>
      <c r="C6" s="450"/>
      <c r="D6" s="963">
        <f>vkm_2011_GW_PW*SUMIFS(TableVerdeelsleutelVkm[CNG],TableVerdeelsleutelVkm[Voertuigtype],"Lichte voertuigen")*SUMIFS(TableECFTransport[EnergieConsumptieFactor (PJ per km)],TableECFTransport[Index],CONCATENATE($A6,"_CNG_CNG"))</f>
        <v>2.8079375858173502E-4</v>
      </c>
      <c r="E6" s="963">
        <f>vkm_2011_GW_PW*SUMIFS(TableVerdeelsleutelVkm[LPG],TableVerdeelsleutelVkm[Voertuigtype],"Lichte voertuigen")*SUMIFS(TableECFTransport[EnergieConsumptieFactor (PJ per km)],TableECFTransport[Index],CONCATENATE($A6,"_LPG_LPG"))</f>
        <v>1.8283593892831284E-3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0.37982813642731239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0.10706570227590166</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2.5267266204241488E-2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0.34913645967349216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1.1939832859486635E-4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2.0199523187374405E-2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3.1155158654457054E-5</v>
      </c>
      <c r="C8" s="450"/>
      <c r="D8" s="452">
        <f>vkm_2011_NGW_PW*SUMIFS(TableVerdeelsleutelVkm[CNG],TableVerdeelsleutelVkm[Voertuigtype],"Lichte voertuigen")*SUMIFS(TableECFTransport[EnergieConsumptieFactor (PJ per km)],TableECFTransport[Index],CONCATENATE($A8,"_CNG_CNG"))</f>
        <v>1.2746247629217463E-4</v>
      </c>
      <c r="E8" s="452">
        <f>vkm_2011_NGW_PW*SUMIFS(TableVerdeelsleutelVkm[LPG],TableVerdeelsleutelVkm[Voertuigtype],"Lichte voertuigen")*SUMIFS(TableECFTransport[EnergieConsumptieFactor (PJ per km)],TableECFTransport[Index],CONCATENATE($A8,"_LPG_LPG"))</f>
        <v>7.6596550815766272E-4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0.14874937643146341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4.6993744169813563E-2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1.0051147081251136E-2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0.10326346815043559</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3.3414855409896903E-5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5.9743184834810739E-3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3.4433493954946289E-5</v>
      </c>
      <c r="C10" s="450"/>
      <c r="D10" s="452">
        <f>vkm_2011_SW_PW*SUMIFS(TableVerdeelsleutelVkm[CNG],TableVerdeelsleutelVkm[Voertuigtype],"Lichte voertuigen")*SUMIFS(TableECFTransport[EnergieConsumptieFactor (PJ per km)],TableECFTransport[Index],CONCATENATE($A10,"_CNG_CNG"))</f>
        <v>8.3511688271107839E-5</v>
      </c>
      <c r="E10" s="452">
        <f>vkm_2011_SW_PW*SUMIFS(TableVerdeelsleutelVkm[LPG],TableVerdeelsleutelVkm[Voertuigtype],"Lichte voertuigen")*SUMIFS(TableECFTransport[EnergieConsumptieFactor (PJ per km)],TableECFTransport[Index],CONCATENATE($A10,"_LPG_LPG"))</f>
        <v>6.7795193205835496E-4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0.12679647697953017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3.3176339877853789E-2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8.3559050007362273E-3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8.1560653818955164E-2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3.0060179116469046E-5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4.7188128702527875E-3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51.939153976136978</v>
      </c>
      <c r="C14" s="21"/>
      <c r="D14" s="21">
        <f t="shared" ref="D14:M14" si="0">((D5)*10^9/3600)+D12</f>
        <v>136.60220087361597</v>
      </c>
      <c r="E14" s="21">
        <f t="shared" si="0"/>
        <v>908.96578597198504</v>
      </c>
      <c r="F14" s="21"/>
      <c r="G14" s="21">
        <f t="shared" si="0"/>
        <v>330370.71430033032</v>
      </c>
      <c r="H14" s="21">
        <f t="shared" si="0"/>
        <v>52060.738801858402</v>
      </c>
      <c r="I14" s="21"/>
      <c r="J14" s="21"/>
      <c r="K14" s="21"/>
      <c r="L14" s="21"/>
      <c r="M14" s="21">
        <f t="shared" si="0"/>
        <v>20713.048007593643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0.19743346062490297</v>
      </c>
      <c r="C16" s="56">
        <f ca="1">'EF ele_warmte'!B22</f>
        <v>0.23764705882352935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10.254526911438413</v>
      </c>
      <c r="C18" s="23"/>
      <c r="D18" s="23">
        <f t="shared" ref="D18:M18" si="1">D14*D16</f>
        <v>27.593644576470428</v>
      </c>
      <c r="E18" s="23">
        <f t="shared" si="1"/>
        <v>206.3352334156406</v>
      </c>
      <c r="F18" s="23"/>
      <c r="G18" s="23">
        <f t="shared" si="1"/>
        <v>88208.980718188206</v>
      </c>
      <c r="H18" s="23">
        <f t="shared" si="1"/>
        <v>12963.123961662743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5.7410381465090136E-3</v>
      </c>
      <c r="H50" s="321">
        <f t="shared" si="2"/>
        <v>0</v>
      </c>
      <c r="I50" s="321">
        <f t="shared" si="2"/>
        <v>0</v>
      </c>
      <c r="J50" s="321">
        <f t="shared" si="2"/>
        <v>0</v>
      </c>
      <c r="K50" s="321">
        <f t="shared" si="2"/>
        <v>0</v>
      </c>
      <c r="L50" s="321">
        <f t="shared" si="2"/>
        <v>0</v>
      </c>
      <c r="M50" s="321">
        <f t="shared" si="2"/>
        <v>3.2739466946513584E-4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5.7410381465090136E-3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3.2739466946513584E-4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1594.7328184747262</v>
      </c>
      <c r="H54" s="21">
        <f t="shared" si="3"/>
        <v>0</v>
      </c>
      <c r="I54" s="21">
        <f t="shared" si="3"/>
        <v>0</v>
      </c>
      <c r="J54" s="21">
        <f t="shared" si="3"/>
        <v>0</v>
      </c>
      <c r="K54" s="21">
        <f t="shared" si="3"/>
        <v>0</v>
      </c>
      <c r="L54" s="21">
        <f t="shared" si="3"/>
        <v>0</v>
      </c>
      <c r="M54" s="21">
        <f t="shared" si="3"/>
        <v>90.942963740315506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0.19743346062490297</v>
      </c>
      <c r="C56" s="56">
        <f ca="1">'EF ele_warmte'!B22</f>
        <v>0.23764705882352935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425.79366253275191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12088.39033298098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9909.9742175857573</v>
      </c>
      <c r="C6" s="1223"/>
      <c r="D6" s="1226"/>
      <c r="E6" s="1226"/>
      <c r="F6" s="1229"/>
      <c r="G6" s="1232"/>
      <c r="H6" s="1220"/>
      <c r="I6" s="1226"/>
      <c r="J6" s="1226"/>
      <c r="K6" s="1226"/>
      <c r="L6" s="1256"/>
      <c r="M6" s="576"/>
      <c r="N6" s="1268"/>
      <c r="O6" s="1269"/>
      <c r="Q6" s="574"/>
      <c r="R6" s="1253"/>
      <c r="S6" s="1253"/>
    </row>
    <row r="7" spans="1:19" s="564" customFormat="1">
      <c r="A7" s="577" t="s">
        <v>252</v>
      </c>
      <c r="B7" s="578">
        <f>N57</f>
        <v>14711.624999999998</v>
      </c>
      <c r="C7" s="579">
        <f>B100</f>
        <v>17307.794117647056</v>
      </c>
      <c r="D7" s="580"/>
      <c r="E7" s="580">
        <f>E100</f>
        <v>0</v>
      </c>
      <c r="F7" s="581"/>
      <c r="G7" s="582"/>
      <c r="H7" s="580">
        <f>I100</f>
        <v>0</v>
      </c>
      <c r="I7" s="580">
        <f>G100+F100</f>
        <v>0</v>
      </c>
      <c r="J7" s="580">
        <f>H100+D100+C100</f>
        <v>0</v>
      </c>
      <c r="K7" s="580"/>
      <c r="L7" s="583"/>
      <c r="M7" s="584">
        <f>C7*$C$11+D7*$D$11+E7*$E$11+F7*$F$11+G7*$G$11+H7*$H$11+I7*$I$11+J7*$J$11</f>
        <v>3496.1744117647054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36709.989550566737</v>
      </c>
      <c r="C9" s="595">
        <f t="shared" ref="C9:L9" si="0">SUM(C7:C8)</f>
        <v>17307.794117647056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3496.1744117647054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21016.607142857138</v>
      </c>
      <c r="C16" s="611">
        <f>B101</f>
        <v>24725.420168067216</v>
      </c>
      <c r="D16" s="612"/>
      <c r="E16" s="612">
        <f>E101</f>
        <v>0</v>
      </c>
      <c r="F16" s="613"/>
      <c r="G16" s="614"/>
      <c r="H16" s="611">
        <f>I101</f>
        <v>0</v>
      </c>
      <c r="I16" s="612">
        <f>G101+F101</f>
        <v>0</v>
      </c>
      <c r="J16" s="612">
        <f>H101+D101+C101</f>
        <v>0</v>
      </c>
      <c r="K16" s="612"/>
      <c r="L16" s="615"/>
      <c r="M16" s="616">
        <f>C16*$C$21+E16*$E$21+H16*$H$21+I16*$I$21+J16*$J$21+D16*$D$21+F16*$F$21+G16*$G$21+K16*$K$21+L16*$L$21</f>
        <v>4994.5348739495776</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21016.607142857138</v>
      </c>
      <c r="C19" s="594">
        <f>SUM(C16:C18)</f>
        <v>24725.420168067216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4994.5348739495776</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12030</v>
      </c>
      <c r="C27" s="852">
        <v>2870</v>
      </c>
      <c r="D27" s="673" t="s">
        <v>871</v>
      </c>
      <c r="E27" s="672" t="s">
        <v>872</v>
      </c>
      <c r="F27" s="672" t="s">
        <v>873</v>
      </c>
      <c r="G27" s="672" t="s">
        <v>874</v>
      </c>
      <c r="H27" s="672" t="s">
        <v>875</v>
      </c>
      <c r="I27" s="672" t="s">
        <v>872</v>
      </c>
      <c r="J27" s="851">
        <v>39510</v>
      </c>
      <c r="K27" s="851">
        <v>39513</v>
      </c>
      <c r="L27" s="672" t="s">
        <v>876</v>
      </c>
      <c r="M27" s="672">
        <v>2014</v>
      </c>
      <c r="N27" s="672">
        <v>9062.9999999999982</v>
      </c>
      <c r="O27" s="672">
        <v>12947.142857142855</v>
      </c>
      <c r="P27" s="672">
        <v>25894.28571428571</v>
      </c>
      <c r="Q27" s="672">
        <v>0</v>
      </c>
      <c r="R27" s="672">
        <v>0</v>
      </c>
      <c r="S27" s="672">
        <v>0</v>
      </c>
      <c r="T27" s="672">
        <v>0</v>
      </c>
      <c r="U27" s="672">
        <v>0</v>
      </c>
      <c r="V27" s="672">
        <v>0</v>
      </c>
      <c r="W27" s="672">
        <v>0</v>
      </c>
      <c r="X27" s="672">
        <v>300</v>
      </c>
      <c r="Y27" s="672" t="s">
        <v>34</v>
      </c>
      <c r="Z27" s="674" t="s">
        <v>389</v>
      </c>
    </row>
    <row r="28" spans="1:26" s="626" customFormat="1" ht="25.5">
      <c r="A28" s="625"/>
      <c r="B28" s="852">
        <v>12030</v>
      </c>
      <c r="C28" s="852">
        <v>2870</v>
      </c>
      <c r="D28" s="673" t="s">
        <v>877</v>
      </c>
      <c r="E28" s="672" t="s">
        <v>878</v>
      </c>
      <c r="F28" s="672" t="s">
        <v>879</v>
      </c>
      <c r="G28" s="672" t="s">
        <v>874</v>
      </c>
      <c r="H28" s="672" t="s">
        <v>875</v>
      </c>
      <c r="I28" s="672" t="s">
        <v>878</v>
      </c>
      <c r="J28" s="851">
        <v>40934</v>
      </c>
      <c r="K28" s="851">
        <v>40934</v>
      </c>
      <c r="L28" s="672" t="s">
        <v>876</v>
      </c>
      <c r="M28" s="672">
        <v>1189</v>
      </c>
      <c r="N28" s="672">
        <v>5350.5</v>
      </c>
      <c r="O28" s="672">
        <v>7643.5714285714284</v>
      </c>
      <c r="P28" s="672">
        <v>15287.142857142859</v>
      </c>
      <c r="Q28" s="672">
        <v>0</v>
      </c>
      <c r="R28" s="672">
        <v>0</v>
      </c>
      <c r="S28" s="672">
        <v>0</v>
      </c>
      <c r="T28" s="672">
        <v>0</v>
      </c>
      <c r="U28" s="672">
        <v>0</v>
      </c>
      <c r="V28" s="672">
        <v>0</v>
      </c>
      <c r="W28" s="672">
        <v>0</v>
      </c>
      <c r="X28" s="672">
        <v>300</v>
      </c>
      <c r="Y28" s="672" t="s">
        <v>880</v>
      </c>
      <c r="Z28" s="674" t="s">
        <v>389</v>
      </c>
    </row>
    <row r="29" spans="1:26" s="626" customFormat="1" ht="25.5">
      <c r="A29" s="625"/>
      <c r="B29" s="852">
        <v>12030</v>
      </c>
      <c r="C29" s="852">
        <v>2870</v>
      </c>
      <c r="D29" s="673" t="s">
        <v>881</v>
      </c>
      <c r="E29" s="672" t="s">
        <v>882</v>
      </c>
      <c r="F29" s="672" t="s">
        <v>883</v>
      </c>
      <c r="G29" s="672" t="s">
        <v>884</v>
      </c>
      <c r="H29" s="672" t="s">
        <v>875</v>
      </c>
      <c r="I29" s="672" t="s">
        <v>882</v>
      </c>
      <c r="J29" s="851">
        <v>41241</v>
      </c>
      <c r="K29" s="851">
        <v>41311</v>
      </c>
      <c r="L29" s="672" t="s">
        <v>876</v>
      </c>
      <c r="M29" s="672">
        <v>55</v>
      </c>
      <c r="N29" s="672">
        <v>247.5</v>
      </c>
      <c r="O29" s="672">
        <v>353.57142857142856</v>
      </c>
      <c r="P29" s="672">
        <v>707.14285714285722</v>
      </c>
      <c r="Q29" s="672">
        <v>0</v>
      </c>
      <c r="R29" s="672">
        <v>0</v>
      </c>
      <c r="S29" s="672">
        <v>0</v>
      </c>
      <c r="T29" s="672">
        <v>0</v>
      </c>
      <c r="U29" s="672">
        <v>0</v>
      </c>
      <c r="V29" s="672">
        <v>0</v>
      </c>
      <c r="W29" s="672">
        <v>0</v>
      </c>
      <c r="X29" s="672">
        <v>500</v>
      </c>
      <c r="Y29" s="672" t="s">
        <v>41</v>
      </c>
      <c r="Z29" s="674" t="s">
        <v>389</v>
      </c>
    </row>
    <row r="30" spans="1:26" s="626" customFormat="1" ht="25.5">
      <c r="A30" s="625"/>
      <c r="B30" s="852">
        <v>12030</v>
      </c>
      <c r="C30" s="852">
        <v>2870</v>
      </c>
      <c r="D30" s="673" t="s">
        <v>885</v>
      </c>
      <c r="E30" s="672" t="s">
        <v>886</v>
      </c>
      <c r="F30" s="672" t="s">
        <v>887</v>
      </c>
      <c r="G30" s="672" t="s">
        <v>874</v>
      </c>
      <c r="H30" s="672" t="s">
        <v>875</v>
      </c>
      <c r="I30" s="672" t="s">
        <v>886</v>
      </c>
      <c r="J30" s="851">
        <v>41699</v>
      </c>
      <c r="K30" s="851">
        <v>41712</v>
      </c>
      <c r="L30" s="672" t="s">
        <v>876</v>
      </c>
      <c r="M30" s="672">
        <v>15</v>
      </c>
      <c r="N30" s="672">
        <v>50.625</v>
      </c>
      <c r="O30" s="672">
        <v>72.321428571428569</v>
      </c>
      <c r="P30" s="672">
        <v>144.64285714285714</v>
      </c>
      <c r="Q30" s="672">
        <v>0</v>
      </c>
      <c r="R30" s="672">
        <v>0</v>
      </c>
      <c r="S30" s="672">
        <v>0</v>
      </c>
      <c r="T30" s="672">
        <v>0</v>
      </c>
      <c r="U30" s="672">
        <v>0</v>
      </c>
      <c r="V30" s="672">
        <v>0</v>
      </c>
      <c r="W30" s="672">
        <v>0</v>
      </c>
      <c r="X30" s="672">
        <v>1101</v>
      </c>
      <c r="Y30" s="672" t="s">
        <v>52</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3273</v>
      </c>
      <c r="N57" s="630">
        <f>SUM(N27:N56)</f>
        <v>14711.624999999998</v>
      </c>
      <c r="O57" s="630">
        <f t="shared" ref="O57:W57" si="2">SUM(O27:O56)</f>
        <v>21016.607142857138</v>
      </c>
      <c r="P57" s="630">
        <f t="shared" si="2"/>
        <v>42033.214285714275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3258</v>
      </c>
      <c r="N58" s="630">
        <f t="shared" ref="N58:W58" si="3">SUMIF($Z$27:$Z$56,"industrie",N27:N56)</f>
        <v>14660.999999999998</v>
      </c>
      <c r="O58" s="630">
        <f t="shared" si="3"/>
        <v>20944.28571428571</v>
      </c>
      <c r="P58" s="630">
        <f t="shared" si="3"/>
        <v>41888.57142857142</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v>
      </c>
      <c r="N59" s="630">
        <f ca="1">SUMIF($Z$27:AB56,"tertiair",N27:N56)</f>
        <v>50.625</v>
      </c>
      <c r="O59" s="630">
        <f ca="1">SUMIF($Z$27:AC56,"tertiair",O27:O56)</f>
        <v>72.321428571428569</v>
      </c>
      <c r="P59" s="630">
        <f ca="1">SUMIF($Z$27:AD56,"tertiair",P27:P56)</f>
        <v>144.64285714285714</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17307.794117647056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24725.420168067216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2019-01-01T21:30:18Z</dcterms:modified>
</cp:coreProperties>
</file>