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16" i="16"/>
  <c r="J15"/>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15" i="14" l="1"/>
  <c r="Q23" s="1"/>
  <c r="Q55" s="1"/>
  <c r="I7" i="18"/>
  <c r="I9" s="1"/>
  <c r="G14" i="22"/>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N20"/>
  <c r="N23"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7" i="19"/>
  <c r="C19" s="1"/>
  <c r="D35" i="14" s="1"/>
  <c r="C29" i="20"/>
  <c r="C17" i="49"/>
  <c r="C56" i="22"/>
  <c r="C58" s="1"/>
  <c r="D44" i="14" s="1"/>
  <c r="D46" s="1"/>
  <c r="Q5" i="48"/>
  <c r="O13" i="14"/>
  <c r="O15" s="1"/>
  <c r="F8" i="48"/>
  <c r="Q4"/>
  <c r="N22"/>
  <c r="R11" i="14"/>
  <c r="J21" i="48"/>
  <c r="C16" i="22" l="1"/>
  <c r="C10" i="13"/>
  <c r="C16" i="48" s="1"/>
  <c r="C21" s="1"/>
  <c r="F13" i="14"/>
  <c r="F15" s="1"/>
  <c r="F23" s="1"/>
  <c r="K13"/>
  <c r="E8" i="48"/>
  <c r="E25" s="1"/>
  <c r="E31" s="1"/>
  <c r="F22" i="16"/>
  <c r="G39" i="14" s="1"/>
  <c r="G41" s="1"/>
  <c r="G53" s="1"/>
  <c r="G55" s="1"/>
  <c r="O69" s="1"/>
  <c r="B9" i="6" s="1"/>
  <c r="B12" s="1"/>
  <c r="C18" i="15"/>
  <c r="C20" s="1"/>
  <c r="D36" i="14" s="1"/>
  <c r="N22" i="16"/>
  <c r="O39" i="14" s="1"/>
  <c r="O41" s="1"/>
  <c r="O53" s="1"/>
  <c r="J8" i="48"/>
  <c r="J25" s="1"/>
  <c r="J31" s="1"/>
  <c r="N25"/>
  <c r="N14"/>
  <c r="N31"/>
  <c r="K41" i="14"/>
  <c r="K53" s="1"/>
  <c r="E14" i="48"/>
  <c r="K15" i="14"/>
  <c r="K23" s="1"/>
  <c r="H55"/>
  <c r="E55"/>
  <c r="C78"/>
  <c r="C81" s="1"/>
  <c r="R19"/>
  <c r="R20" s="1"/>
  <c r="H14" i="48"/>
  <c r="G31"/>
  <c r="H26"/>
  <c r="H31" s="1"/>
  <c r="F55" i="14"/>
  <c r="M53"/>
  <c r="M55" s="1"/>
  <c r="C12" i="13"/>
  <c r="D37" i="14" s="1"/>
  <c r="D41" s="1"/>
  <c r="C24" i="48"/>
  <c r="C28"/>
  <c r="C22"/>
  <c r="C25"/>
  <c r="R13" i="14"/>
  <c r="R15" s="1"/>
  <c r="F25" i="48"/>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<sst xmlns="http://schemas.openxmlformats.org/spreadsheetml/2006/main" count="2209" uniqueCount="901">
  <si>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</si>
  <si>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</si>
  <si>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</si>
  <si>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</si>
  <si>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</si>
  <si>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</si>
  <si>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</si>
  <si>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</si>
  <si>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</si>
  <si>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</si>
  <si>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</si>
  <si>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</si>
  <si>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</si>
  <si>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</si>
  <si>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</si>
  <si>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</si>
  <si>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</si>
  <si>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</si>
  <si>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</si>
  <si>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</si>
  <si>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</si>
  <si>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</si>
  <si>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</si>
  <si>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</si>
  <si>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</si>
  <si>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</si>
  <si>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</si>
  <si>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</si>
  <si>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</si>
  <si>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</si>
  <si>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</si>
  <si>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</si>
  <si>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</si>
  <si>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</si>
  <si>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</si>
  <si>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</si>
  <si>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</si>
  <si>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</si>
  <si>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</si>
  <si>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</si>
  <si>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</si>
  <si>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</si>
  <si>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</si>
  <si>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</si>
  <si>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</si>
  <si>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</si>
  <si>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</si>
  <si>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</si>
  <si>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</si>
  <si>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</si>
  <si>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</si>
  <si>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</si>
  <si>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</si>
  <si>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</si>
  <si>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</si>
  <si>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</si>
  <si>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</si>
  <si>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</si>
  <si>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</si>
  <si>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</si>
  <si>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</si>
  <si>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</si>
  <si>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</si>
  <si>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</si>
  <si>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</si>
  <si>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</si>
  <si>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</si>
  <si>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</si>
  <si>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</si>
  <si>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</si>
  <si>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</si>
  <si>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</si>
  <si>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</si>
  <si>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</si>
  <si>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</si>
  <si>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</si>
  <si>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</si>
  <si>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</si>
  <si>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</si>
  <si>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</si>
  <si>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</si>
  <si>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</si>
  <si>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</si>
  <si>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</si>
  <si>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</si>
  <si>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</si>
  <si>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</si>
  <si>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</si>
  <si>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</si>
  <si>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</si>
  <si>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</si>
  <si>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</si>
  <si>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</si>
  <si>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</si>
  <si>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</si>
  <si>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</si>
  <si>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</si>
  <si>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</si>
  <si>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</si>
  <si>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</si>
  <si>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</si>
  <si>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</si>
  <si>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</si>
  <si>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</si>
  <si>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</si>
  <si>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</si>
  <si>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</si>
  <si>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</si>
  <si>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</si>
  <si>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</si>
  <si>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</si>
  <si>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</si>
  <si>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</si>
  <si>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</si>
  <si>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</si>
  <si>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</si>
  <si>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</si>
  <si>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</si>
  <si>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</si>
  <si>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</si>
  <si>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</si>
  <si>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</si>
  <si>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</si>
  <si>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</si>
  <si>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</si>
  <si>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</si>
  <si>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</si>
  <si>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</si>
  <si>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</si>
  <si>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</si>
  <si>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</si>
  <si>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</si>
  <si>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</si>
  <si>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</si>
  <si>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</si>
  <si>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</si>
  <si>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</si>
  <si>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</si>
  <si>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</si>
  <si>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</si>
  <si>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</si>
  <si>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</si>
  <si>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</si>
  <si>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</si>
  <si>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</si>
  <si>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</si>
  <si>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</si>
  <si>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</si>
  <si>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</si>
  <si>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</si>
  <si>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</si>
  <si>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</si>
  <si>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</si>
  <si>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</si>
  <si>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</si>
  <si>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</si>
  <si>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</si>
  <si>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</si>
  <si>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</si>
  <si>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</si>
  <si>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</si>
  <si>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</si>
  <si>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</si>
  <si>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</si>
  <si>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</si>
  <si>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</si>
  <si>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</si>
  <si>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</si>
  <si>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</si>
  <si>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</si>
  <si>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</si>
  <si>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</si>
  <si>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</si>
  <si>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</si>
  <si>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</si>
  <si>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</si>
  <si>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</si>
  <si>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</si>
  <si>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</si>
  <si>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</si>
  <si>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</si>
  <si>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</si>
  <si>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</si>
  <si>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</si>
  <si>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</si>
  <si>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</si>
  <si>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</si>
  <si>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</si>
  <si>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</si>
  <si>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</si>
  <si>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</si>
  <si>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</si>
  <si>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</si>
  <si>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</si>
  <si>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</si>
  <si>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</si>
  <si>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</si>
  <si>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</si>
  <si>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</si>
  <si>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</si>
  <si>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</si>
  <si>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</si>
  <si>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</si>
  <si>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</si>
  <si>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</si>
  <si>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</si>
  <si>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</si>
  <si>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</si>
  <si>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</si>
  <si>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</si>
  <si>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</si>
  <si>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</si>
  <si>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</si>
  <si>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</si>
  <si>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</si>
  <si>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</si>
  <si>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</si>
  <si>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</si>
  <si>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</si>
  <si>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</si>
  <si>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</si>
  <si>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</si>
  <si>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</si>
  <si>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</si>
  <si>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</si>
  <si>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</si>
  <si>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</si>
  <si>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</si>
  <si>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</si>
  <si>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</si>
  <si>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</si>
  <si>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</si>
  <si>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</si>
  <si>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</si>
  <si>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</si>
  <si>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</si>
  <si>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</si>
  <si>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</si>
  <si>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</si>
  <si>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</si>
  <si>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</si>
  <si>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</si>
  <si>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</si>
  <si>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</si>
  <si>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</si>
  <si>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</si>
  <si>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</si>
  <si>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</si>
  <si>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</si>
  <si>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</si>
  <si>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</si>
  <si>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</si>
  <si>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</si>
  <si>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</si>
  <si>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</si>
  <si>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</si>
  <si>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</si>
  <si>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</si>
  <si>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</si>
  <si>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</si>
  <si>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</si>
  <si>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</si>
  <si>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</si>
  <si>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</si>
  <si>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</si>
  <si>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</si>
  <si>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</si>
  <si>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</si>
  <si>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</si>
  <si>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</si>
  <si>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</si>
  <si>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</si>
  <si>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</si>
  <si>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</si>
  <si>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</si>
  <si>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</si>
  <si>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</si>
  <si>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</si>
  <si>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</si>
  <si>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</si>
  <si>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</si>
  <si>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</si>
  <si>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</si>
  <si>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</si>
  <si>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</si>
  <si>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</si>
  <si>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</si>
  <si>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</si>
  <si>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</si>
  <si>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</si>
  <si>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</si>
  <si>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</si>
  <si>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</si>
  <si>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</si>
  <si>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</si>
  <si>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</si>
  <si>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</si>
  <si>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</si>
  <si>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</si>
  <si>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</si>
  <si>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</si>
  <si>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</si>
  <si>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</si>
  <si>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</si>
  <si>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</si>
  <si>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</si>
  <si>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</si>
  <si>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</si>
  <si>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</si>
  <si>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</si>
  <si>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</si>
  <si>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</si>
  <si>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</si>
  <si>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</si>
  <si>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</si>
  <si>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</si>
  <si>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</si>
  <si>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</si>
  <si>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</si>
  <si>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</si>
  <si>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</si>
  <si>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</si>
  <si>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</si>
  <si>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</si>
  <si>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</si>
  <si>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</si>
  <si>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</si>
  <si>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</si>
  <si>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</si>
  <si>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</si>
  <si>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</si>
  <si>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</si>
  <si>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</si>
  <si>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</si>
  <si>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</si>
  <si>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</si>
  <si>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</si>
  <si>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</si>
  <si>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</si>
  <si>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</si>
  <si>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</si>
  <si>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</si>
  <si>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</si>
  <si>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</si>
  <si>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</si>
  <si>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</si>
  <si>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</si>
  <si>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</si>
  <si>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</si>
  <si>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</si>
  <si>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</si>
  <si>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</si>
  <si>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</si>
  <si>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</si>
  <si>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</si>
  <si>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</si>
  <si>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</si>
  <si>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</si>
  <si>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</si>
  <si>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</si>
  <si>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</si>
  <si>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</si>
  <si>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</si>
  <si>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</si>
  <si>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</si>
  <si>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</si>
  <si>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</si>
  <si>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</si>
  <si>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</si>
  <si>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</si>
  <si>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</si>
  <si>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</si>
  <si>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</si>
  <si>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</si>
  <si>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</si>
  <si>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</si>
  <si>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</si>
  <si>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</si>
  <si>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</si>
  <si>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</si>
  <si>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</si>
  <si>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</si>
  <si>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</si>
  <si>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</si>
  <si>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</si>
  <si>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</si>
  <si>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</si>
  <si>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</si>
  <si>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</si>
  <si>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</si>
  <si>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</si>
  <si>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</si>
  <si>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</si>
  <si>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</si>
  <si>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</si>
  <si>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</si>
  <si>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</si>
  <si>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</si>
  <si>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</si>
  <si>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</si>
  <si>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</si>
  <si>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</si>
  <si>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</si>
  <si>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</si>
  <si>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</si>
  <si>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</si>
  <si>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</si>
  <si>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</si>
  <si>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</si>
  <si>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</si>
  <si>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</si>
  <si>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</si>
  <si>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</si>
  <si>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</si>
  <si>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</si>
  <si>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</si>
  <si>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</si>
  <si>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</si>
  <si>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</si>
  <si>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</si>
  <si>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</si>
  <si>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</si>
  <si>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</si>
  <si>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</si>
  <si>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</si>
  <si>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</si>
  <si>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</si>
  <si>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</si>
  <si>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</si>
  <si>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</si>
  <si>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</si>
  <si>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</si>
  <si>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</si>
  <si>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</si>
  <si>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</si>
  <si>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</si>
  <si>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</si>
  <si>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</si>
  <si>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</si>
  <si>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</si>
  <si>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</si>
  <si>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</si>
  <si>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</si>
  <si>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</si>
  <si>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</si>
  <si>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</si>
  <si>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</si>
  <si>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</si>
  <si>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</si>
  <si>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</si>
  <si>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</si>
  <si>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</si>
  <si>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</si>
  <si>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</si>
  <si>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</si>
  <si>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</si>
  <si>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</si>
  <si>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</si>
  <si>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</si>
  <si>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</si>
  <si>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</si>
  <si>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</si>
  <si>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</si>
  <si>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</si>
  <si>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</si>
  <si>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</si>
  <si>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</si>
  <si>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</si>
  <si>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</si>
  <si>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</si>
  <si>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</si>
  <si>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</si>
  <si>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</si>
  <si>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</si>
  <si>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</si>
  <si>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</si>
  <si>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</si>
  <si>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</si>
  <si>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</si>
  <si>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</si>
  <si>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</si>
  <si>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</si>
  <si>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</si>
  <si>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</si>
  <si>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</si>
  <si>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</si>
  <si>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</si>
  <si>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</si>
  <si>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</si>
  <si>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</si>
  <si>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</si>
  <si>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</si>
  <si>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</si>
  <si>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</si>
  <si>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</si>
  <si>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</si>
  <si>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</si>
  <si>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</si>
  <si>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</si>
  <si>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</si>
  <si>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</si>
  <si>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</si>
  <si>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</si>
  <si>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</si>
  <si>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</si>
  <si>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</si>
  <si>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</si>
  <si>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</si>
  <si>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</si>
  <si>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</si>
  <si>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</si>
  <si>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</si>
  <si>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</si>
  <si>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</si>
  <si>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</si>
  <si>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</si>
  <si>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</si>
  <si>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</si>
  <si>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</si>
  <si>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</si>
  <si>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</si>
  <si>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</si>
  <si>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</si>
  <si>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</si>
  <si>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</si>
  <si>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</si>
  <si>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</si>
  <si>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</si>
  <si>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</si>
  <si>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</si>
  <si>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</si>
  <si>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</si>
  <si>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</si>
  <si>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</si>
  <si>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</si>
  <si>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</si>
  <si>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</si>
  <si>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</si>
  <si>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</si>
  <si>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</si>
  <si>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</si>
  <si>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</si>
  <si>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</si>
  <si>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</si>
  <si>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</si>
  <si>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</si>
  <si>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</si>
  <si>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</si>
  <si>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</si>
  <si>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</si>
  <si>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</si>
  <si>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</si>
  <si>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</si>
  <si>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</si>
  <si>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</si>
  <si>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</si>
  <si>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</si>
  <si>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</si>
  <si>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</si>
  <si>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</si>
  <si>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</si>
  <si>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</si>
  <si>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</si>
  <si>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</si>
  <si>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</si>
  <si>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</si>
  <si>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</si>
  <si>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</si>
  <si>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</si>
  <si>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</si>
  <si>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</si>
  <si>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</si>
  <si>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</si>
  <si>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</si>
  <si>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</si>
  <si>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</si>
  <si>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</si>
  <si>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</si>
  <si>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</si>
  <si>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</si>
  <si>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</si>
  <si>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</si>
  <si>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</si>
  <si>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</si>
  <si>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</si>
  <si>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</si>
  <si>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</si>
  <si>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</si>
  <si>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</si>
  <si>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</si>
  <si>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</si>
  <si>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</si>
  <si>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</si>
  <si>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</si>
  <si>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</si>
  <si>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</si>
  <si>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</si>
  <si>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</si>
  <si>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</si>
  <si>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</si>
  <si>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</si>
  <si>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</si>
  <si>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</si>
  <si>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</si>
  <si>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</si>
  <si>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</si>
  <si>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</si>
  <si>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</si>
  <si>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</si>
  <si>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</si>
  <si>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</si>
  <si>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</si>
  <si>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</si>
  <si>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</si>
  <si>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</si>
  <si>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</si>
  <si>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</si>
  <si>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</si>
  <si>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</si>
  <si>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</si>
  <si>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</si>
  <si>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</si>
  <si>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</si>
  <si>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</si>
  <si>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</si>
  <si>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</si>
  <si>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</si>
  <si>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</si>
  <si>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</si>
  <si>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</si>
  <si>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</si>
  <si>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</si>
  <si>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</si>
  <si>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</si>
  <si>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</si>
  <si>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</si>
  <si>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</si>
  <si>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</si>
  <si>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</si>
  <si>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</si>
  <si>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</si>
  <si>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</si>
  <si>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</si>
  <si>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</si>
  <si>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</si>
  <si>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</si>
  <si>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</si>
  <si>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</si>
  <si>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</si>
  <si>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</si>
  <si>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</si>
  <si>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</si>
  <si>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</si>
  <si>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</si>
  <si>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</si>
  <si>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</si>
  <si>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</si>
  <si>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</si>
  <si>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</si>
  <si>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</si>
  <si>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</si>
  <si>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</si>
  <si>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</si>
  <si>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</si>
  <si>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</si>
  <si>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</si>
  <si>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</si>
  <si>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</si>
  <si>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</si>
  <si>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</si>
  <si>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</si>
  <si>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</si>
  <si>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</si>
  <si>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</si>
  <si>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</si>
  <si>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</si>
  <si>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</si>
  <si>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</si>
  <si>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</si>
  <si>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</si>
  <si>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</si>
  <si>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</si>
  <si>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</si>
  <si>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</si>
  <si>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</si>
  <si>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</si>
  <si>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</si>
  <si>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</si>
  <si>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</si>
  <si>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</si>
  <si>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</si>
  <si>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</si>
  <si>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</si>
  <si>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</si>
  <si>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</si>
  <si>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</si>
  <si>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</si>
  <si>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</si>
  <si>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</si>
  <si>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</si>
  <si>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</si>
  <si>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</si>
  <si>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</si>
  <si>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</si>
  <si>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</si>
  <si>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</si>
  <si>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</si>
  <si>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</si>
  <si>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</si>
  <si>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</si>
  <si>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</si>
  <si>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</si>
  <si>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</si>
  <si>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</si>
  <si>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</si>
  <si>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</si>
  <si>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</si>
  <si>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</si>
  <si>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</si>
  <si>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</si>
  <si>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</si>
  <si>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</si>
  <si>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</si>
  <si>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</si>
  <si>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</si>
  <si>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</si>
  <si>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</si>
  <si>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</si>
  <si>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</si>
  <si>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</si>
  <si>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</si>
  <si>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</si>
  <si>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</si>
  <si>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</si>
  <si>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</si>
  <si>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</si>
  <si>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</si>
  <si>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</si>
  <si>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</si>
  <si>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</si>
  <si>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</si>
  <si>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</si>
  <si>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</si>
  <si>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</si>
  <si>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</si>
  <si>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</si>
  <si>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</si>
  <si>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</si>
  <si>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</si>
  <si>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</si>
  <si>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</si>
  <si>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</si>
  <si>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</si>
  <si>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</si>
  <si>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</si>
  <si>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</si>
  <si>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</si>
  <si>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</si>
  <si>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</si>
  <si>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</si>
  <si>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</si>
  <si>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</si>
  <si>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</si>
  <si>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</si>
  <si>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</si>
  <si>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</si>
  <si>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</si>
  <si>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</si>
  <si>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</si>
  <si>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</si>
  <si>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</si>
  <si>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</si>
  <si>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</si>
  <si>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</si>
  <si>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</si>
  <si>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</si>
  <si>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</si>
  <si>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</si>
  <si>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</si>
  <si>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</si>
  <si>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</si>
  <si>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</si>
  <si>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</si>
  <si>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</si>
  <si>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</si>
  <si>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</si>
  <si>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</si>
  <si>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</si>
  <si>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</si>
  <si>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</si>
  <si>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</si>
  <si>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</si>
  <si>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</si>
  <si>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</si>
  <si>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</si>
  <si>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</si>
  <si>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</si>
  <si>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</si>
  <si>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</si>
  <si>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</si>
  <si>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</si>
  <si>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</si>
  <si>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</si>
  <si>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</si>
  <si>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</si>
  <si>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</si>
  <si>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</si>
  <si>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</si>
  <si>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</si>
  <si>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</si>
  <si>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</si>
  <si>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</si>
  <si>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</si>
  <si>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</si>
  <si>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</si>
  <si>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</si>
  <si>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</si>
  <si>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</si>
  <si>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</si>
  <si>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</si>
  <si>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</si>
  <si>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</si>
  <si>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</si>
  <si>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</si>
  <si>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</si>
  <si>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</si>
  <si>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</si>
  <si>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</si>
  <si>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</si>
  <si>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</si>
  <si>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</si>
  <si>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</si>
  <si>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</si>
  <si>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</si>
  <si>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</si>
  <si>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</si>
  <si>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</si>
  <si>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</si>
  <si>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</si>
  <si>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</si>
  <si>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</si>
  <si>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</si>
  <si>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</si>
  <si>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</si>
  <si>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</si>
  <si>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</si>
  <si>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</si>
  <si>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</si>
  <si>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</si>
  <si>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</si>
  <si>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</si>
  <si>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</si>
  <si>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</si>
  <si>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</si>
  <si>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</si>
  <si>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</si>
  <si>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</si>
  <si>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</si>
  <si>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</si>
  <si>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</si>
  <si>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</si>
  <si>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</si>
  <si>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</si>
  <si>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12029</t>
  </si>
  <si>
    <t>PUTTE</t>
  </si>
  <si>
    <t>Paarden&amp;pony's 200 - 600 kg</t>
  </si>
  <si>
    <t>Paarden&amp;pony's &lt; 200 kg</t>
  </si>
  <si>
    <t>referentietaak LNE (2017); Jaarverslag De Lijn (2014)</t>
  </si>
  <si>
    <t>op basis van VEA (maart 2018) en Inventaris Hernieuwbare Energiebronnen (juni 2018)</t>
  </si>
  <si>
    <t>VEA (maart 2016)</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</si>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</sst>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139516.8135536476</c:v>
                </c:pt>
                <c:pt idx="1">
                  <c:v>52785.00206168156</c:v>
                </c:pt>
                <c:pt idx="2">
                  <c:v>945.15800000000002</c:v>
                </c:pt>
                <c:pt idx="3">
                  <c:v>72514.248525389659</c:v>
                </c:pt>
                <c:pt idx="4">
                  <c:v>16986.1607593546</c:v>
                </c:pt>
                <c:pt idx="5">
                  <c:v>95186.268737495295</c:v>
                </c:pt>
                <c:pt idx="6">
                  <c:v>1610.1730918835408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139516.8135536476</c:v>
                </c:pt>
                <c:pt idx="1">
                  <c:v>52785.00206168156</c:v>
                </c:pt>
                <c:pt idx="2">
                  <c:v>945.15800000000002</c:v>
                </c:pt>
                <c:pt idx="3">
                  <c:v>72514.248525389659</c:v>
                </c:pt>
                <c:pt idx="4">
                  <c:v>16986.1607593546</c:v>
                </c:pt>
                <c:pt idx="5">
                  <c:v>95186.268737495295</c:v>
                </c:pt>
                <c:pt idx="6">
                  <c:v>1610.1730918835408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28754.882418956142</c:v>
                </c:pt>
                <c:pt idx="1">
                  <c:v>10533.386662653767</c:v>
                </c:pt>
                <c:pt idx="2">
                  <c:v>184.93295671802014</c:v>
                </c:pt>
                <c:pt idx="3">
                  <c:v>15269.329481027024</c:v>
                </c:pt>
                <c:pt idx="4">
                  <c:v>3354.2657344865438</c:v>
                </c:pt>
                <c:pt idx="5">
                  <c:v>23829.678664796564</c:v>
                </c:pt>
                <c:pt idx="6">
                  <c:v>406.72204307513505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28754.882418956142</c:v>
                </c:pt>
                <c:pt idx="1">
                  <c:v>10533.386662653767</c:v>
                </c:pt>
                <c:pt idx="2">
                  <c:v>184.93295671802014</c:v>
                </c:pt>
                <c:pt idx="3">
                  <c:v>15269.329481027024</c:v>
                </c:pt>
                <c:pt idx="4">
                  <c:v>3354.2657344865438</c:v>
                </c:pt>
                <c:pt idx="5">
                  <c:v>23829.678664796564</c:v>
                </c:pt>
                <c:pt idx="6">
                  <c:v>406.72204307513505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12029</v>
      </c>
      <c r="B6" s="416"/>
      <c r="C6" s="417"/>
    </row>
    <row r="7" spans="1:7" s="414" customFormat="1" ht="15.75" customHeight="1">
      <c r="A7" s="418" t="str">
        <f>txtMunicipality</f>
        <v>PUTTE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13795.984699999999</v>
      </c>
      <c r="D10" s="719">
        <f ca="1">tertiair!C16</f>
        <v>0</v>
      </c>
      <c r="E10" s="719">
        <f ca="1">tertiair!D16</f>
        <v>37018.451714509509</v>
      </c>
      <c r="F10" s="719">
        <f>tertiair!E16</f>
        <v>154.15421806673612</v>
      </c>
      <c r="G10" s="719">
        <f ca="1">tertiair!F16</f>
        <v>1895.9858100780211</v>
      </c>
      <c r="H10" s="719">
        <f>tertiair!G16</f>
        <v>0</v>
      </c>
      <c r="I10" s="719">
        <f>tertiair!H16</f>
        <v>0</v>
      </c>
      <c r="J10" s="719">
        <f>tertiair!I16</f>
        <v>0</v>
      </c>
      <c r="K10" s="719">
        <f>tertiair!J16</f>
        <v>0</v>
      </c>
      <c r="L10" s="719">
        <f>tertiair!K16</f>
        <v>0</v>
      </c>
      <c r="M10" s="719">
        <f ca="1">tertiair!L16</f>
        <v>0</v>
      </c>
      <c r="N10" s="719">
        <f>tertiair!M16</f>
        <v>0</v>
      </c>
      <c r="O10" s="719">
        <f ca="1">tertiair!N16</f>
        <v>824.32361902729906</v>
      </c>
      <c r="P10" s="719">
        <f>tertiair!O16</f>
        <v>3.1266666666666669</v>
      </c>
      <c r="Q10" s="720">
        <f>tertiair!P16</f>
        <v>38.133333333333333</v>
      </c>
      <c r="R10" s="722">
        <f ca="1">SUM(C10:Q10)</f>
        <v>53730.160061681563</v>
      </c>
      <c r="S10" s="67"/>
    </row>
    <row r="11" spans="1:19" s="475" customFormat="1">
      <c r="A11" s="871" t="s">
        <v>225</v>
      </c>
      <c r="B11" s="876"/>
      <c r="C11" s="719">
        <f>huishoudens!B8</f>
        <v>32762.095715200325</v>
      </c>
      <c r="D11" s="719">
        <f>huishoudens!C8</f>
        <v>0</v>
      </c>
      <c r="E11" s="719">
        <f>huishoudens!D8</f>
        <v>48525.222185078281</v>
      </c>
      <c r="F11" s="719">
        <f>huishoudens!E8</f>
        <v>3841.9751793329538</v>
      </c>
      <c r="G11" s="719">
        <f>huishoudens!F8</f>
        <v>43709.032453182183</v>
      </c>
      <c r="H11" s="719">
        <f>huishoudens!G8</f>
        <v>0</v>
      </c>
      <c r="I11" s="719">
        <f>huishoudens!H8</f>
        <v>0</v>
      </c>
      <c r="J11" s="719">
        <f>huishoudens!I8</f>
        <v>0</v>
      </c>
      <c r="K11" s="719">
        <f>huishoudens!J8</f>
        <v>0</v>
      </c>
      <c r="L11" s="719">
        <f>huishoudens!K8</f>
        <v>0</v>
      </c>
      <c r="M11" s="719">
        <f>huishoudens!L8</f>
        <v>0</v>
      </c>
      <c r="N11" s="719">
        <f>huishoudens!M8</f>
        <v>0</v>
      </c>
      <c r="O11" s="719">
        <f>huishoudens!N8</f>
        <v>9539.7313541871881</v>
      </c>
      <c r="P11" s="719">
        <f>huishoudens!O8</f>
        <v>223.55666666666667</v>
      </c>
      <c r="Q11" s="720">
        <f>huishoudens!P8</f>
        <v>915.2</v>
      </c>
      <c r="R11" s="722">
        <f>SUM(C11:Q11)</f>
        <v>139516.8135536476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6288.32683</v>
      </c>
      <c r="D13" s="719">
        <f>industrie!C18</f>
        <v>0</v>
      </c>
      <c r="E13" s="719">
        <f>industrie!D18</f>
        <v>3532.105083321585</v>
      </c>
      <c r="F13" s="719">
        <f>industrie!E18</f>
        <v>614.69096671317766</v>
      </c>
      <c r="G13" s="719">
        <f>industrie!F18</f>
        <v>4703.2866586028431</v>
      </c>
      <c r="H13" s="719">
        <f>industrie!G18</f>
        <v>0</v>
      </c>
      <c r="I13" s="719">
        <f>industrie!H18</f>
        <v>0</v>
      </c>
      <c r="J13" s="719">
        <f>industrie!I18</f>
        <v>0</v>
      </c>
      <c r="K13" s="719">
        <f>industrie!J18</f>
        <v>42.575861278399067</v>
      </c>
      <c r="L13" s="719">
        <f>industrie!K18</f>
        <v>0</v>
      </c>
      <c r="M13" s="719">
        <f>industrie!L18</f>
        <v>0</v>
      </c>
      <c r="N13" s="719">
        <f>industrie!M18</f>
        <v>0</v>
      </c>
      <c r="O13" s="719">
        <f>industrie!N18</f>
        <v>1805.1753594385937</v>
      </c>
      <c r="P13" s="719">
        <f>industrie!O18</f>
        <v>0</v>
      </c>
      <c r="Q13" s="720">
        <f>industrie!P18</f>
        <v>0</v>
      </c>
      <c r="R13" s="722">
        <f>SUM(C13:Q13)</f>
        <v>16986.1607593546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52846.407245200324</v>
      </c>
      <c r="D15" s="724">
        <f t="shared" ref="D15:Q15" ca="1" si="0">SUM(D9:D14)</f>
        <v>0</v>
      </c>
      <c r="E15" s="724">
        <f t="shared" ca="1" si="0"/>
        <v>89075.778982909382</v>
      </c>
      <c r="F15" s="724">
        <f t="shared" si="0"/>
        <v>4610.8203641128675</v>
      </c>
      <c r="G15" s="724">
        <f t="shared" ca="1" si="0"/>
        <v>50308.304921863048</v>
      </c>
      <c r="H15" s="724">
        <f t="shared" si="0"/>
        <v>0</v>
      </c>
      <c r="I15" s="724">
        <f t="shared" si="0"/>
        <v>0</v>
      </c>
      <c r="J15" s="724">
        <f t="shared" si="0"/>
        <v>0</v>
      </c>
      <c r="K15" s="724">
        <f t="shared" si="0"/>
        <v>42.575861278399067</v>
      </c>
      <c r="L15" s="724">
        <f t="shared" si="0"/>
        <v>0</v>
      </c>
      <c r="M15" s="724">
        <f t="shared" ca="1" si="0"/>
        <v>0</v>
      </c>
      <c r="N15" s="724">
        <f t="shared" si="0"/>
        <v>0</v>
      </c>
      <c r="O15" s="724">
        <f t="shared" ca="1" si="0"/>
        <v>12169.23033265308</v>
      </c>
      <c r="P15" s="724">
        <f t="shared" si="0"/>
        <v>226.68333333333334</v>
      </c>
      <c r="Q15" s="725">
        <f t="shared" si="0"/>
        <v>953.33333333333337</v>
      </c>
      <c r="R15" s="726">
        <f ca="1">SUM(R9:R14)</f>
        <v>210233.13437468375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1523.3035321166105</v>
      </c>
      <c r="I18" s="719">
        <f>transport!H54</f>
        <v>0</v>
      </c>
      <c r="J18" s="719">
        <f>transport!I54</f>
        <v>0</v>
      </c>
      <c r="K18" s="719">
        <f>transport!J54</f>
        <v>0</v>
      </c>
      <c r="L18" s="719">
        <f>transport!K54</f>
        <v>0</v>
      </c>
      <c r="M18" s="719">
        <f>transport!L54</f>
        <v>0</v>
      </c>
      <c r="N18" s="719">
        <f>transport!M54</f>
        <v>86.869559766930323</v>
      </c>
      <c r="O18" s="719">
        <f>transport!N54</f>
        <v>0</v>
      </c>
      <c r="P18" s="719">
        <f>transport!O54</f>
        <v>0</v>
      </c>
      <c r="Q18" s="720">
        <f>transport!P54</f>
        <v>0</v>
      </c>
      <c r="R18" s="722">
        <f>SUM(C18:Q18)</f>
        <v>1610.1730918835408</v>
      </c>
      <c r="S18" s="67"/>
    </row>
    <row r="19" spans="1:19" s="475" customFormat="1" ht="15" thickBot="1">
      <c r="A19" s="871" t="s">
        <v>307</v>
      </c>
      <c r="B19" s="876"/>
      <c r="C19" s="728">
        <f>transport!B14</f>
        <v>16.719185626810667</v>
      </c>
      <c r="D19" s="728">
        <f>transport!C14</f>
        <v>0</v>
      </c>
      <c r="E19" s="728">
        <f>transport!D14</f>
        <v>43.830279000335175</v>
      </c>
      <c r="F19" s="728">
        <f>transport!E14</f>
        <v>279.43913864393824</v>
      </c>
      <c r="G19" s="728">
        <f>transport!F14</f>
        <v>0</v>
      </c>
      <c r="H19" s="728">
        <f>transport!G14</f>
        <v>73515.386192902937</v>
      </c>
      <c r="I19" s="728">
        <f>transport!H14</f>
        <v>16568.324560144978</v>
      </c>
      <c r="J19" s="728">
        <f>transport!I14</f>
        <v>0</v>
      </c>
      <c r="K19" s="728">
        <f>transport!J14</f>
        <v>0</v>
      </c>
      <c r="L19" s="728">
        <f>transport!K14</f>
        <v>0</v>
      </c>
      <c r="M19" s="728">
        <f>transport!L14</f>
        <v>0</v>
      </c>
      <c r="N19" s="728">
        <f>transport!M14</f>
        <v>4762.5693811763113</v>
      </c>
      <c r="O19" s="728">
        <f>transport!N14</f>
        <v>0</v>
      </c>
      <c r="P19" s="728">
        <f>transport!O14</f>
        <v>0</v>
      </c>
      <c r="Q19" s="729">
        <f>transport!P14</f>
        <v>0</v>
      </c>
      <c r="R19" s="730">
        <f>SUM(C19:Q19)</f>
        <v>95186.268737495295</v>
      </c>
      <c r="S19" s="67"/>
    </row>
    <row r="20" spans="1:19" s="475" customFormat="1" ht="15.75" thickBot="1">
      <c r="A20" s="731" t="s">
        <v>230</v>
      </c>
      <c r="B20" s="879"/>
      <c r="C20" s="874">
        <f>SUM(C17:C19)</f>
        <v>16.719185626810667</v>
      </c>
      <c r="D20" s="732">
        <f t="shared" ref="D20:R20" si="1">SUM(D17:D19)</f>
        <v>0</v>
      </c>
      <c r="E20" s="732">
        <f t="shared" si="1"/>
        <v>43.830279000335175</v>
      </c>
      <c r="F20" s="732">
        <f t="shared" si="1"/>
        <v>279.43913864393824</v>
      </c>
      <c r="G20" s="732">
        <f t="shared" si="1"/>
        <v>0</v>
      </c>
      <c r="H20" s="732">
        <f t="shared" si="1"/>
        <v>75038.689725019547</v>
      </c>
      <c r="I20" s="732">
        <f t="shared" si="1"/>
        <v>16568.324560144978</v>
      </c>
      <c r="J20" s="732">
        <f t="shared" si="1"/>
        <v>0</v>
      </c>
      <c r="K20" s="732">
        <f t="shared" si="1"/>
        <v>0</v>
      </c>
      <c r="L20" s="732">
        <f t="shared" si="1"/>
        <v>0</v>
      </c>
      <c r="M20" s="732">
        <f t="shared" si="1"/>
        <v>0</v>
      </c>
      <c r="N20" s="732">
        <f t="shared" si="1"/>
        <v>4849.4389409432415</v>
      </c>
      <c r="O20" s="732">
        <f t="shared" si="1"/>
        <v>0</v>
      </c>
      <c r="P20" s="732">
        <f t="shared" si="1"/>
        <v>0</v>
      </c>
      <c r="Q20" s="733">
        <f t="shared" si="1"/>
        <v>0</v>
      </c>
      <c r="R20" s="734">
        <f t="shared" si="1"/>
        <v>96796.441829378833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2287.83853</v>
      </c>
      <c r="D22" s="728">
        <f>+landbouw!C8</f>
        <v>67025.410714285725</v>
      </c>
      <c r="E22" s="728">
        <f>+landbouw!D8</f>
        <v>0</v>
      </c>
      <c r="F22" s="728">
        <f>+landbouw!E8</f>
        <v>21.190918699719148</v>
      </c>
      <c r="G22" s="728">
        <f>+landbouw!F8</f>
        <v>2829.0571834027032</v>
      </c>
      <c r="H22" s="728">
        <f>+landbouw!G8</f>
        <v>0</v>
      </c>
      <c r="I22" s="728">
        <f>+landbouw!H8</f>
        <v>0</v>
      </c>
      <c r="J22" s="728">
        <f>+landbouw!I8</f>
        <v>0</v>
      </c>
      <c r="K22" s="728">
        <f>+landbouw!J8</f>
        <v>350.75117900151332</v>
      </c>
      <c r="L22" s="728">
        <f>+landbouw!K8</f>
        <v>0</v>
      </c>
      <c r="M22" s="728">
        <f>+landbouw!L8</f>
        <v>0</v>
      </c>
      <c r="N22" s="728">
        <f>+landbouw!M8</f>
        <v>0</v>
      </c>
      <c r="O22" s="728">
        <f>+landbouw!N8</f>
        <v>0</v>
      </c>
      <c r="P22" s="728">
        <f>+landbouw!O8</f>
        <v>0</v>
      </c>
      <c r="Q22" s="729">
        <f>+landbouw!P8</f>
        <v>0</v>
      </c>
      <c r="R22" s="730">
        <f>SUM(C22:Q22)</f>
        <v>72514.248525389659</v>
      </c>
      <c r="S22" s="67"/>
    </row>
    <row r="23" spans="1:19" s="475" customFormat="1" ht="17.25" thickTop="1" thickBot="1">
      <c r="A23" s="735" t="s">
        <v>116</v>
      </c>
      <c r="B23" s="865"/>
      <c r="C23" s="736">
        <f ca="1">C20+C15+C22</f>
        <v>55150.964960827136</v>
      </c>
      <c r="D23" s="736">
        <f t="shared" ref="D23:Q23" ca="1" si="2">D20+D15+D22</f>
        <v>67025.410714285725</v>
      </c>
      <c r="E23" s="736">
        <f t="shared" ca="1" si="2"/>
        <v>89119.609261909718</v>
      </c>
      <c r="F23" s="736">
        <f t="shared" si="2"/>
        <v>4911.450421456525</v>
      </c>
      <c r="G23" s="736">
        <f t="shared" ca="1" si="2"/>
        <v>53137.362105265755</v>
      </c>
      <c r="H23" s="736">
        <f t="shared" si="2"/>
        <v>75038.689725019547</v>
      </c>
      <c r="I23" s="736">
        <f t="shared" si="2"/>
        <v>16568.324560144978</v>
      </c>
      <c r="J23" s="736">
        <f t="shared" si="2"/>
        <v>0</v>
      </c>
      <c r="K23" s="736">
        <f t="shared" si="2"/>
        <v>393.32704027991241</v>
      </c>
      <c r="L23" s="736">
        <f t="shared" si="2"/>
        <v>0</v>
      </c>
      <c r="M23" s="736">
        <f t="shared" ca="1" si="2"/>
        <v>0</v>
      </c>
      <c r="N23" s="736">
        <f t="shared" si="2"/>
        <v>4849.4389409432415</v>
      </c>
      <c r="O23" s="736">
        <f t="shared" ca="1" si="2"/>
        <v>12169.23033265308</v>
      </c>
      <c r="P23" s="736">
        <f t="shared" si="2"/>
        <v>226.68333333333334</v>
      </c>
      <c r="Q23" s="737">
        <f t="shared" si="2"/>
        <v>953.33333333333337</v>
      </c>
      <c r="R23" s="738">
        <f ca="1">R20+R15+R22</f>
        <v>379543.8247294522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2699.3711542488854</v>
      </c>
      <c r="D36" s="719">
        <f ca="1">tertiair!C20</f>
        <v>0</v>
      </c>
      <c r="E36" s="719">
        <f ca="1">tertiair!D20</f>
        <v>7477.7272463309209</v>
      </c>
      <c r="F36" s="719">
        <f>tertiair!E20</f>
        <v>34.993007501149101</v>
      </c>
      <c r="G36" s="719">
        <f ca="1">tertiair!F20</f>
        <v>506.22821129083167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10718.319619371787</v>
      </c>
    </row>
    <row r="37" spans="1:18">
      <c r="A37" s="886" t="s">
        <v>225</v>
      </c>
      <c r="B37" s="893"/>
      <c r="C37" s="719">
        <f ca="1">huishoudens!B12</f>
        <v>6410.3475068621065</v>
      </c>
      <c r="D37" s="719">
        <f ca="1">huishoudens!C12</f>
        <v>0</v>
      </c>
      <c r="E37" s="719">
        <f>huishoudens!D12</f>
        <v>9802.094881385814</v>
      </c>
      <c r="F37" s="719">
        <f>huishoudens!E12</f>
        <v>872.12836570858053</v>
      </c>
      <c r="G37" s="719">
        <f>huishoudens!F12</f>
        <v>11670.311664999643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28754.882418956142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1230.3962654721799</v>
      </c>
      <c r="D39" s="719">
        <f ca="1">industrie!C22</f>
        <v>0</v>
      </c>
      <c r="E39" s="719">
        <f>industrie!D22</f>
        <v>713.48522683096019</v>
      </c>
      <c r="F39" s="719">
        <f>industrie!E22</f>
        <v>139.53484944389135</v>
      </c>
      <c r="G39" s="719">
        <f>industrie!F22</f>
        <v>1255.7775378469591</v>
      </c>
      <c r="H39" s="719">
        <f>industrie!G22</f>
        <v>0</v>
      </c>
      <c r="I39" s="719">
        <f>industrie!H22</f>
        <v>0</v>
      </c>
      <c r="J39" s="719">
        <f>industrie!I22</f>
        <v>0</v>
      </c>
      <c r="K39" s="719">
        <f>industrie!J22</f>
        <v>15.071854892553269</v>
      </c>
      <c r="L39" s="719">
        <f>industrie!K22</f>
        <v>0</v>
      </c>
      <c r="M39" s="719">
        <f>industrie!L22</f>
        <v>0</v>
      </c>
      <c r="N39" s="719">
        <f>industrie!M22</f>
        <v>0</v>
      </c>
      <c r="O39" s="719">
        <f>industrie!N22</f>
        <v>0</v>
      </c>
      <c r="P39" s="719">
        <f>industrie!O22</f>
        <v>0</v>
      </c>
      <c r="Q39" s="829">
        <f>industrie!P22</f>
        <v>0</v>
      </c>
      <c r="R39" s="919">
        <f ca="1">SUM(C39:Q39)</f>
        <v>3354.2657344865438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10340.114926583172</v>
      </c>
      <c r="D41" s="764">
        <f t="shared" ref="D41:R41" ca="1" si="4">SUM(D35:D40)</f>
        <v>0</v>
      </c>
      <c r="E41" s="764">
        <f t="shared" ca="1" si="4"/>
        <v>17993.307354547695</v>
      </c>
      <c r="F41" s="764">
        <f t="shared" si="4"/>
        <v>1046.6562226536209</v>
      </c>
      <c r="G41" s="764">
        <f t="shared" ca="1" si="4"/>
        <v>13432.317414137435</v>
      </c>
      <c r="H41" s="764">
        <f t="shared" si="4"/>
        <v>0</v>
      </c>
      <c r="I41" s="764">
        <f t="shared" si="4"/>
        <v>0</v>
      </c>
      <c r="J41" s="764">
        <f t="shared" si="4"/>
        <v>0</v>
      </c>
      <c r="K41" s="764">
        <f t="shared" si="4"/>
        <v>15.071854892553269</v>
      </c>
      <c r="L41" s="764">
        <f t="shared" si="4"/>
        <v>0</v>
      </c>
      <c r="M41" s="764">
        <f t="shared" ca="1" si="4"/>
        <v>0</v>
      </c>
      <c r="N41" s="764">
        <f t="shared" si="4"/>
        <v>0</v>
      </c>
      <c r="O41" s="764">
        <f t="shared" ca="1" si="4"/>
        <v>0</v>
      </c>
      <c r="P41" s="764">
        <f t="shared" si="4"/>
        <v>0</v>
      </c>
      <c r="Q41" s="765">
        <f t="shared" si="4"/>
        <v>0</v>
      </c>
      <c r="R41" s="766">
        <f t="shared" ca="1" si="4"/>
        <v>42827.467772814474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406.72204307513505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406.72204307513505</v>
      </c>
    </row>
    <row r="45" spans="1:18" ht="15" thickBot="1">
      <c r="A45" s="889" t="s">
        <v>307</v>
      </c>
      <c r="B45" s="899"/>
      <c r="C45" s="728">
        <f ca="1">transport!B18</f>
        <v>3.2713349851384863</v>
      </c>
      <c r="D45" s="728">
        <f>transport!C18</f>
        <v>0</v>
      </c>
      <c r="E45" s="728">
        <f>transport!D18</f>
        <v>8.8537163580677056</v>
      </c>
      <c r="F45" s="728">
        <f>transport!E18</f>
        <v>63.432684472173982</v>
      </c>
      <c r="G45" s="728">
        <f>transport!F18</f>
        <v>0</v>
      </c>
      <c r="H45" s="728">
        <f>transport!G18</f>
        <v>19628.608113505084</v>
      </c>
      <c r="I45" s="728">
        <f>transport!H18</f>
        <v>4125.5128154760996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23829.678664796564</v>
      </c>
    </row>
    <row r="46" spans="1:18" ht="15.75" thickBot="1">
      <c r="A46" s="887" t="s">
        <v>230</v>
      </c>
      <c r="B46" s="900"/>
      <c r="C46" s="764">
        <f t="shared" ref="C46:R46" ca="1" si="5">SUM(C43:C45)</f>
        <v>3.2713349851384863</v>
      </c>
      <c r="D46" s="764">
        <f t="shared" ca="1" si="5"/>
        <v>0</v>
      </c>
      <c r="E46" s="764">
        <f t="shared" si="5"/>
        <v>8.8537163580677056</v>
      </c>
      <c r="F46" s="764">
        <f t="shared" si="5"/>
        <v>63.432684472173982</v>
      </c>
      <c r="G46" s="764">
        <f t="shared" si="5"/>
        <v>0</v>
      </c>
      <c r="H46" s="764">
        <f t="shared" si="5"/>
        <v>20035.330156580221</v>
      </c>
      <c r="I46" s="764">
        <f t="shared" si="5"/>
        <v>4125.5128154760996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24236.4007078717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447.64657744663731</v>
      </c>
      <c r="D48" s="719">
        <f ca="1">+landbouw!C12</f>
        <v>13937.348379700492</v>
      </c>
      <c r="E48" s="719">
        <f>+landbouw!D12</f>
        <v>0</v>
      </c>
      <c r="F48" s="719">
        <f>+landbouw!E12</f>
        <v>4.810338544836247</v>
      </c>
      <c r="G48" s="719">
        <f>+landbouw!F12</f>
        <v>755.35826796852177</v>
      </c>
      <c r="H48" s="719">
        <f>+landbouw!G12</f>
        <v>0</v>
      </c>
      <c r="I48" s="719">
        <f>+landbouw!H12</f>
        <v>0</v>
      </c>
      <c r="J48" s="719">
        <f>+landbouw!I12</f>
        <v>0</v>
      </c>
      <c r="K48" s="719">
        <f>+landbouw!J12</f>
        <v>124.16591736653571</v>
      </c>
      <c r="L48" s="719">
        <f>+landbouw!K12</f>
        <v>0</v>
      </c>
      <c r="M48" s="719">
        <f>+landbouw!L12</f>
        <v>0</v>
      </c>
      <c r="N48" s="719">
        <f>+landbouw!M12</f>
        <v>0</v>
      </c>
      <c r="O48" s="719">
        <f>+landbouw!N12</f>
        <v>0</v>
      </c>
      <c r="P48" s="719">
        <f>+landbouw!O12</f>
        <v>0</v>
      </c>
      <c r="Q48" s="720">
        <f>+landbouw!P12</f>
        <v>0</v>
      </c>
      <c r="R48" s="762">
        <f ca="1">SUM(C48:Q48)</f>
        <v>15269.329481027024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10791.032839014948</v>
      </c>
      <c r="D53" s="774">
        <f t="shared" ref="D53:Q53" ca="1" si="6">D41+D46+D48</f>
        <v>13937.348379700492</v>
      </c>
      <c r="E53" s="774">
        <f t="shared" ca="1" si="6"/>
        <v>18002.161070905764</v>
      </c>
      <c r="F53" s="774">
        <f t="shared" si="6"/>
        <v>1114.8992456706312</v>
      </c>
      <c r="G53" s="774">
        <f t="shared" ca="1" si="6"/>
        <v>14187.675682105957</v>
      </c>
      <c r="H53" s="774">
        <f t="shared" si="6"/>
        <v>20035.330156580221</v>
      </c>
      <c r="I53" s="774">
        <f t="shared" si="6"/>
        <v>4125.5128154760996</v>
      </c>
      <c r="J53" s="774">
        <f t="shared" si="6"/>
        <v>0</v>
      </c>
      <c r="K53" s="774">
        <f t="shared" si="6"/>
        <v>139.23777225908898</v>
      </c>
      <c r="L53" s="774">
        <f t="shared" si="6"/>
        <v>0</v>
      </c>
      <c r="M53" s="774">
        <f t="shared" ca="1" si="6"/>
        <v>0</v>
      </c>
      <c r="N53" s="774">
        <f t="shared" si="6"/>
        <v>0</v>
      </c>
      <c r="O53" s="774">
        <f t="shared" ca="1" si="6"/>
        <v>0</v>
      </c>
      <c r="P53" s="774">
        <f>P41+P46+P48</f>
        <v>0</v>
      </c>
      <c r="Q53" s="775">
        <f t="shared" si="6"/>
        <v>0</v>
      </c>
      <c r="R53" s="776">
        <f ca="1">R41+R46+R48</f>
        <v>82333.197961713187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0.19566353638018208</v>
      </c>
      <c r="D55" s="837">
        <f t="shared" ca="1" si="7"/>
        <v>0.20794126035440913</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3490.6405225543112</v>
      </c>
      <c r="C66" s="796">
        <f>'lokale energieproductie'!B6</f>
        <v>3490.6405225543112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47929.5</v>
      </c>
      <c r="C67" s="795">
        <f>B67*IFERROR(SUM(J67:L67)/SUM(D67:M67),0)</f>
        <v>6330.5101336898388</v>
      </c>
      <c r="D67" s="827">
        <f>'lokale energieproductie'!C7</f>
        <v>47699.325825731365</v>
      </c>
      <c r="E67" s="828">
        <f>'lokale energieproductie'!D7</f>
        <v>0</v>
      </c>
      <c r="F67" s="828">
        <f>'lokale energieproductie'!E7</f>
        <v>1240.6622522805912</v>
      </c>
      <c r="G67" s="828">
        <f>'lokale energieproductie'!F7</f>
        <v>0</v>
      </c>
      <c r="H67" s="828">
        <f>'lokale energieproductie'!G7</f>
        <v>0</v>
      </c>
      <c r="I67" s="828">
        <f>'lokale energieproductie'!H7</f>
        <v>0</v>
      </c>
      <c r="J67" s="828">
        <f>'lokale energieproductie'!I7</f>
        <v>7447.658980811575</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9966.520638156655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51420.140522554313</v>
      </c>
      <c r="C69" s="804">
        <f>SUM(C64:C68)</f>
        <v>9821.15065624415</v>
      </c>
      <c r="D69" s="805">
        <f t="shared" ref="D69:M69" si="8">SUM(D67:D68)</f>
        <v>47699.325825731365</v>
      </c>
      <c r="E69" s="805">
        <f t="shared" si="8"/>
        <v>0</v>
      </c>
      <c r="F69" s="805">
        <f t="shared" si="8"/>
        <v>1240.6622522805912</v>
      </c>
      <c r="G69" s="805">
        <f t="shared" si="8"/>
        <v>0</v>
      </c>
      <c r="H69" s="805">
        <f t="shared" si="8"/>
        <v>0</v>
      </c>
      <c r="I69" s="805">
        <f t="shared" si="8"/>
        <v>0</v>
      </c>
      <c r="J69" s="805">
        <f t="shared" si="8"/>
        <v>7447.658980811575</v>
      </c>
      <c r="K69" s="805">
        <f t="shared" si="8"/>
        <v>0</v>
      </c>
      <c r="L69" s="805">
        <f t="shared" si="8"/>
        <v>0</v>
      </c>
      <c r="M69" s="931">
        <f t="shared" si="8"/>
        <v>0</v>
      </c>
      <c r="N69" s="806">
        <v>0</v>
      </c>
      <c r="O69" s="806">
        <f>SUM(O67:O68)</f>
        <v>9966.520638156655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67025.410714285725</v>
      </c>
      <c r="C78" s="818">
        <f>B78*IFERROR(SUM(I78:L78)/SUM(D78:M78),0)</f>
        <v>8852.6907591673043</v>
      </c>
      <c r="D78" s="833">
        <f>'lokale energieproductie'!C16</f>
        <v>66703.531317125788</v>
      </c>
      <c r="E78" s="833">
        <f>'lokale energieproductie'!D16</f>
        <v>0</v>
      </c>
      <c r="F78" s="833">
        <f>'lokale energieproductie'!E16</f>
        <v>1734.9627477194085</v>
      </c>
      <c r="G78" s="833">
        <f>'lokale energieproductie'!F16</f>
        <v>0</v>
      </c>
      <c r="H78" s="833">
        <f>'lokale energieproductie'!G16</f>
        <v>0</v>
      </c>
      <c r="I78" s="833">
        <f>'lokale energieproductie'!H16</f>
        <v>0</v>
      </c>
      <c r="J78" s="833">
        <f>'lokale energieproductie'!I16</f>
        <v>10414.930304902709</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13937.348379700492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67025.410714285725</v>
      </c>
      <c r="C81" s="804">
        <f>SUM(C78:C80)</f>
        <v>8852.6907591673043</v>
      </c>
      <c r="D81" s="804">
        <f t="shared" ref="D81:P81" si="9">SUM(D78:D80)</f>
        <v>66703.531317125788</v>
      </c>
      <c r="E81" s="804">
        <f t="shared" si="9"/>
        <v>0</v>
      </c>
      <c r="F81" s="804">
        <f t="shared" si="9"/>
        <v>1734.9627477194085</v>
      </c>
      <c r="G81" s="804">
        <f t="shared" si="9"/>
        <v>0</v>
      </c>
      <c r="H81" s="804">
        <f t="shared" si="9"/>
        <v>0</v>
      </c>
      <c r="I81" s="804">
        <f t="shared" si="9"/>
        <v>0</v>
      </c>
      <c r="J81" s="804">
        <f t="shared" si="9"/>
        <v>10414.930304902709</v>
      </c>
      <c r="K81" s="804">
        <f t="shared" si="9"/>
        <v>0</v>
      </c>
      <c r="L81" s="804">
        <f t="shared" si="9"/>
        <v>0</v>
      </c>
      <c r="M81" s="804">
        <f t="shared" si="9"/>
        <v>0</v>
      </c>
      <c r="N81" s="804">
        <v>0</v>
      </c>
      <c r="O81" s="804">
        <f>SUM(O78:O80)</f>
        <v>13937.348379700492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32762.095715200325</v>
      </c>
      <c r="C4" s="479">
        <f>huishoudens!C8</f>
        <v>0</v>
      </c>
      <c r="D4" s="479">
        <f>huishoudens!D8</f>
        <v>48525.222185078281</v>
      </c>
      <c r="E4" s="479">
        <f>huishoudens!E8</f>
        <v>3841.9751793329538</v>
      </c>
      <c r="F4" s="479">
        <f>huishoudens!F8</f>
        <v>43709.032453182183</v>
      </c>
      <c r="G4" s="479">
        <f>huishoudens!G8</f>
        <v>0</v>
      </c>
      <c r="H4" s="479">
        <f>huishoudens!H8</f>
        <v>0</v>
      </c>
      <c r="I4" s="479">
        <f>huishoudens!I8</f>
        <v>0</v>
      </c>
      <c r="J4" s="479">
        <f>huishoudens!J8</f>
        <v>0</v>
      </c>
      <c r="K4" s="479">
        <f>huishoudens!K8</f>
        <v>0</v>
      </c>
      <c r="L4" s="479">
        <f>huishoudens!L8</f>
        <v>0</v>
      </c>
      <c r="M4" s="479">
        <f>huishoudens!M8</f>
        <v>0</v>
      </c>
      <c r="N4" s="479">
        <f>huishoudens!N8</f>
        <v>9539.7313541871881</v>
      </c>
      <c r="O4" s="479">
        <f>huishoudens!O8</f>
        <v>223.55666666666667</v>
      </c>
      <c r="P4" s="480">
        <f>huishoudens!P8</f>
        <v>915.2</v>
      </c>
      <c r="Q4" s="481">
        <f>SUM(B4:P4)</f>
        <v>139516.8135536476</v>
      </c>
    </row>
    <row r="5" spans="1:17">
      <c r="A5" s="478" t="s">
        <v>156</v>
      </c>
      <c r="B5" s="479">
        <f ca="1">tertiair!B16</f>
        <v>12850.8267</v>
      </c>
      <c r="C5" s="479">
        <f ca="1">tertiair!C16</f>
        <v>0</v>
      </c>
      <c r="D5" s="479">
        <f ca="1">tertiair!D16</f>
        <v>37018.451714509509</v>
      </c>
      <c r="E5" s="479">
        <f>tertiair!E16</f>
        <v>154.15421806673612</v>
      </c>
      <c r="F5" s="479">
        <f ca="1">tertiair!F16</f>
        <v>1895.9858100780211</v>
      </c>
      <c r="G5" s="479">
        <f>tertiair!G16</f>
        <v>0</v>
      </c>
      <c r="H5" s="479">
        <f>tertiair!H16</f>
        <v>0</v>
      </c>
      <c r="I5" s="479">
        <f>tertiair!I16</f>
        <v>0</v>
      </c>
      <c r="J5" s="479">
        <f>tertiair!J16</f>
        <v>0</v>
      </c>
      <c r="K5" s="479">
        <f>tertiair!K16</f>
        <v>0</v>
      </c>
      <c r="L5" s="479">
        <f ca="1">tertiair!L16</f>
        <v>0</v>
      </c>
      <c r="M5" s="479">
        <f>tertiair!M16</f>
        <v>0</v>
      </c>
      <c r="N5" s="479">
        <f ca="1">tertiair!N16</f>
        <v>824.32361902729906</v>
      </c>
      <c r="O5" s="479">
        <f>tertiair!O16</f>
        <v>3.1266666666666669</v>
      </c>
      <c r="P5" s="480">
        <f>tertiair!P16</f>
        <v>38.133333333333333</v>
      </c>
      <c r="Q5" s="478">
        <f t="shared" ref="Q5:Q13" ca="1" si="0">SUM(B5:P5)</f>
        <v>52785.00206168156</v>
      </c>
    </row>
    <row r="6" spans="1:17">
      <c r="A6" s="478" t="s">
        <v>194</v>
      </c>
      <c r="B6" s="479">
        <f>'openbare verlichting'!B8</f>
        <v>945.15800000000002</v>
      </c>
      <c r="C6" s="479"/>
      <c r="D6" s="479"/>
      <c r="E6" s="479"/>
      <c r="F6" s="479"/>
      <c r="G6" s="479"/>
      <c r="H6" s="479"/>
      <c r="I6" s="479"/>
      <c r="J6" s="479"/>
      <c r="K6" s="479"/>
      <c r="L6" s="479"/>
      <c r="M6" s="479"/>
      <c r="N6" s="479"/>
      <c r="O6" s="479"/>
      <c r="P6" s="480"/>
      <c r="Q6" s="478">
        <f t="shared" si="0"/>
        <v>945.15800000000002</v>
      </c>
    </row>
    <row r="7" spans="1:17">
      <c r="A7" s="478" t="s">
        <v>112</v>
      </c>
      <c r="B7" s="479">
        <f>landbouw!B8</f>
        <v>2287.83853</v>
      </c>
      <c r="C7" s="479">
        <f>landbouw!C8</f>
        <v>67025.410714285725</v>
      </c>
      <c r="D7" s="479">
        <f>landbouw!D8</f>
        <v>0</v>
      </c>
      <c r="E7" s="479">
        <f>landbouw!E8</f>
        <v>21.190918699719148</v>
      </c>
      <c r="F7" s="479">
        <f>landbouw!F8</f>
        <v>2829.0571834027032</v>
      </c>
      <c r="G7" s="479">
        <f>landbouw!G8</f>
        <v>0</v>
      </c>
      <c r="H7" s="479">
        <f>landbouw!H8</f>
        <v>0</v>
      </c>
      <c r="I7" s="479">
        <f>landbouw!I8</f>
        <v>0</v>
      </c>
      <c r="J7" s="479">
        <f>landbouw!J8</f>
        <v>350.75117900151332</v>
      </c>
      <c r="K7" s="479">
        <f>landbouw!K8</f>
        <v>0</v>
      </c>
      <c r="L7" s="479">
        <f>landbouw!L8</f>
        <v>0</v>
      </c>
      <c r="M7" s="479">
        <f>landbouw!M8</f>
        <v>0</v>
      </c>
      <c r="N7" s="479">
        <f>landbouw!N8</f>
        <v>0</v>
      </c>
      <c r="O7" s="479">
        <f>landbouw!O8</f>
        <v>0</v>
      </c>
      <c r="P7" s="480">
        <f>landbouw!P8</f>
        <v>0</v>
      </c>
      <c r="Q7" s="478">
        <f t="shared" si="0"/>
        <v>72514.248525389659</v>
      </c>
    </row>
    <row r="8" spans="1:17">
      <c r="A8" s="478" t="s">
        <v>650</v>
      </c>
      <c r="B8" s="479">
        <f>industrie!B18</f>
        <v>6288.32683</v>
      </c>
      <c r="C8" s="479">
        <f>industrie!C18</f>
        <v>0</v>
      </c>
      <c r="D8" s="479">
        <f>industrie!D18</f>
        <v>3532.105083321585</v>
      </c>
      <c r="E8" s="479">
        <f>industrie!E18</f>
        <v>614.69096671317766</v>
      </c>
      <c r="F8" s="479">
        <f>industrie!F18</f>
        <v>4703.2866586028431</v>
      </c>
      <c r="G8" s="479">
        <f>industrie!G18</f>
        <v>0</v>
      </c>
      <c r="H8" s="479">
        <f>industrie!H18</f>
        <v>0</v>
      </c>
      <c r="I8" s="479">
        <f>industrie!I18</f>
        <v>0</v>
      </c>
      <c r="J8" s="479">
        <f>industrie!J18</f>
        <v>42.575861278399067</v>
      </c>
      <c r="K8" s="479">
        <f>industrie!K18</f>
        <v>0</v>
      </c>
      <c r="L8" s="479">
        <f>industrie!L18</f>
        <v>0</v>
      </c>
      <c r="M8" s="479">
        <f>industrie!M18</f>
        <v>0</v>
      </c>
      <c r="N8" s="479">
        <f>industrie!N18</f>
        <v>1805.1753594385937</v>
      </c>
      <c r="O8" s="479">
        <f>industrie!O18</f>
        <v>0</v>
      </c>
      <c r="P8" s="480">
        <f>industrie!P18</f>
        <v>0</v>
      </c>
      <c r="Q8" s="478">
        <f t="shared" si="0"/>
        <v>16986.1607593546</v>
      </c>
    </row>
    <row r="9" spans="1:17" s="484" customFormat="1">
      <c r="A9" s="482" t="s">
        <v>571</v>
      </c>
      <c r="B9" s="483">
        <f>transport!B14</f>
        <v>16.719185626810667</v>
      </c>
      <c r="C9" s="483"/>
      <c r="D9" s="483">
        <f>transport!D14</f>
        <v>43.830279000335175</v>
      </c>
      <c r="E9" s="483">
        <f>transport!E14</f>
        <v>279.43913864393824</v>
      </c>
      <c r="F9" s="483"/>
      <c r="G9" s="483">
        <f>transport!G14</f>
        <v>73515.386192902937</v>
      </c>
      <c r="H9" s="483">
        <f>transport!H14</f>
        <v>16568.324560144978</v>
      </c>
      <c r="I9" s="483"/>
      <c r="J9" s="483"/>
      <c r="K9" s="483"/>
      <c r="L9" s="483"/>
      <c r="M9" s="483">
        <f>transport!M14</f>
        <v>4762.5693811763113</v>
      </c>
      <c r="N9" s="483"/>
      <c r="O9" s="483"/>
      <c r="P9" s="483"/>
      <c r="Q9" s="482">
        <f>SUM(B9:P9)</f>
        <v>95186.268737495295</v>
      </c>
    </row>
    <row r="10" spans="1:17">
      <c r="A10" s="478" t="s">
        <v>561</v>
      </c>
      <c r="B10" s="479">
        <f>transport!B54</f>
        <v>0</v>
      </c>
      <c r="C10" s="479"/>
      <c r="D10" s="479">
        <f>transport!D54</f>
        <v>0</v>
      </c>
      <c r="E10" s="479"/>
      <c r="F10" s="479"/>
      <c r="G10" s="479">
        <f>transport!G54</f>
        <v>1523.3035321166105</v>
      </c>
      <c r="H10" s="479"/>
      <c r="I10" s="479"/>
      <c r="J10" s="479"/>
      <c r="K10" s="479"/>
      <c r="L10" s="479"/>
      <c r="M10" s="479">
        <f>transport!M54</f>
        <v>86.869559766930323</v>
      </c>
      <c r="N10" s="479"/>
      <c r="O10" s="479"/>
      <c r="P10" s="480"/>
      <c r="Q10" s="478">
        <f t="shared" si="0"/>
        <v>1610.1730918835408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55150.964960827136</v>
      </c>
      <c r="C14" s="489">
        <f t="shared" ref="C14:Q14" ca="1" si="1">SUM(C4:C13)</f>
        <v>67025.410714285725</v>
      </c>
      <c r="D14" s="489">
        <f t="shared" ca="1" si="1"/>
        <v>89119.609261909718</v>
      </c>
      <c r="E14" s="489">
        <f t="shared" si="1"/>
        <v>4911.450421456525</v>
      </c>
      <c r="F14" s="489">
        <f t="shared" ca="1" si="1"/>
        <v>53137.36210526574</v>
      </c>
      <c r="G14" s="489">
        <f t="shared" si="1"/>
        <v>75038.689725019547</v>
      </c>
      <c r="H14" s="489">
        <f t="shared" si="1"/>
        <v>16568.324560144978</v>
      </c>
      <c r="I14" s="489">
        <f t="shared" si="1"/>
        <v>0</v>
      </c>
      <c r="J14" s="489">
        <f t="shared" si="1"/>
        <v>393.32704027991241</v>
      </c>
      <c r="K14" s="489">
        <f t="shared" si="1"/>
        <v>0</v>
      </c>
      <c r="L14" s="489">
        <f t="shared" ca="1" si="1"/>
        <v>0</v>
      </c>
      <c r="M14" s="489">
        <f t="shared" si="1"/>
        <v>4849.4389409432415</v>
      </c>
      <c r="N14" s="489">
        <f t="shared" ca="1" si="1"/>
        <v>12169.23033265308</v>
      </c>
      <c r="O14" s="489">
        <f t="shared" si="1"/>
        <v>226.68333333333334</v>
      </c>
      <c r="P14" s="490">
        <f t="shared" si="1"/>
        <v>953.33333333333337</v>
      </c>
      <c r="Q14" s="490">
        <f t="shared" ca="1" si="1"/>
        <v>379543.82472945226</v>
      </c>
    </row>
    <row r="16" spans="1:17">
      <c r="A16" s="492" t="s">
        <v>566</v>
      </c>
      <c r="B16" s="842">
        <f ca="1">huishoudens!B10</f>
        <v>0.19566353638018208</v>
      </c>
      <c r="C16" s="842">
        <f ca="1">huishoudens!C10</f>
        <v>0.20794126035440913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6410.3475068621065</v>
      </c>
      <c r="C21" s="479">
        <f t="shared" ref="C21:C28" ca="1" si="3">C4*$C$16</f>
        <v>0</v>
      </c>
      <c r="D21" s="479">
        <f t="shared" ref="D21:D30" si="4">D4*$D$16</f>
        <v>9802.094881385814</v>
      </c>
      <c r="E21" s="479">
        <f t="shared" ref="E21:E30" si="5">E4*$E$16</f>
        <v>872.12836570858053</v>
      </c>
      <c r="F21" s="479">
        <f t="shared" ref="F21:F28" si="6">F4*$F$16</f>
        <v>11670.311664999643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28754.882418956142</v>
      </c>
    </row>
    <row r="22" spans="1:17">
      <c r="A22" s="478" t="s">
        <v>156</v>
      </c>
      <c r="B22" s="479">
        <f t="shared" ca="1" si="2"/>
        <v>2514.4381975308652</v>
      </c>
      <c r="C22" s="479">
        <f t="shared" ca="1" si="3"/>
        <v>0</v>
      </c>
      <c r="D22" s="479">
        <f t="shared" ca="1" si="4"/>
        <v>7477.7272463309209</v>
      </c>
      <c r="E22" s="479">
        <f t="shared" si="5"/>
        <v>34.993007501149101</v>
      </c>
      <c r="F22" s="479">
        <f t="shared" ca="1" si="6"/>
        <v>506.22821129083167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10533.386662653767</v>
      </c>
    </row>
    <row r="23" spans="1:17">
      <c r="A23" s="478" t="s">
        <v>194</v>
      </c>
      <c r="B23" s="479">
        <f t="shared" ca="1" si="2"/>
        <v>184.93295671802014</v>
      </c>
      <c r="C23" s="479"/>
      <c r="D23" s="479"/>
      <c r="E23" s="479"/>
      <c r="F23" s="479"/>
      <c r="G23" s="479"/>
      <c r="H23" s="479"/>
      <c r="I23" s="479"/>
      <c r="J23" s="479"/>
      <c r="K23" s="479"/>
      <c r="L23" s="479"/>
      <c r="M23" s="479"/>
      <c r="N23" s="479"/>
      <c r="O23" s="479"/>
      <c r="P23" s="480"/>
      <c r="Q23" s="478">
        <f t="shared" ca="1" si="17"/>
        <v>184.93295671802014</v>
      </c>
    </row>
    <row r="24" spans="1:17">
      <c r="A24" s="478" t="s">
        <v>112</v>
      </c>
      <c r="B24" s="479">
        <f t="shared" ca="1" si="2"/>
        <v>447.64657744663731</v>
      </c>
      <c r="C24" s="479">
        <f t="shared" ca="1" si="3"/>
        <v>13937.348379700492</v>
      </c>
      <c r="D24" s="479">
        <f t="shared" si="4"/>
        <v>0</v>
      </c>
      <c r="E24" s="479">
        <f t="shared" si="5"/>
        <v>4.810338544836247</v>
      </c>
      <c r="F24" s="479">
        <f t="shared" si="6"/>
        <v>755.35826796852177</v>
      </c>
      <c r="G24" s="479">
        <f t="shared" si="7"/>
        <v>0</v>
      </c>
      <c r="H24" s="479">
        <f t="shared" si="8"/>
        <v>0</v>
      </c>
      <c r="I24" s="479">
        <f t="shared" si="9"/>
        <v>0</v>
      </c>
      <c r="J24" s="479">
        <f t="shared" si="10"/>
        <v>124.16591736653571</v>
      </c>
      <c r="K24" s="479">
        <f t="shared" si="11"/>
        <v>0</v>
      </c>
      <c r="L24" s="479">
        <f t="shared" si="12"/>
        <v>0</v>
      </c>
      <c r="M24" s="479">
        <f t="shared" si="13"/>
        <v>0</v>
      </c>
      <c r="N24" s="479">
        <f t="shared" si="14"/>
        <v>0</v>
      </c>
      <c r="O24" s="479">
        <f t="shared" si="15"/>
        <v>0</v>
      </c>
      <c r="P24" s="480">
        <f t="shared" si="16"/>
        <v>0</v>
      </c>
      <c r="Q24" s="478">
        <f t="shared" ca="1" si="17"/>
        <v>15269.329481027024</v>
      </c>
    </row>
    <row r="25" spans="1:17">
      <c r="A25" s="478" t="s">
        <v>650</v>
      </c>
      <c r="B25" s="479">
        <f t="shared" ca="1" si="2"/>
        <v>1230.3962654721799</v>
      </c>
      <c r="C25" s="479">
        <f t="shared" ca="1" si="3"/>
        <v>0</v>
      </c>
      <c r="D25" s="479">
        <f t="shared" si="4"/>
        <v>713.48522683096019</v>
      </c>
      <c r="E25" s="479">
        <f t="shared" si="5"/>
        <v>139.53484944389135</v>
      </c>
      <c r="F25" s="479">
        <f t="shared" si="6"/>
        <v>1255.7775378469591</v>
      </c>
      <c r="G25" s="479">
        <f t="shared" si="7"/>
        <v>0</v>
      </c>
      <c r="H25" s="479">
        <f t="shared" si="8"/>
        <v>0</v>
      </c>
      <c r="I25" s="479">
        <f t="shared" si="9"/>
        <v>0</v>
      </c>
      <c r="J25" s="479">
        <f t="shared" si="10"/>
        <v>15.071854892553269</v>
      </c>
      <c r="K25" s="479">
        <f t="shared" si="11"/>
        <v>0</v>
      </c>
      <c r="L25" s="479">
        <f t="shared" si="12"/>
        <v>0</v>
      </c>
      <c r="M25" s="479">
        <f t="shared" si="13"/>
        <v>0</v>
      </c>
      <c r="N25" s="479">
        <f t="shared" si="14"/>
        <v>0</v>
      </c>
      <c r="O25" s="479">
        <f t="shared" si="15"/>
        <v>0</v>
      </c>
      <c r="P25" s="480">
        <f t="shared" si="16"/>
        <v>0</v>
      </c>
      <c r="Q25" s="478">
        <f t="shared" ca="1" si="17"/>
        <v>3354.2657344865438</v>
      </c>
    </row>
    <row r="26" spans="1:17" s="484" customFormat="1">
      <c r="A26" s="482" t="s">
        <v>571</v>
      </c>
      <c r="B26" s="836">
        <f t="shared" ca="1" si="2"/>
        <v>3.2713349851384863</v>
      </c>
      <c r="C26" s="483"/>
      <c r="D26" s="483">
        <f t="shared" si="4"/>
        <v>8.8537163580677056</v>
      </c>
      <c r="E26" s="483">
        <f t="shared" si="5"/>
        <v>63.432684472173982</v>
      </c>
      <c r="F26" s="483"/>
      <c r="G26" s="483">
        <f t="shared" si="7"/>
        <v>19628.608113505084</v>
      </c>
      <c r="H26" s="483">
        <f t="shared" si="8"/>
        <v>4125.5128154760996</v>
      </c>
      <c r="I26" s="483"/>
      <c r="J26" s="483"/>
      <c r="K26" s="483"/>
      <c r="L26" s="483"/>
      <c r="M26" s="483">
        <f t="shared" si="13"/>
        <v>0</v>
      </c>
      <c r="N26" s="483"/>
      <c r="O26" s="483"/>
      <c r="P26" s="494"/>
      <c r="Q26" s="482">
        <f t="shared" ca="1" si="17"/>
        <v>23829.678664796564</v>
      </c>
    </row>
    <row r="27" spans="1:17">
      <c r="A27" s="478" t="s">
        <v>561</v>
      </c>
      <c r="B27" s="479">
        <f t="shared" ca="1" si="2"/>
        <v>0</v>
      </c>
      <c r="C27" s="479"/>
      <c r="D27" s="483">
        <f t="shared" si="4"/>
        <v>0</v>
      </c>
      <c r="E27" s="479"/>
      <c r="F27" s="479"/>
      <c r="G27" s="479">
        <f t="shared" si="7"/>
        <v>406.72204307513505</v>
      </c>
      <c r="H27" s="479"/>
      <c r="I27" s="479"/>
      <c r="J27" s="479"/>
      <c r="K27" s="479"/>
      <c r="L27" s="479"/>
      <c r="M27" s="479">
        <f t="shared" si="13"/>
        <v>0</v>
      </c>
      <c r="N27" s="479"/>
      <c r="O27" s="479"/>
      <c r="P27" s="480"/>
      <c r="Q27" s="478">
        <f t="shared" ca="1" si="17"/>
        <v>406.72204307513505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10791.032839014948</v>
      </c>
      <c r="C31" s="489">
        <f t="shared" ca="1" si="18"/>
        <v>13937.348379700492</v>
      </c>
      <c r="D31" s="489">
        <f t="shared" ca="1" si="18"/>
        <v>18002.161070905764</v>
      </c>
      <c r="E31" s="489">
        <f t="shared" si="18"/>
        <v>1114.8992456706312</v>
      </c>
      <c r="F31" s="489">
        <f t="shared" ca="1" si="18"/>
        <v>14187.675682105957</v>
      </c>
      <c r="G31" s="489">
        <f t="shared" si="18"/>
        <v>20035.330156580221</v>
      </c>
      <c r="H31" s="489">
        <f t="shared" si="18"/>
        <v>4125.5128154760996</v>
      </c>
      <c r="I31" s="489">
        <f t="shared" si="18"/>
        <v>0</v>
      </c>
      <c r="J31" s="489">
        <f t="shared" si="18"/>
        <v>139.23777225908898</v>
      </c>
      <c r="K31" s="489">
        <f t="shared" si="18"/>
        <v>0</v>
      </c>
      <c r="L31" s="489">
        <f t="shared" ca="1" si="18"/>
        <v>0</v>
      </c>
      <c r="M31" s="489">
        <f t="shared" si="18"/>
        <v>0</v>
      </c>
      <c r="N31" s="489">
        <f t="shared" ca="1" si="18"/>
        <v>0</v>
      </c>
      <c r="O31" s="489">
        <f t="shared" si="18"/>
        <v>0</v>
      </c>
      <c r="P31" s="490">
        <f t="shared" si="18"/>
        <v>0</v>
      </c>
      <c r="Q31" s="490">
        <f t="shared" ca="1" si="18"/>
        <v>82333.197961713187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0.19566353638018208</v>
      </c>
      <c r="C17" s="529">
        <f ca="1">'EF ele_warmte'!B22</f>
        <v>0.20794126035440913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0.19566353638018208</v>
      </c>
      <c r="C17" s="529">
        <f ca="1">'EF ele_warmte'!B22</f>
        <v>0.20794126035440913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0.19566353638018208</v>
      </c>
      <c r="C29" s="530">
        <f ca="1">'EF ele_warmte'!B22</f>
        <v>0.20794126035440913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7103</v>
      </c>
      <c r="C9" s="342">
        <v>7215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1494</v>
      </c>
    </row>
    <row r="15" spans="1:6">
      <c r="A15" s="348" t="s">
        <v>184</v>
      </c>
      <c r="B15" s="334">
        <v>2</v>
      </c>
    </row>
    <row r="16" spans="1:6">
      <c r="A16" s="348" t="s">
        <v>6</v>
      </c>
      <c r="B16" s="334">
        <v>219</v>
      </c>
    </row>
    <row r="17" spans="1:6">
      <c r="A17" s="348" t="s">
        <v>7</v>
      </c>
      <c r="B17" s="334">
        <v>237</v>
      </c>
    </row>
    <row r="18" spans="1:6">
      <c r="A18" s="348" t="s">
        <v>8</v>
      </c>
      <c r="B18" s="334">
        <v>492</v>
      </c>
    </row>
    <row r="19" spans="1:6">
      <c r="A19" s="348" t="s">
        <v>9</v>
      </c>
      <c r="B19" s="334">
        <v>503</v>
      </c>
    </row>
    <row r="20" spans="1:6">
      <c r="A20" s="348" t="s">
        <v>10</v>
      </c>
      <c r="B20" s="334">
        <v>277</v>
      </c>
    </row>
    <row r="21" spans="1:6">
      <c r="A21" s="348" t="s">
        <v>11</v>
      </c>
      <c r="B21" s="334">
        <v>0</v>
      </c>
    </row>
    <row r="22" spans="1:6">
      <c r="A22" s="348" t="s">
        <v>12</v>
      </c>
      <c r="B22" s="334">
        <v>493</v>
      </c>
    </row>
    <row r="23" spans="1:6">
      <c r="A23" s="348" t="s">
        <v>13</v>
      </c>
      <c r="B23" s="334">
        <v>0</v>
      </c>
    </row>
    <row r="24" spans="1:6">
      <c r="A24" s="348" t="s">
        <v>14</v>
      </c>
      <c r="B24" s="334">
        <v>0</v>
      </c>
    </row>
    <row r="25" spans="1:6">
      <c r="A25" s="348" t="s">
        <v>15</v>
      </c>
      <c r="B25" s="334">
        <v>0</v>
      </c>
    </row>
    <row r="26" spans="1:6">
      <c r="A26" s="348" t="s">
        <v>16</v>
      </c>
      <c r="B26" s="334">
        <v>290</v>
      </c>
    </row>
    <row r="27" spans="1:6">
      <c r="A27" s="348" t="s">
        <v>17</v>
      </c>
      <c r="B27" s="334">
        <v>13</v>
      </c>
    </row>
    <row r="28" spans="1:6" s="356" customFormat="1">
      <c r="A28" s="355" t="s">
        <v>18</v>
      </c>
      <c r="B28" s="355">
        <v>28949</v>
      </c>
    </row>
    <row r="29" spans="1:6">
      <c r="A29" s="355" t="s">
        <v>865</v>
      </c>
      <c r="B29" s="355">
        <v>185</v>
      </c>
      <c r="C29" s="356"/>
      <c r="D29" s="356"/>
      <c r="E29" s="356"/>
      <c r="F29" s="356"/>
    </row>
    <row r="30" spans="1:6">
      <c r="A30" s="341" t="s">
        <v>866</v>
      </c>
      <c r="B30" s="341">
        <v>103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40649.540021979403</v>
      </c>
      <c r="E38" s="334">
        <v>2</v>
      </c>
      <c r="F38" s="334">
        <v>18680.55</v>
      </c>
    </row>
    <row r="39" spans="1:6">
      <c r="A39" s="348" t="s">
        <v>30</v>
      </c>
      <c r="B39" s="348" t="s">
        <v>31</v>
      </c>
      <c r="C39" s="334">
        <v>3621</v>
      </c>
      <c r="D39" s="334">
        <v>53797363.841550201</v>
      </c>
      <c r="E39" s="334">
        <v>7038</v>
      </c>
      <c r="F39" s="334">
        <v>29642578</v>
      </c>
    </row>
    <row r="40" spans="1:6">
      <c r="A40" s="348" t="s">
        <v>30</v>
      </c>
      <c r="B40" s="348" t="s">
        <v>29</v>
      </c>
      <c r="C40" s="334">
        <v>0</v>
      </c>
      <c r="D40" s="334">
        <v>0</v>
      </c>
      <c r="E40" s="334">
        <v>0</v>
      </c>
      <c r="F40" s="334">
        <v>0</v>
      </c>
    </row>
    <row r="41" spans="1:6">
      <c r="A41" s="348" t="s">
        <v>32</v>
      </c>
      <c r="B41" s="348" t="s">
        <v>33</v>
      </c>
      <c r="C41" s="334">
        <v>33</v>
      </c>
      <c r="D41" s="334">
        <v>1957836.8035870199</v>
      </c>
      <c r="E41" s="334">
        <v>144</v>
      </c>
      <c r="F41" s="334">
        <v>1700899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738161.6</v>
      </c>
    </row>
    <row r="45" spans="1:6">
      <c r="A45" s="348" t="s">
        <v>32</v>
      </c>
      <c r="B45" s="348" t="s">
        <v>37</v>
      </c>
      <c r="C45" s="334">
        <v>0</v>
      </c>
      <c r="D45" s="334">
        <v>0</v>
      </c>
      <c r="E45" s="334">
        <v>3</v>
      </c>
      <c r="F45" s="334">
        <v>22973.03</v>
      </c>
    </row>
    <row r="46" spans="1:6">
      <c r="A46" s="348" t="s">
        <v>32</v>
      </c>
      <c r="B46" s="348" t="s">
        <v>38</v>
      </c>
      <c r="C46" s="334">
        <v>0</v>
      </c>
      <c r="D46" s="334">
        <v>0</v>
      </c>
      <c r="E46" s="334">
        <v>0</v>
      </c>
      <c r="F46" s="334">
        <v>0</v>
      </c>
    </row>
    <row r="47" spans="1:6">
      <c r="A47" s="348" t="s">
        <v>32</v>
      </c>
      <c r="B47" s="348" t="s">
        <v>39</v>
      </c>
      <c r="C47" s="334">
        <v>0</v>
      </c>
      <c r="D47" s="334">
        <v>0</v>
      </c>
      <c r="E47" s="334">
        <v>7</v>
      </c>
      <c r="F47" s="334">
        <v>201789.2</v>
      </c>
    </row>
    <row r="48" spans="1:6">
      <c r="A48" s="348" t="s">
        <v>32</v>
      </c>
      <c r="B48" s="348" t="s">
        <v>29</v>
      </c>
      <c r="C48" s="334">
        <v>18</v>
      </c>
      <c r="D48" s="334">
        <v>1085525.75970732</v>
      </c>
      <c r="E48" s="334">
        <v>25</v>
      </c>
      <c r="F48" s="334">
        <v>2239567</v>
      </c>
    </row>
    <row r="49" spans="1:6">
      <c r="A49" s="348" t="s">
        <v>32</v>
      </c>
      <c r="B49" s="348" t="s">
        <v>40</v>
      </c>
      <c r="C49" s="334">
        <v>0</v>
      </c>
      <c r="D49" s="334">
        <v>0</v>
      </c>
      <c r="E49" s="334">
        <v>0</v>
      </c>
      <c r="F49" s="334">
        <v>0</v>
      </c>
    </row>
    <row r="50" spans="1:6">
      <c r="A50" s="348" t="s">
        <v>32</v>
      </c>
      <c r="B50" s="348" t="s">
        <v>41</v>
      </c>
      <c r="C50" s="334">
        <v>7</v>
      </c>
      <c r="D50" s="334">
        <v>872496.73085375899</v>
      </c>
      <c r="E50" s="334">
        <v>22</v>
      </c>
      <c r="F50" s="334">
        <v>1384937</v>
      </c>
    </row>
    <row r="51" spans="1:6">
      <c r="A51" s="348" t="s">
        <v>42</v>
      </c>
      <c r="B51" s="348" t="s">
        <v>43</v>
      </c>
      <c r="C51" s="334">
        <v>14</v>
      </c>
      <c r="D51" s="334">
        <v>90666591.942616403</v>
      </c>
      <c r="E51" s="334">
        <v>92</v>
      </c>
      <c r="F51" s="334">
        <v>2227260</v>
      </c>
    </row>
    <row r="52" spans="1:6">
      <c r="A52" s="348" t="s">
        <v>42</v>
      </c>
      <c r="B52" s="348" t="s">
        <v>29</v>
      </c>
      <c r="C52" s="334">
        <v>7</v>
      </c>
      <c r="D52" s="334">
        <v>390314.53269046301</v>
      </c>
      <c r="E52" s="334">
        <v>6</v>
      </c>
      <c r="F52" s="334">
        <v>60578.53</v>
      </c>
    </row>
    <row r="53" spans="1:6">
      <c r="A53" s="348" t="s">
        <v>44</v>
      </c>
      <c r="B53" s="348" t="s">
        <v>45</v>
      </c>
      <c r="C53" s="334">
        <v>95</v>
      </c>
      <c r="D53" s="334">
        <v>2511452.0842367299</v>
      </c>
      <c r="E53" s="334">
        <v>249</v>
      </c>
      <c r="F53" s="334">
        <v>1066735</v>
      </c>
    </row>
    <row r="54" spans="1:6">
      <c r="A54" s="348" t="s">
        <v>46</v>
      </c>
      <c r="B54" s="348" t="s">
        <v>47</v>
      </c>
      <c r="C54" s="334">
        <v>0</v>
      </c>
      <c r="D54" s="334">
        <v>0</v>
      </c>
      <c r="E54" s="334">
        <v>1</v>
      </c>
      <c r="F54" s="334">
        <v>945158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678412.66642936401</v>
      </c>
      <c r="E57" s="334">
        <v>76</v>
      </c>
      <c r="F57" s="334">
        <v>811420.5</v>
      </c>
    </row>
    <row r="58" spans="1:6">
      <c r="A58" s="348" t="s">
        <v>49</v>
      </c>
      <c r="B58" s="348" t="s">
        <v>51</v>
      </c>
      <c r="C58" s="334">
        <v>3</v>
      </c>
      <c r="D58" s="334">
        <v>158730.49046502</v>
      </c>
      <c r="E58" s="334">
        <v>13</v>
      </c>
      <c r="F58" s="334">
        <v>109803.2</v>
      </c>
    </row>
    <row r="59" spans="1:6">
      <c r="A59" s="348" t="s">
        <v>49</v>
      </c>
      <c r="B59" s="348" t="s">
        <v>52</v>
      </c>
      <c r="C59" s="334">
        <v>63</v>
      </c>
      <c r="D59" s="334">
        <v>1978391.2621963599</v>
      </c>
      <c r="E59" s="334">
        <v>192</v>
      </c>
      <c r="F59" s="334">
        <v>5150522</v>
      </c>
    </row>
    <row r="60" spans="1:6">
      <c r="A60" s="348" t="s">
        <v>49</v>
      </c>
      <c r="B60" s="348" t="s">
        <v>53</v>
      </c>
      <c r="C60" s="334">
        <v>41</v>
      </c>
      <c r="D60" s="334">
        <v>1474214.57384839</v>
      </c>
      <c r="E60" s="334">
        <v>71</v>
      </c>
      <c r="F60" s="334">
        <v>1630114</v>
      </c>
    </row>
    <row r="61" spans="1:6">
      <c r="A61" s="348" t="s">
        <v>49</v>
      </c>
      <c r="B61" s="348" t="s">
        <v>54</v>
      </c>
      <c r="C61" s="334">
        <v>77</v>
      </c>
      <c r="D61" s="334">
        <v>3059812.2750375099</v>
      </c>
      <c r="E61" s="334">
        <v>221</v>
      </c>
      <c r="F61" s="334">
        <v>2830518</v>
      </c>
    </row>
    <row r="62" spans="1:6">
      <c r="A62" s="348" t="s">
        <v>49</v>
      </c>
      <c r="B62" s="348" t="s">
        <v>55</v>
      </c>
      <c r="C62" s="334">
        <v>0</v>
      </c>
      <c r="D62" s="334">
        <v>0</v>
      </c>
      <c r="E62" s="334">
        <v>8</v>
      </c>
      <c r="F62" s="334">
        <v>194538</v>
      </c>
    </row>
    <row r="63" spans="1:6">
      <c r="A63" s="348" t="s">
        <v>49</v>
      </c>
      <c r="B63" s="348" t="s">
        <v>29</v>
      </c>
      <c r="C63" s="334">
        <v>81</v>
      </c>
      <c r="D63" s="334">
        <v>33690850.832366496</v>
      </c>
      <c r="E63" s="334">
        <v>86</v>
      </c>
      <c r="F63" s="334">
        <v>2123911</v>
      </c>
    </row>
    <row r="64" spans="1:6">
      <c r="A64" s="348" t="s">
        <v>56</v>
      </c>
      <c r="B64" s="348" t="s">
        <v>57</v>
      </c>
      <c r="C64" s="334">
        <v>0</v>
      </c>
      <c r="D64" s="334">
        <v>0</v>
      </c>
      <c r="E64" s="334">
        <v>0</v>
      </c>
      <c r="F64" s="334">
        <v>0</v>
      </c>
    </row>
    <row r="65" spans="1:6">
      <c r="A65" s="348" t="s">
        <v>56</v>
      </c>
      <c r="B65" s="348" t="s">
        <v>29</v>
      </c>
      <c r="C65" s="334">
        <v>2</v>
      </c>
      <c r="D65" s="334">
        <v>102063.554461034</v>
      </c>
      <c r="E65" s="334">
        <v>1</v>
      </c>
      <c r="F65" s="334">
        <v>4999.3450000000003</v>
      </c>
    </row>
    <row r="66" spans="1:6">
      <c r="A66" s="348" t="s">
        <v>56</v>
      </c>
      <c r="B66" s="348" t="s">
        <v>58</v>
      </c>
      <c r="C66" s="334">
        <v>0</v>
      </c>
      <c r="D66" s="334">
        <v>0</v>
      </c>
      <c r="E66" s="334">
        <v>4</v>
      </c>
      <c r="F66" s="334">
        <v>30069.79</v>
      </c>
    </row>
    <row r="67" spans="1:6">
      <c r="A67" s="355" t="s">
        <v>56</v>
      </c>
      <c r="B67" s="355" t="s">
        <v>59</v>
      </c>
      <c r="C67" s="334">
        <v>0</v>
      </c>
      <c r="D67" s="334">
        <v>0</v>
      </c>
      <c r="E67" s="334">
        <v>0</v>
      </c>
      <c r="F67" s="334">
        <v>0</v>
      </c>
    </row>
    <row r="68" spans="1:6">
      <c r="A68" s="341" t="s">
        <v>56</v>
      </c>
      <c r="B68" s="341" t="s">
        <v>60</v>
      </c>
      <c r="C68" s="334">
        <v>0</v>
      </c>
      <c r="D68" s="334">
        <v>0</v>
      </c>
      <c r="E68" s="334">
        <v>10</v>
      </c>
      <c r="F68" s="334">
        <v>141929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100828708</v>
      </c>
      <c r="E73" s="477">
        <v>104539095.31530625</v>
      </c>
    </row>
    <row r="74" spans="1:6">
      <c r="A74" s="348" t="s">
        <v>64</v>
      </c>
      <c r="B74" s="348" t="s">
        <v>714</v>
      </c>
      <c r="C74" s="1288" t="s">
        <v>716</v>
      </c>
      <c r="D74" s="477">
        <v>6158133.6538473554</v>
      </c>
      <c r="E74" s="477">
        <v>6461506.4001504732</v>
      </c>
    </row>
    <row r="75" spans="1:6">
      <c r="A75" s="348" t="s">
        <v>65</v>
      </c>
      <c r="B75" s="348" t="s">
        <v>713</v>
      </c>
      <c r="C75" s="1288" t="s">
        <v>717</v>
      </c>
      <c r="D75" s="477">
        <v>21161486</v>
      </c>
      <c r="E75" s="477">
        <v>21940216.220402453</v>
      </c>
    </row>
    <row r="76" spans="1:6">
      <c r="A76" s="348" t="s">
        <v>65</v>
      </c>
      <c r="B76" s="348" t="s">
        <v>714</v>
      </c>
      <c r="C76" s="1288" t="s">
        <v>718</v>
      </c>
      <c r="D76" s="477">
        <v>142736.65384735537</v>
      </c>
      <c r="E76" s="477">
        <v>161910.81139416044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430276.69230528927</v>
      </c>
      <c r="C83" s="477">
        <v>425401.62145523354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3119.5177152003253</v>
      </c>
    </row>
    <row r="92" spans="1:6">
      <c r="A92" s="341" t="s">
        <v>69</v>
      </c>
      <c r="B92" s="342">
        <v>371.12280735398588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28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2</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55150.964960827136</v>
      </c>
      <c r="C3" s="43" t="s">
        <v>170</v>
      </c>
      <c r="D3" s="43"/>
      <c r="E3" s="154"/>
      <c r="F3" s="43"/>
      <c r="G3" s="43"/>
      <c r="H3" s="43"/>
      <c r="I3" s="43"/>
      <c r="J3" s="43"/>
      <c r="K3" s="96"/>
    </row>
    <row r="4" spans="1:11">
      <c r="A4" s="384" t="s">
        <v>171</v>
      </c>
      <c r="B4" s="49">
        <f>IF(ISERROR('SEAP template'!B69),0,'SEAP template'!B69)</f>
        <v>51420.140522554313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9966.520638156655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0.19566353638018208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13937.348379700492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67025.410714285725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0.20794126035440913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945.15800000000002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945.15800000000002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0.19566353638018208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184.93295671802014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29642.578000000001</v>
      </c>
      <c r="C5" s="17">
        <f>IF(ISERROR('Eigen informatie GS &amp; warmtenet'!B57),0,'Eigen informatie GS &amp; warmtenet'!B57)</f>
        <v>0</v>
      </c>
      <c r="D5" s="30">
        <f>(SUM(HH_hh_gas_kWh,HH_rest_gas_kWh)/1000)*0.902</f>
        <v>48525.222185078281</v>
      </c>
      <c r="E5" s="17">
        <f>B46*B57</f>
        <v>3841.9751793329538</v>
      </c>
      <c r="F5" s="17">
        <f>B51*B62</f>
        <v>43709.032453182183</v>
      </c>
      <c r="G5" s="18"/>
      <c r="H5" s="17"/>
      <c r="I5" s="17"/>
      <c r="J5" s="17">
        <f>B50*B61+C50*C61</f>
        <v>0</v>
      </c>
      <c r="K5" s="17"/>
      <c r="L5" s="17"/>
      <c r="M5" s="17"/>
      <c r="N5" s="17">
        <f>B48*B59+C48*C59</f>
        <v>9539.7313541871881</v>
      </c>
      <c r="O5" s="17">
        <f>B69*B70*B71</f>
        <v>223.55666666666667</v>
      </c>
      <c r="P5" s="17">
        <f>B77*B78*B79/1000-B77*B78*B79/1000/B80</f>
        <v>915.2</v>
      </c>
    </row>
    <row r="6" spans="1:16">
      <c r="A6" s="16" t="s">
        <v>631</v>
      </c>
      <c r="B6" s="844">
        <f>kWh_PV_kleiner_dan_10kW</f>
        <v>3119.5177152003253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32762.095715200325</v>
      </c>
      <c r="C8" s="21">
        <f>C5</f>
        <v>0</v>
      </c>
      <c r="D8" s="21">
        <f>D5</f>
        <v>48525.222185078281</v>
      </c>
      <c r="E8" s="21">
        <f>E5</f>
        <v>3841.9751793329538</v>
      </c>
      <c r="F8" s="21">
        <f>F5</f>
        <v>43709.032453182183</v>
      </c>
      <c r="G8" s="21"/>
      <c r="H8" s="21"/>
      <c r="I8" s="21"/>
      <c r="J8" s="21">
        <f>J5</f>
        <v>0</v>
      </c>
      <c r="K8" s="21"/>
      <c r="L8" s="21">
        <f>L5</f>
        <v>0</v>
      </c>
      <c r="M8" s="21">
        <f>M5</f>
        <v>0</v>
      </c>
      <c r="N8" s="21">
        <f>N5</f>
        <v>9539.7313541871881</v>
      </c>
      <c r="O8" s="21">
        <f>O5</f>
        <v>223.55666666666667</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0.19566353638018208</v>
      </c>
      <c r="C10" s="25">
        <f ca="1">'EF ele_warmte'!B22</f>
        <v>0.20794126035440913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6410.3475068621065</v>
      </c>
      <c r="C12" s="23">
        <f ca="1">C10*C8</f>
        <v>0</v>
      </c>
      <c r="D12" s="23">
        <f>D8*D10</f>
        <v>9802.094881385814</v>
      </c>
      <c r="E12" s="23">
        <f>E10*E8</f>
        <v>872.12836570858053</v>
      </c>
      <c r="F12" s="23">
        <f>F10*F8</f>
        <v>11670.311664999643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7103</v>
      </c>
      <c r="C28" s="36"/>
      <c r="D28" s="228"/>
    </row>
    <row r="29" spans="1:7" s="15" customFormat="1">
      <c r="A29" s="230" t="s">
        <v>741</v>
      </c>
      <c r="B29" s="37">
        <f>SUM(HH_hh_gas_aantal,HH_rest_gas_aantal)</f>
        <v>3621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3621</v>
      </c>
      <c r="C32" s="167">
        <f>IF(ISERROR(B32/SUM($B$32,$B$34,$B$35,$B$36,$B$38,$B$39)*100),0,B32/SUM($B$32,$B$34,$B$35,$B$36,$B$38,$B$39)*100)</f>
        <v>51.325301204819276</v>
      </c>
      <c r="D32" s="233"/>
      <c r="G32" s="15"/>
    </row>
    <row r="33" spans="1:7">
      <c r="A33" s="171" t="s">
        <v>72</v>
      </c>
      <c r="B33" s="34" t="s">
        <v>111</v>
      </c>
      <c r="C33" s="167"/>
      <c r="D33" s="233"/>
      <c r="G33" s="15"/>
    </row>
    <row r="34" spans="1:7">
      <c r="A34" s="171" t="s">
        <v>73</v>
      </c>
      <c r="B34" s="33">
        <f>IF((($B$28-$B$32-$B$39-$B$77-$B$38)*C20/100)&lt;0,0,($B$28-$B$32-$B$39-$B$77-$B$38)*C20/100)</f>
        <v>257.49648798521258</v>
      </c>
      <c r="C34" s="167">
        <f>IF(ISERROR(B34/SUM($B$32,$B$34,$B$35,$B$36,$B$38,$B$39)*100),0,B34/SUM($B$32,$B$34,$B$35,$B$36,$B$38,$B$39)*100)</f>
        <v>3.6498439119094623</v>
      </c>
      <c r="D34" s="233"/>
      <c r="G34" s="15"/>
    </row>
    <row r="35" spans="1:7">
      <c r="A35" s="171" t="s">
        <v>74</v>
      </c>
      <c r="B35" s="33">
        <f>IF((($B$28-$B$32-$B$39-$B$77-$B$38)*C21/100)&lt;0,0,($B$28-$B$32-$B$39-$B$77-$B$38)*C21/100)</f>
        <v>1232.3046210720886</v>
      </c>
      <c r="C35" s="167">
        <f>IF(ISERROR(B35/SUM($B$32,$B$34,$B$35,$B$36,$B$38,$B$39)*100),0,B35/SUM($B$32,$B$34,$B$35,$B$36,$B$38,$B$39)*100)</f>
        <v>17.467110149852424</v>
      </c>
      <c r="D35" s="233"/>
      <c r="G35" s="15"/>
    </row>
    <row r="36" spans="1:7">
      <c r="A36" s="171" t="s">
        <v>75</v>
      </c>
      <c r="B36" s="33">
        <f>IF((($B$28-$B$32-$B$39-$B$77-$B$38)*C22/100)&lt;0,0,($B$28-$B$32-$B$39-$B$77-$B$38)*C22/100)</f>
        <v>168.59889094269872</v>
      </c>
      <c r="C36" s="167">
        <f>IF(ISERROR(B36/SUM($B$32,$B$34,$B$35,$B$36,$B$38,$B$39)*100),0,B36/SUM($B$32,$B$34,$B$35,$B$36,$B$38,$B$39)*100)</f>
        <v>2.3897787518454816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1775.6</v>
      </c>
      <c r="C39" s="167">
        <f>IF(ISERROR(B39/SUM($B$32,$B$34,$B$35,$B$36,$B$38,$B$39)*100),0,B39/SUM($B$32,$B$34,$B$35,$B$36,$B$38,$B$39)*100)</f>
        <v>25.167965981573353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3621</v>
      </c>
      <c r="C44" s="34" t="s">
        <v>111</v>
      </c>
      <c r="D44" s="174"/>
    </row>
    <row r="45" spans="1:7">
      <c r="A45" s="171" t="s">
        <v>72</v>
      </c>
      <c r="B45" s="33" t="str">
        <f t="shared" si="0"/>
        <v>-</v>
      </c>
      <c r="C45" s="34" t="s">
        <v>111</v>
      </c>
      <c r="D45" s="174"/>
    </row>
    <row r="46" spans="1:7">
      <c r="A46" s="171" t="s">
        <v>73</v>
      </c>
      <c r="B46" s="33">
        <f t="shared" si="0"/>
        <v>257.49648798521258</v>
      </c>
      <c r="C46" s="34" t="s">
        <v>111</v>
      </c>
      <c r="D46" s="174"/>
    </row>
    <row r="47" spans="1:7">
      <c r="A47" s="171" t="s">
        <v>74</v>
      </c>
      <c r="B47" s="33">
        <f t="shared" si="0"/>
        <v>1232.3046210720886</v>
      </c>
      <c r="C47" s="34" t="s">
        <v>111</v>
      </c>
      <c r="D47" s="174"/>
    </row>
    <row r="48" spans="1:7">
      <c r="A48" s="171" t="s">
        <v>75</v>
      </c>
      <c r="B48" s="33">
        <f t="shared" si="0"/>
        <v>168.59889094269872</v>
      </c>
      <c r="C48" s="33">
        <f>B48*10</f>
        <v>1685.9889094269872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1775.6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12850.8267</v>
      </c>
      <c r="C5" s="17">
        <f>IF(ISERROR('Eigen informatie GS &amp; warmtenet'!B58),0,'Eigen informatie GS &amp; warmtenet'!B58)</f>
        <v>0</v>
      </c>
      <c r="D5" s="30">
        <f>SUM(D6:D12)</f>
        <v>37018.451714509509</v>
      </c>
      <c r="E5" s="17">
        <f>SUM(E6:E12)</f>
        <v>154.15421806673612</v>
      </c>
      <c r="F5" s="17">
        <f>SUM(F6:F12)</f>
        <v>1895.9858100780211</v>
      </c>
      <c r="G5" s="18"/>
      <c r="H5" s="17"/>
      <c r="I5" s="17"/>
      <c r="J5" s="17">
        <f>SUM(J6:J12)</f>
        <v>0</v>
      </c>
      <c r="K5" s="17"/>
      <c r="L5" s="17"/>
      <c r="M5" s="17"/>
      <c r="N5" s="17">
        <f>SUM(N6:N12)</f>
        <v>824.32361902729906</v>
      </c>
      <c r="O5" s="17">
        <f>B38*B39*B40</f>
        <v>3.1266666666666669</v>
      </c>
      <c r="P5" s="17">
        <f>B46*B47*B48/1000-B46*B47*B48/1000/B49</f>
        <v>38.133333333333333</v>
      </c>
      <c r="R5" s="32"/>
    </row>
    <row r="6" spans="1:18">
      <c r="A6" s="32" t="s">
        <v>54</v>
      </c>
      <c r="B6" s="37">
        <f>B26</f>
        <v>2830.518</v>
      </c>
      <c r="C6" s="33"/>
      <c r="D6" s="37">
        <f>IF(ISERROR(TER_kantoor_gas_kWh/1000),0,TER_kantoor_gas_kWh/1000)*0.902</f>
        <v>2759.950672083834</v>
      </c>
      <c r="E6" s="33">
        <f>$C$26*'E Balans VL '!I12/100/3.6*1000000</f>
        <v>8.20042594187648</v>
      </c>
      <c r="F6" s="33">
        <f>$C$26*('E Balans VL '!L12+'E Balans VL '!N12)/100/3.6*1000000</f>
        <v>320.35227645345407</v>
      </c>
      <c r="G6" s="34"/>
      <c r="H6" s="33"/>
      <c r="I6" s="33"/>
      <c r="J6" s="33">
        <f>$C$26*('E Balans VL '!D12+'E Balans VL '!E12)/100/3.6*1000000</f>
        <v>0</v>
      </c>
      <c r="K6" s="33"/>
      <c r="L6" s="33"/>
      <c r="M6" s="33"/>
      <c r="N6" s="33">
        <f>$C$26*'E Balans VL '!Y12/100/3.6*1000000</f>
        <v>28.331399561217292</v>
      </c>
      <c r="O6" s="33"/>
      <c r="P6" s="33"/>
      <c r="R6" s="32"/>
    </row>
    <row r="7" spans="1:18">
      <c r="A7" s="32" t="s">
        <v>53</v>
      </c>
      <c r="B7" s="37">
        <f t="shared" ref="B7:B12" si="0">B27</f>
        <v>1630.114</v>
      </c>
      <c r="C7" s="33"/>
      <c r="D7" s="37">
        <f>IF(ISERROR(TER_horeca_gas_kWh/1000),0,TER_horeca_gas_kWh/1000)*0.902</f>
        <v>1329.7415456112478</v>
      </c>
      <c r="E7" s="33">
        <f>$C$27*'E Balans VL '!I9/100/3.6*1000000</f>
        <v>68.427631271497361</v>
      </c>
      <c r="F7" s="33">
        <f>$C$27*('E Balans VL '!L9+'E Balans VL '!N9)/100/3.6*1000000</f>
        <v>350.26342153597744</v>
      </c>
      <c r="G7" s="34"/>
      <c r="H7" s="33"/>
      <c r="I7" s="33"/>
      <c r="J7" s="33">
        <f>$C$27*('E Balans VL '!D9+'E Balans VL '!E9)/100/3.6*1000000</f>
        <v>0</v>
      </c>
      <c r="K7" s="33"/>
      <c r="L7" s="33"/>
      <c r="M7" s="33"/>
      <c r="N7" s="33">
        <f>$C$27*'E Balans VL '!Y9/100/3.6*1000000</f>
        <v>0.42006612193590553</v>
      </c>
      <c r="O7" s="33"/>
      <c r="P7" s="33"/>
      <c r="R7" s="32"/>
    </row>
    <row r="8" spans="1:18">
      <c r="A8" s="6" t="s">
        <v>52</v>
      </c>
      <c r="B8" s="37">
        <f t="shared" si="0"/>
        <v>5150.5219999999999</v>
      </c>
      <c r="C8" s="33"/>
      <c r="D8" s="37">
        <f>IF(ISERROR(TER_handel_gas_kWh/1000),0,TER_handel_gas_kWh/1000)*0.902</f>
        <v>1784.5089185011168</v>
      </c>
      <c r="E8" s="33">
        <f>$C$28*'E Balans VL '!I13/100/3.6*1000000</f>
        <v>55.320892937605528</v>
      </c>
      <c r="F8" s="33">
        <f>$C$28*('E Balans VL '!L13+'E Balans VL '!N13)/100/3.6*1000000</f>
        <v>666.77760503388481</v>
      </c>
      <c r="G8" s="34"/>
      <c r="H8" s="33"/>
      <c r="I8" s="33"/>
      <c r="J8" s="33">
        <f>$C$28*('E Balans VL '!D13+'E Balans VL '!E13)/100/3.6*1000000</f>
        <v>0</v>
      </c>
      <c r="K8" s="33"/>
      <c r="L8" s="33"/>
      <c r="M8" s="33"/>
      <c r="N8" s="33">
        <f>$C$28*'E Balans VL '!Y13/100/3.6*1000000</f>
        <v>41.781315694728981</v>
      </c>
      <c r="O8" s="33"/>
      <c r="P8" s="33"/>
      <c r="R8" s="32"/>
    </row>
    <row r="9" spans="1:18">
      <c r="A9" s="32" t="s">
        <v>51</v>
      </c>
      <c r="B9" s="37">
        <f t="shared" si="0"/>
        <v>109.8032</v>
      </c>
      <c r="C9" s="33"/>
      <c r="D9" s="37">
        <f>IF(ISERROR(TER_gezond_gas_kWh/1000),0,TER_gezond_gas_kWh/1000)*0.902</f>
        <v>143.17490239944806</v>
      </c>
      <c r="E9" s="33">
        <f>$C$29*'E Balans VL '!I10/100/3.6*1000000</f>
        <v>8.7410449080711036E-2</v>
      </c>
      <c r="F9" s="33">
        <f>$C$29*('E Balans VL '!L10+'E Balans VL '!N10)/100/3.6*1000000</f>
        <v>13.348165759163646</v>
      </c>
      <c r="G9" s="34"/>
      <c r="H9" s="33"/>
      <c r="I9" s="33"/>
      <c r="J9" s="33">
        <f>$C$29*('E Balans VL '!D10+'E Balans VL '!E10)/100/3.6*1000000</f>
        <v>0</v>
      </c>
      <c r="K9" s="33"/>
      <c r="L9" s="33"/>
      <c r="M9" s="33"/>
      <c r="N9" s="33">
        <f>$C$29*'E Balans VL '!Y10/100/3.6*1000000</f>
        <v>0.88696115915351037</v>
      </c>
      <c r="O9" s="33"/>
      <c r="P9" s="33"/>
      <c r="R9" s="32"/>
    </row>
    <row r="10" spans="1:18">
      <c r="A10" s="32" t="s">
        <v>50</v>
      </c>
      <c r="B10" s="37">
        <f t="shared" si="0"/>
        <v>811.42049999999995</v>
      </c>
      <c r="C10" s="33"/>
      <c r="D10" s="37">
        <f>IF(ISERROR(TER_ander_gas_kWh/1000),0,TER_ander_gas_kWh/1000)*0.902</f>
        <v>611.92822511928637</v>
      </c>
      <c r="E10" s="33">
        <f>$C$30*'E Balans VL '!I14/100/3.6*1000000</f>
        <v>2.780780680068943</v>
      </c>
      <c r="F10" s="33">
        <f>$C$30*('E Balans VL '!L14+'E Balans VL '!N14)/100/3.6*1000000</f>
        <v>181.23836745489513</v>
      </c>
      <c r="G10" s="34"/>
      <c r="H10" s="33"/>
      <c r="I10" s="33"/>
      <c r="J10" s="33">
        <f>$C$30*('E Balans VL '!D14+'E Balans VL '!E14)/100/3.6*1000000</f>
        <v>0</v>
      </c>
      <c r="K10" s="33"/>
      <c r="L10" s="33"/>
      <c r="M10" s="33"/>
      <c r="N10" s="33">
        <f>$C$30*'E Balans VL '!Y14/100/3.6*1000000</f>
        <v>571.56903290354421</v>
      </c>
      <c r="O10" s="33"/>
      <c r="P10" s="33"/>
      <c r="R10" s="32"/>
    </row>
    <row r="11" spans="1:18">
      <c r="A11" s="32" t="s">
        <v>55</v>
      </c>
      <c r="B11" s="37">
        <f t="shared" si="0"/>
        <v>194.53800000000001</v>
      </c>
      <c r="C11" s="33"/>
      <c r="D11" s="37">
        <f>IF(ISERROR(TER_onderwijs_gas_kWh/1000),0,TER_onderwijs_gas_kWh/1000)*0.902</f>
        <v>0</v>
      </c>
      <c r="E11" s="33">
        <f>$C$31*'E Balans VL '!I11/100/3.6*1000000</f>
        <v>0.13447812810112267</v>
      </c>
      <c r="F11" s="33">
        <f>$C$31*('E Balans VL '!L11+'E Balans VL '!N11)/100/3.6*1000000</f>
        <v>50.924397454525852</v>
      </c>
      <c r="G11" s="34"/>
      <c r="H11" s="33"/>
      <c r="I11" s="33"/>
      <c r="J11" s="33">
        <f>$C$31*('E Balans VL '!D11+'E Balans VL '!E11)/100/3.6*1000000</f>
        <v>0</v>
      </c>
      <c r="K11" s="33"/>
      <c r="L11" s="33"/>
      <c r="M11" s="33"/>
      <c r="N11" s="33">
        <f>$C$31*'E Balans VL '!Y11/100/3.6*1000000</f>
        <v>0.19364600954571429</v>
      </c>
      <c r="O11" s="33"/>
      <c r="P11" s="33"/>
      <c r="R11" s="32"/>
    </row>
    <row r="12" spans="1:18">
      <c r="A12" s="32" t="s">
        <v>260</v>
      </c>
      <c r="B12" s="37">
        <f t="shared" si="0"/>
        <v>2123.9110000000001</v>
      </c>
      <c r="C12" s="33"/>
      <c r="D12" s="37">
        <f>IF(ISERROR(TER_rest_gas_kWh/1000),0,TER_rest_gas_kWh/1000)*0.902</f>
        <v>30389.147450794579</v>
      </c>
      <c r="E12" s="33">
        <f>$C$32*'E Balans VL '!I8/100/3.6*1000000</f>
        <v>19.20259865850597</v>
      </c>
      <c r="F12" s="33">
        <f>$C$32*('E Balans VL '!L8+'E Balans VL '!N8)/100/3.6*1000000</f>
        <v>313.08157638612022</v>
      </c>
      <c r="G12" s="34"/>
      <c r="H12" s="33"/>
      <c r="I12" s="33"/>
      <c r="J12" s="33">
        <f>$C$32*('E Balans VL '!D8+'E Balans VL '!E8)/100/3.6*1000000</f>
        <v>0</v>
      </c>
      <c r="K12" s="33"/>
      <c r="L12" s="33"/>
      <c r="M12" s="33"/>
      <c r="N12" s="33">
        <f>$C$32*'E Balans VL '!Y8/100/3.6*1000000</f>
        <v>181.14119757717344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12850.8267</v>
      </c>
      <c r="C16" s="21">
        <f t="shared" ca="1" si="1"/>
        <v>0</v>
      </c>
      <c r="D16" s="21">
        <f t="shared" ca="1" si="1"/>
        <v>37018.451714509509</v>
      </c>
      <c r="E16" s="21">
        <f t="shared" si="1"/>
        <v>154.15421806673612</v>
      </c>
      <c r="F16" s="21">
        <f t="shared" ca="1" si="1"/>
        <v>1895.9858100780211</v>
      </c>
      <c r="G16" s="21">
        <f t="shared" si="1"/>
        <v>0</v>
      </c>
      <c r="H16" s="21">
        <f t="shared" si="1"/>
        <v>0</v>
      </c>
      <c r="I16" s="21">
        <f t="shared" si="1"/>
        <v>0</v>
      </c>
      <c r="J16" s="21">
        <f t="shared" si="1"/>
        <v>0</v>
      </c>
      <c r="K16" s="21">
        <f t="shared" si="1"/>
        <v>0</v>
      </c>
      <c r="L16" s="21">
        <f t="shared" ca="1" si="1"/>
        <v>0</v>
      </c>
      <c r="M16" s="21">
        <f t="shared" si="1"/>
        <v>0</v>
      </c>
      <c r="N16" s="21">
        <f t="shared" ca="1" si="1"/>
        <v>824.32361902729906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0.19566353638018208</v>
      </c>
      <c r="C18" s="25">
        <f ca="1">'EF ele_warmte'!B22</f>
        <v>0.20794126035440913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2514.4381975308652</v>
      </c>
      <c r="C20" s="23">
        <f t="shared" ref="C20:P20" ca="1" si="2">C16*C18</f>
        <v>0</v>
      </c>
      <c r="D20" s="23">
        <f t="shared" ca="1" si="2"/>
        <v>7477.7272463309209</v>
      </c>
      <c r="E20" s="23">
        <f t="shared" si="2"/>
        <v>34.993007501149101</v>
      </c>
      <c r="F20" s="23">
        <f t="shared" ca="1" si="2"/>
        <v>506.22821129083167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2830.518</v>
      </c>
      <c r="C26" s="39">
        <f>IF(ISERROR(B26*3.6/1000000/'E Balans VL '!Z12*100),0,B26*3.6/1000000/'E Balans VL '!Z12*100)</f>
        <v>6.2175600276497767E-2</v>
      </c>
      <c r="D26" s="237" t="s">
        <v>692</v>
      </c>
      <c r="F26" s="6"/>
    </row>
    <row r="27" spans="1:18">
      <c r="A27" s="231" t="s">
        <v>53</v>
      </c>
      <c r="B27" s="33">
        <f>IF(ISERROR(TER_horeca_ele_kWh/1000),0,TER_horeca_ele_kWh/1000)</f>
        <v>1630.114</v>
      </c>
      <c r="C27" s="39">
        <f>IF(ISERROR(B27*3.6/1000000/'E Balans VL '!Z9*100),0,B27*3.6/1000000/'E Balans VL '!Z9*100)</f>
        <v>0.13099590906827221</v>
      </c>
      <c r="D27" s="237" t="s">
        <v>692</v>
      </c>
      <c r="F27" s="6"/>
    </row>
    <row r="28" spans="1:18">
      <c r="A28" s="171" t="s">
        <v>52</v>
      </c>
      <c r="B28" s="33">
        <f>IF(ISERROR(TER_handel_ele_kWh/1000),0,TER_handel_ele_kWh/1000)</f>
        <v>5150.5219999999999</v>
      </c>
      <c r="C28" s="39">
        <f>IF(ISERROR(B28*3.6/1000000/'E Balans VL '!Z13*100),0,B28*3.6/1000000/'E Balans VL '!Z13*100)</f>
        <v>0.15229733730978029</v>
      </c>
      <c r="D28" s="237" t="s">
        <v>692</v>
      </c>
      <c r="F28" s="6"/>
    </row>
    <row r="29" spans="1:18">
      <c r="A29" s="231" t="s">
        <v>51</v>
      </c>
      <c r="B29" s="33">
        <f>IF(ISERROR(TER_gezond_ele_kWh/1000),0,TER_gezond_ele_kWh/1000)</f>
        <v>109.8032</v>
      </c>
      <c r="C29" s="39">
        <f>IF(ISERROR(B29*3.6/1000000/'E Balans VL '!Z10*100),0,B29*3.6/1000000/'E Balans VL '!Z10*100)</f>
        <v>1.2371985771270314E-2</v>
      </c>
      <c r="D29" s="237" t="s">
        <v>692</v>
      </c>
      <c r="F29" s="6"/>
    </row>
    <row r="30" spans="1:18">
      <c r="A30" s="231" t="s">
        <v>50</v>
      </c>
      <c r="B30" s="33">
        <f>IF(ISERROR(TER_ander_ele_kWh/1000),0,TER_ander_ele_kWh/1000)</f>
        <v>811.42049999999995</v>
      </c>
      <c r="C30" s="39">
        <f>IF(ISERROR(B30*3.6/1000000/'E Balans VL '!Z14*100),0,B30*3.6/1000000/'E Balans VL '!Z14*100)</f>
        <v>6.136634535430887E-2</v>
      </c>
      <c r="D30" s="237" t="s">
        <v>692</v>
      </c>
      <c r="F30" s="6"/>
    </row>
    <row r="31" spans="1:18">
      <c r="A31" s="231" t="s">
        <v>55</v>
      </c>
      <c r="B31" s="33">
        <f>IF(ISERROR(TER_onderwijs_ele_kWh/1000),0,TER_onderwijs_ele_kWh/1000)</f>
        <v>194.53800000000001</v>
      </c>
      <c r="C31" s="39">
        <f>IF(ISERROR(B31*3.6/1000000/'E Balans VL '!Z11*100),0,B31*3.6/1000000/'E Balans VL '!Z11*100)</f>
        <v>4.038157279420404E-2</v>
      </c>
      <c r="D31" s="237" t="s">
        <v>692</v>
      </c>
    </row>
    <row r="32" spans="1:18">
      <c r="A32" s="231" t="s">
        <v>260</v>
      </c>
      <c r="B32" s="33">
        <f>IF(ISERROR(TER_rest_ele_kWh/1000),0,TER_rest_ele_kWh/1000)</f>
        <v>2123.9110000000001</v>
      </c>
      <c r="C32" s="39">
        <f>IF(ISERROR(B32*3.6/1000000/'E Balans VL '!Z8*100),0,B32*3.6/1000000/'E Balans VL '!Z8*100)</f>
        <v>1.7892700720471034E-2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6288.32683</v>
      </c>
      <c r="C5" s="17">
        <f>IF(ISERROR('Eigen informatie GS &amp; warmtenet'!B59),0,'Eigen informatie GS &amp; warmtenet'!B59)</f>
        <v>0</v>
      </c>
      <c r="D5" s="30">
        <f>SUM(D6:D15)</f>
        <v>3532.105083321585</v>
      </c>
      <c r="E5" s="17">
        <f>SUM(E6:E15)</f>
        <v>614.69096671317766</v>
      </c>
      <c r="F5" s="17">
        <f>SUM(F6:F15)</f>
        <v>4703.2866586028431</v>
      </c>
      <c r="G5" s="18"/>
      <c r="H5" s="17"/>
      <c r="I5" s="17"/>
      <c r="J5" s="17">
        <f>SUM(J6:J15)</f>
        <v>42.575861278399067</v>
      </c>
      <c r="K5" s="17"/>
      <c r="L5" s="17"/>
      <c r="M5" s="17"/>
      <c r="N5" s="17">
        <f>SUM(N6:N15)</f>
        <v>1805.1753594385937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738.16160000000002</v>
      </c>
      <c r="C8" s="33"/>
      <c r="D8" s="37">
        <f>IF( ISERROR(IND_metaal_Gas_kWH/1000),0,IND_metaal_Gas_kWH/1000)*0.902</f>
        <v>0</v>
      </c>
      <c r="E8" s="33">
        <f>C30*'E Balans VL '!I18/100/3.6*1000000</f>
        <v>18.473601337748097</v>
      </c>
      <c r="F8" s="33">
        <f>C30*'E Balans VL '!L18/100/3.6*1000000+C30*'E Balans VL '!N18/100/3.6*1000000</f>
        <v>231.34351724463184</v>
      </c>
      <c r="G8" s="34"/>
      <c r="H8" s="33"/>
      <c r="I8" s="33"/>
      <c r="J8" s="40">
        <f>C30*'E Balans VL '!D18/100/3.6*1000000+C30*'E Balans VL '!E18/100/3.6*1000000</f>
        <v>0</v>
      </c>
      <c r="K8" s="33"/>
      <c r="L8" s="33"/>
      <c r="M8" s="33"/>
      <c r="N8" s="33">
        <f>C30*'E Balans VL '!Y18/100/3.6*1000000</f>
        <v>18.544535088402014</v>
      </c>
      <c r="O8" s="33"/>
      <c r="P8" s="33"/>
      <c r="R8" s="32"/>
    </row>
    <row r="9" spans="1:18">
      <c r="A9" s="6" t="s">
        <v>33</v>
      </c>
      <c r="B9" s="37">
        <f t="shared" si="0"/>
        <v>1700.8989999999999</v>
      </c>
      <c r="C9" s="33"/>
      <c r="D9" s="37">
        <f>IF( ISERROR(IND_andere_gas_kWh/1000),0,IND_andere_gas_kWh/1000)*0.902</f>
        <v>1765.968796835492</v>
      </c>
      <c r="E9" s="33">
        <f>C31*'E Balans VL '!I19/100/3.6*1000000</f>
        <v>467.67746253295485</v>
      </c>
      <c r="F9" s="33">
        <f>C31*'E Balans VL '!L19/100/3.6*1000000+C31*'E Balans VL '!N19/100/3.6*1000000</f>
        <v>1340.6043896765934</v>
      </c>
      <c r="G9" s="34"/>
      <c r="H9" s="33"/>
      <c r="I9" s="33"/>
      <c r="J9" s="40">
        <f>C31*'E Balans VL '!D19/100/3.6*1000000+C31*'E Balans VL '!E19/100/3.6*1000000</f>
        <v>0</v>
      </c>
      <c r="K9" s="33"/>
      <c r="L9" s="33"/>
      <c r="M9" s="33"/>
      <c r="N9" s="33">
        <f>C31*'E Balans VL '!Y19/100/3.6*1000000</f>
        <v>550.62590252070481</v>
      </c>
      <c r="O9" s="33"/>
      <c r="P9" s="33"/>
      <c r="R9" s="32"/>
    </row>
    <row r="10" spans="1:18">
      <c r="A10" s="6" t="s">
        <v>41</v>
      </c>
      <c r="B10" s="37">
        <f t="shared" si="0"/>
        <v>1384.9369999999999</v>
      </c>
      <c r="C10" s="33"/>
      <c r="D10" s="37">
        <f>IF( ISERROR(IND_voed_gas_kWh/1000),0,IND_voed_gas_kWh/1000)*0.902</f>
        <v>786.99205123009062</v>
      </c>
      <c r="E10" s="33">
        <f>C32*'E Balans VL '!I20/100/3.6*1000000</f>
        <v>14.118669748853197</v>
      </c>
      <c r="F10" s="33">
        <f>C32*'E Balans VL '!L20/100/3.6*1000000+C32*'E Balans VL '!N20/100/3.6*1000000</f>
        <v>2616.1373310552108</v>
      </c>
      <c r="G10" s="34"/>
      <c r="H10" s="33"/>
      <c r="I10" s="33"/>
      <c r="J10" s="40">
        <f>C32*'E Balans VL '!D20/100/3.6*1000000+C32*'E Balans VL '!E20/100/3.6*1000000</f>
        <v>33.146073944380063</v>
      </c>
      <c r="K10" s="33"/>
      <c r="L10" s="33"/>
      <c r="M10" s="33"/>
      <c r="N10" s="33">
        <f>C32*'E Balans VL '!Y20/100/3.6*1000000</f>
        <v>730.02132418085341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22.973029999999998</v>
      </c>
      <c r="C12" s="33"/>
      <c r="D12" s="37">
        <f>IF( ISERROR(IND_min_gas_kWh/1000),0,IND_min_gas_kWh/1000)*0.902</f>
        <v>0</v>
      </c>
      <c r="E12" s="33">
        <f>C34*'E Balans VL '!I22/100/3.6*1000000</f>
        <v>6.9574915952502592E-2</v>
      </c>
      <c r="F12" s="33">
        <f>C34*'E Balans VL '!L22/100/3.6*1000000+C34*'E Balans VL '!N22/100/3.6*1000000</f>
        <v>0.71792693824333231</v>
      </c>
      <c r="G12" s="34"/>
      <c r="H12" s="33"/>
      <c r="I12" s="33"/>
      <c r="J12" s="40">
        <f>C34*'E Balans VL '!D22/100/3.6*1000000+C34*'E Balans VL '!E22/100/3.6*1000000</f>
        <v>3.406390374012519E-2</v>
      </c>
      <c r="K12" s="33"/>
      <c r="L12" s="33"/>
      <c r="M12" s="33"/>
      <c r="N12" s="33">
        <f>C34*'E Balans VL '!Y22/100/3.6*1000000</f>
        <v>0</v>
      </c>
      <c r="O12" s="33"/>
      <c r="P12" s="33"/>
      <c r="R12" s="32"/>
    </row>
    <row r="13" spans="1:18">
      <c r="A13" s="6" t="s">
        <v>39</v>
      </c>
      <c r="B13" s="37">
        <f t="shared" si="0"/>
        <v>201.78920000000002</v>
      </c>
      <c r="C13" s="33"/>
      <c r="D13" s="37">
        <f>IF( ISERROR(IND_papier_gas_kWh/1000),0,IND_papier_gas_kWh/1000)*0.902</f>
        <v>0</v>
      </c>
      <c r="E13" s="33">
        <f>C35*'E Balans VL '!I23/100/3.6*1000000</f>
        <v>0.41791905364302551</v>
      </c>
      <c r="F13" s="33">
        <f>C35*'E Balans VL '!L23/100/3.6*1000000+C35*'E Balans VL '!N23/100/3.6*1000000</f>
        <v>4.0019124376612822</v>
      </c>
      <c r="G13" s="34"/>
      <c r="H13" s="33"/>
      <c r="I13" s="33"/>
      <c r="J13" s="40">
        <f>C35*'E Balans VL '!D23/100/3.6*1000000+C35*'E Balans VL '!E23/100/3.6*1000000</f>
        <v>0</v>
      </c>
      <c r="K13" s="33"/>
      <c r="L13" s="33"/>
      <c r="M13" s="33"/>
      <c r="N13" s="33">
        <f>C35*'E Balans VL '!Y23/100/3.6*1000000</f>
        <v>85.205059642872513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2239.567</v>
      </c>
      <c r="C15" s="33"/>
      <c r="D15" s="37">
        <f>IF( ISERROR(IND_rest_gas_kWh/1000),0,IND_rest_gas_kWh/1000)*0.902</f>
        <v>979.14423525600273</v>
      </c>
      <c r="E15" s="33">
        <f>C37*'E Balans VL '!I15/100/3.6*1000000</f>
        <v>113.93373912402593</v>
      </c>
      <c r="F15" s="33">
        <f>C37*'E Balans VL '!L15/100/3.6*1000000+C37*'E Balans VL '!N15/100/3.6*1000000</f>
        <v>510.48158125050179</v>
      </c>
      <c r="G15" s="34"/>
      <c r="H15" s="33"/>
      <c r="I15" s="33"/>
      <c r="J15" s="40">
        <f>C37*'E Balans VL '!D15/100/3.6*1000000+C37*'E Balans VL '!E15/100/3.6*1000000</f>
        <v>9.3957234302788759</v>
      </c>
      <c r="K15" s="33"/>
      <c r="L15" s="33"/>
      <c r="M15" s="33"/>
      <c r="N15" s="33">
        <f>C37*'E Balans VL '!Y15/100/3.6*1000000</f>
        <v>420.77853800576071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6288.32683</v>
      </c>
      <c r="C18" s="21">
        <f>C5+C16</f>
        <v>0</v>
      </c>
      <c r="D18" s="21">
        <f>MAX((D5+D16),0)</f>
        <v>3532.105083321585</v>
      </c>
      <c r="E18" s="21">
        <f>MAX((E5+E16),0)</f>
        <v>614.69096671317766</v>
      </c>
      <c r="F18" s="21">
        <f>MAX((F5+F16),0)</f>
        <v>4703.2866586028431</v>
      </c>
      <c r="G18" s="21"/>
      <c r="H18" s="21"/>
      <c r="I18" s="21"/>
      <c r="J18" s="21">
        <f>MAX((J5+J16),0)</f>
        <v>42.575861278399067</v>
      </c>
      <c r="K18" s="21"/>
      <c r="L18" s="21">
        <f>MAX((L5+L16),0)</f>
        <v>0</v>
      </c>
      <c r="M18" s="21"/>
      <c r="N18" s="21">
        <f>MAX((N5+N16),0)</f>
        <v>1805.1753594385937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0.19566353638018208</v>
      </c>
      <c r="C20" s="25">
        <f ca="1">'EF ele_warmte'!B22</f>
        <v>0.20794126035440913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1230.3962654721799</v>
      </c>
      <c r="C22" s="23">
        <f ca="1">C18*C20</f>
        <v>0</v>
      </c>
      <c r="D22" s="23">
        <f>D18*D20</f>
        <v>713.48522683096019</v>
      </c>
      <c r="E22" s="23">
        <f>E18*E20</f>
        <v>139.53484944389135</v>
      </c>
      <c r="F22" s="23">
        <f>F18*F20</f>
        <v>1255.7775378469591</v>
      </c>
      <c r="G22" s="23"/>
      <c r="H22" s="23"/>
      <c r="I22" s="23"/>
      <c r="J22" s="23">
        <f>J18*J20</f>
        <v>15.071854892553269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738.16160000000002</v>
      </c>
      <c r="C30" s="39">
        <f>IF(ISERROR(B30*3.6/1000000/'E Balans VL '!Z18*100),0,B30*3.6/1000000/'E Balans VL '!Z18*100)</f>
        <v>0.10331802449292174</v>
      </c>
      <c r="D30" s="237" t="s">
        <v>692</v>
      </c>
    </row>
    <row r="31" spans="1:18">
      <c r="A31" s="6" t="s">
        <v>33</v>
      </c>
      <c r="B31" s="37">
        <f>IF( ISERROR(IND_ander_ele_kWh/1000),0,IND_ander_ele_kWh/1000)</f>
        <v>1700.8989999999999</v>
      </c>
      <c r="C31" s="39">
        <f>IF(ISERROR(B31*3.6/1000000/'E Balans VL '!Z19*100),0,B31*3.6/1000000/'E Balans VL '!Z19*100)</f>
        <v>7.4448073304980336E-2</v>
      </c>
      <c r="D31" s="237" t="s">
        <v>692</v>
      </c>
    </row>
    <row r="32" spans="1:18">
      <c r="A32" s="171" t="s">
        <v>41</v>
      </c>
      <c r="B32" s="37">
        <f>IF( ISERROR(IND_voed_ele_kWh/1000),0,IND_voed_ele_kWh/1000)</f>
        <v>1384.9369999999999</v>
      </c>
      <c r="C32" s="39">
        <f>IF(ISERROR(B32*3.6/1000000/'E Balans VL '!Z20*100),0,B32*3.6/1000000/'E Balans VL '!Z20*100)</f>
        <v>0.3428644097107823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22.973029999999998</v>
      </c>
      <c r="C34" s="39">
        <f>IF(ISERROR(B34*3.6/1000000/'E Balans VL '!Z22*100),0,B34*3.6/1000000/'E Balans VL '!Z22*100)</f>
        <v>6.518808664747951E-4</v>
      </c>
      <c r="D34" s="237" t="s">
        <v>692</v>
      </c>
    </row>
    <row r="35" spans="1:5">
      <c r="A35" s="171" t="s">
        <v>39</v>
      </c>
      <c r="B35" s="37">
        <f>IF( ISERROR(IND_papier_ele_kWh/1000),0,IND_papier_ele_kWh/1000)</f>
        <v>201.78920000000002</v>
      </c>
      <c r="C35" s="39">
        <f>IF(ISERROR(B35*3.6/1000000/'E Balans VL '!Z22*100),0,B35*3.6/1000000/'E Balans VL '!Z22*100)</f>
        <v>5.7259542403094287E-3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2239.567</v>
      </c>
      <c r="C37" s="39">
        <f>IF(ISERROR(B37*3.6/1000000/'E Balans VL '!Z15*100),0,B37*3.6/1000000/'E Balans VL '!Z15*100)</f>
        <v>1.6606005874904201E-2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2287.83853</v>
      </c>
      <c r="C5" s="17">
        <f>'Eigen informatie GS &amp; warmtenet'!B60</f>
        <v>0</v>
      </c>
      <c r="D5" s="30">
        <f>IF(ISERROR(SUM(LB_lb_gas_kWh,LB_rest_gas_kWh,onbekend_gas_kWh)/1000),0,SUM(LB_lb_gas_kWh,LB_rest_gas_kWh,onbekend_gas_kWh)/1000)*0.902</f>
        <v>84398.659420708325</v>
      </c>
      <c r="E5" s="17">
        <f>B17*'E Balans VL '!I25/3.6*1000000/100</f>
        <v>21.190918699719148</v>
      </c>
      <c r="F5" s="17">
        <f>B17*('E Balans VL '!L25/3.6*1000000+'E Balans VL '!N25/3.6*1000000)/100</f>
        <v>5804.6821834027032</v>
      </c>
      <c r="G5" s="18"/>
      <c r="H5" s="17"/>
      <c r="I5" s="17"/>
      <c r="J5" s="17">
        <f>('E Balans VL '!D25+'E Balans VL '!E25)/3.6*1000000*landbouw!B17/100</f>
        <v>350.75117900151332</v>
      </c>
      <c r="K5" s="17"/>
      <c r="L5" s="17">
        <f>L6*(-1)</f>
        <v>17862.589285714286</v>
      </c>
      <c r="M5" s="17"/>
      <c r="N5" s="17">
        <f>N6*(-1)</f>
        <v>0</v>
      </c>
      <c r="O5" s="17"/>
      <c r="P5" s="17"/>
      <c r="R5" s="32"/>
    </row>
    <row r="6" spans="1:18">
      <c r="A6" s="16" t="s">
        <v>494</v>
      </c>
      <c r="B6" s="17" t="s">
        <v>211</v>
      </c>
      <c r="C6" s="17">
        <f>'lokale energieproductie'!O91+'lokale energieproductie'!O60</f>
        <v>67025.410714285725</v>
      </c>
      <c r="D6" s="310">
        <f>('lokale energieproductie'!P60+'lokale energieproductie'!P91)*(-1)</f>
        <v>-114402.85714285716</v>
      </c>
      <c r="E6" s="248"/>
      <c r="F6" s="310">
        <f>('lokale energieproductie'!S60+'lokale energieproductie'!S91)*(-1)</f>
        <v>-2975.625</v>
      </c>
      <c r="G6" s="249"/>
      <c r="H6" s="248"/>
      <c r="I6" s="248"/>
      <c r="J6" s="248"/>
      <c r="K6" s="248"/>
      <c r="L6" s="310">
        <f>('lokale energieproductie'!T60+'lokale energieproductie'!U60+'lokale energieproductie'!T91+'lokale energieproductie'!U91)*(-1)</f>
        <v>-17862.589285714286</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2287.83853</v>
      </c>
      <c r="C8" s="21">
        <f>C5+C6</f>
        <v>67025.410714285725</v>
      </c>
      <c r="D8" s="21">
        <f>MAX((D5+D6),0)</f>
        <v>0</v>
      </c>
      <c r="E8" s="21">
        <f>MAX((E5+E6),0)</f>
        <v>21.190918699719148</v>
      </c>
      <c r="F8" s="21">
        <f>MAX((F5+F6),0)</f>
        <v>2829.0571834027032</v>
      </c>
      <c r="G8" s="21"/>
      <c r="H8" s="21"/>
      <c r="I8" s="21"/>
      <c r="J8" s="21">
        <f>MAX((J5+J6),0)</f>
        <v>350.75117900151332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0.19566353638018208</v>
      </c>
      <c r="C10" s="31">
        <f ca="1">'EF ele_warmte'!B22</f>
        <v>0.20794126035440913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447.64657744663731</v>
      </c>
      <c r="C12" s="23">
        <f ca="1">C8*C10</f>
        <v>13937.348379700492</v>
      </c>
      <c r="D12" s="23">
        <f>D8*D10</f>
        <v>0</v>
      </c>
      <c r="E12" s="23">
        <f>E8*E10</f>
        <v>4.810338544836247</v>
      </c>
      <c r="F12" s="23">
        <f>F8*F10</f>
        <v>755.35826796852177</v>
      </c>
      <c r="G12" s="23"/>
      <c r="H12" s="23"/>
      <c r="I12" s="23"/>
      <c r="J12" s="23">
        <f>J8*J10</f>
        <v>124.16591736653571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0.32528212840415843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113.43137431305321</v>
      </c>
      <c r="C26" s="247">
        <f>B26*'GWP N2O_CH4'!B5</f>
        <v>2382.0588605741173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18.594052401534807</v>
      </c>
      <c r="C27" s="247">
        <f>B27*'GWP N2O_CH4'!B5</f>
        <v>390.47510043223093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1.6422226395126414</v>
      </c>
      <c r="C28" s="247">
        <f>B28*'GWP N2O_CH4'!B4</f>
        <v>509.08901824891882</v>
      </c>
      <c r="D28" s="50"/>
    </row>
    <row r="29" spans="1:4">
      <c r="A29" s="41" t="s">
        <v>277</v>
      </c>
      <c r="B29" s="247">
        <f>B34*'ha_N2O bodem landbouw'!B4</f>
        <v>9.8899619984985296</v>
      </c>
      <c r="C29" s="247">
        <f>B29*'GWP N2O_CH4'!B4</f>
        <v>3065.8882195345441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2.2181442417331812E-3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6.0189068256518401E-5</v>
      </c>
      <c r="C5" s="464" t="s">
        <v>211</v>
      </c>
      <c r="D5" s="449">
        <f>SUM(D6:D11)</f>
        <v>1.5778900440120662E-4</v>
      </c>
      <c r="E5" s="449">
        <f>SUM(E6:E11)</f>
        <v>1.0059808991181775E-3</v>
      </c>
      <c r="F5" s="462" t="s">
        <v>211</v>
      </c>
      <c r="G5" s="449">
        <f>SUM(G6:G11)</f>
        <v>0.26465539029445057</v>
      </c>
      <c r="H5" s="449">
        <f>SUM(H6:H11)</f>
        <v>5.9645968416521922E-2</v>
      </c>
      <c r="I5" s="464" t="s">
        <v>211</v>
      </c>
      <c r="J5" s="464" t="s">
        <v>211</v>
      </c>
      <c r="K5" s="464" t="s">
        <v>211</v>
      </c>
      <c r="L5" s="464" t="s">
        <v>211</v>
      </c>
      <c r="M5" s="449">
        <f>SUM(M6:M11)</f>
        <v>1.7145249772234718E-2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4.9748146052038931E-5</v>
      </c>
      <c r="C6" s="450"/>
      <c r="D6" s="963">
        <f>vkm_2011_GW_PW*SUMIFS(TableVerdeelsleutelVkm[CNG],TableVerdeelsleutelVkm[Voertuigtype],"Lichte voertuigen")*SUMIFS(TableECFTransport[EnergieConsumptieFactor (PJ per km)],TableECFTransport[Index],CONCATENATE($A6,"_CNG_CNG"))</f>
        <v>1.1507293886236151E-4</v>
      </c>
      <c r="E6" s="963">
        <f>vkm_2011_GW_PW*SUMIFS(TableVerdeelsleutelVkm[LPG],TableVerdeelsleutelVkm[Voertuigtype],"Lichte voertuigen")*SUMIFS(TableECFTransport[EnergieConsumptieFactor (PJ per km)],TableECFTransport[Index],CONCATENATE($A6,"_LPG_LPG"))</f>
        <v>7.4928548727039887E-4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0.15565851656414961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4.3876919040080273E-2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1.0354854729769002E-2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5.7448271080862208E-2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1.9646265400452318E-5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3.3237081136059622E-3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1.0440922204479473E-5</v>
      </c>
      <c r="C8" s="450"/>
      <c r="D8" s="452">
        <f>vkm_2011_NGW_PW*SUMIFS(TableVerdeelsleutelVkm[CNG],TableVerdeelsleutelVkm[Voertuigtype],"Lichte voertuigen")*SUMIFS(TableECFTransport[EnergieConsumptieFactor (PJ per km)],TableECFTransport[Index],CONCATENATE($A8,"_CNG_CNG"))</f>
        <v>4.2716065538845098E-5</v>
      </c>
      <c r="E8" s="452">
        <f>vkm_2011_NGW_PW*SUMIFS(TableVerdeelsleutelVkm[LPG],TableVerdeelsleutelVkm[Voertuigtype],"Lichte voertuigen")*SUMIFS(TableECFTransport[EnergieConsumptieFactor (PJ per km)],TableECFTransport[Index],CONCATENATE($A8,"_LPG_LPG"))</f>
        <v>2.5669541184777879E-4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4.9849871878715618E-2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1.5748853421551769E-2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3.3684066868364627E-3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1.6987307707231082E-3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5.4968948942681778E-7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9.8280242023290082E-5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16.719185626810667</v>
      </c>
      <c r="C14" s="21"/>
      <c r="D14" s="21">
        <f t="shared" ref="D14:M14" si="0">((D5)*10^9/3600)+D12</f>
        <v>43.830279000335175</v>
      </c>
      <c r="E14" s="21">
        <f t="shared" si="0"/>
        <v>279.43913864393824</v>
      </c>
      <c r="F14" s="21"/>
      <c r="G14" s="21">
        <f t="shared" si="0"/>
        <v>73515.386192902937</v>
      </c>
      <c r="H14" s="21">
        <f t="shared" si="0"/>
        <v>16568.324560144978</v>
      </c>
      <c r="I14" s="21"/>
      <c r="J14" s="21"/>
      <c r="K14" s="21"/>
      <c r="L14" s="21"/>
      <c r="M14" s="21">
        <f t="shared" si="0"/>
        <v>4762.5693811763113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0.19566353638018208</v>
      </c>
      <c r="C16" s="56">
        <f ca="1">'EF ele_warmte'!B22</f>
        <v>0.20794126035440913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3.2713349851384863</v>
      </c>
      <c r="C18" s="23"/>
      <c r="D18" s="23">
        <f t="shared" ref="D18:M18" si="1">D14*D16</f>
        <v>8.8537163580677056</v>
      </c>
      <c r="E18" s="23">
        <f t="shared" si="1"/>
        <v>63.432684472173982</v>
      </c>
      <c r="F18" s="23"/>
      <c r="G18" s="23">
        <f t="shared" si="1"/>
        <v>19628.608113505084</v>
      </c>
      <c r="H18" s="23">
        <f t="shared" si="1"/>
        <v>4125.5128154760996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5.4838927156197976E-3</v>
      </c>
      <c r="H50" s="321">
        <f t="shared" si="2"/>
        <v>0</v>
      </c>
      <c r="I50" s="321">
        <f t="shared" si="2"/>
        <v>0</v>
      </c>
      <c r="J50" s="321">
        <f t="shared" si="2"/>
        <v>0</v>
      </c>
      <c r="K50" s="321">
        <f t="shared" si="2"/>
        <v>0</v>
      </c>
      <c r="L50" s="321">
        <f t="shared" si="2"/>
        <v>0</v>
      </c>
      <c r="M50" s="321">
        <f t="shared" si="2"/>
        <v>3.1273041516094918E-4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5.4838927156197976E-3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3.1273041516094918E-4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1523.3035321166105</v>
      </c>
      <c r="H54" s="21">
        <f t="shared" si="3"/>
        <v>0</v>
      </c>
      <c r="I54" s="21">
        <f t="shared" si="3"/>
        <v>0</v>
      </c>
      <c r="J54" s="21">
        <f t="shared" si="3"/>
        <v>0</v>
      </c>
      <c r="K54" s="21">
        <f t="shared" si="3"/>
        <v>0</v>
      </c>
      <c r="L54" s="21">
        <f t="shared" si="3"/>
        <v>0</v>
      </c>
      <c r="M54" s="21">
        <f t="shared" si="3"/>
        <v>86.869559766930323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0.19566353638018208</v>
      </c>
      <c r="C56" s="56">
        <f ca="1">'EF ele_warmte'!B22</f>
        <v>0.20794126035440913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406.72204307513505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3490.6405225543112</v>
      </c>
      <c r="C6" s="1223"/>
      <c r="D6" s="1226"/>
      <c r="E6" s="1226"/>
      <c r="F6" s="1229"/>
      <c r="G6" s="1232"/>
      <c r="H6" s="1220"/>
      <c r="I6" s="1226"/>
      <c r="J6" s="1226"/>
      <c r="K6" s="1226"/>
      <c r="L6" s="1256"/>
      <c r="M6" s="576"/>
      <c r="N6" s="1268"/>
      <c r="O6" s="1269"/>
      <c r="Q6" s="574"/>
      <c r="R6" s="1253"/>
      <c r="S6" s="1253"/>
    </row>
    <row r="7" spans="1:19" s="564" customFormat="1">
      <c r="A7" s="577" t="s">
        <v>252</v>
      </c>
      <c r="B7" s="578">
        <f>N57</f>
        <v>47929.5</v>
      </c>
      <c r="C7" s="579">
        <f>B100</f>
        <v>47699.325825731365</v>
      </c>
      <c r="D7" s="580"/>
      <c r="E7" s="580">
        <f>E100</f>
        <v>1240.6622522805912</v>
      </c>
      <c r="F7" s="581"/>
      <c r="G7" s="582"/>
      <c r="H7" s="580">
        <f>I100</f>
        <v>0</v>
      </c>
      <c r="I7" s="580">
        <f>G100+F100</f>
        <v>7447.658980811575</v>
      </c>
      <c r="J7" s="580">
        <f>H100+D100+C100</f>
        <v>0</v>
      </c>
      <c r="K7" s="580"/>
      <c r="L7" s="583"/>
      <c r="M7" s="584">
        <f>C7*$C$11+D7*$D$11+E7*$E$11+F7*$F$11+G7*$G$11+H7*$H$11+I7*$I$11+J7*$J$11</f>
        <v>9966.520638156655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51420.140522554313</v>
      </c>
      <c r="C9" s="595">
        <f t="shared" ref="C9:L9" si="0">SUM(C7:C8)</f>
        <v>47699.325825731365</v>
      </c>
      <c r="D9" s="595">
        <f t="shared" si="0"/>
        <v>0</v>
      </c>
      <c r="E9" s="595">
        <f t="shared" si="0"/>
        <v>1240.6622522805912</v>
      </c>
      <c r="F9" s="595">
        <f t="shared" si="0"/>
        <v>0</v>
      </c>
      <c r="G9" s="595">
        <f t="shared" si="0"/>
        <v>0</v>
      </c>
      <c r="H9" s="595">
        <f t="shared" si="0"/>
        <v>0</v>
      </c>
      <c r="I9" s="595">
        <f t="shared" si="0"/>
        <v>7447.658980811575</v>
      </c>
      <c r="J9" s="595">
        <f t="shared" si="0"/>
        <v>0</v>
      </c>
      <c r="K9" s="595">
        <f t="shared" si="0"/>
        <v>0</v>
      </c>
      <c r="L9" s="595">
        <f t="shared" si="0"/>
        <v>0</v>
      </c>
      <c r="M9" s="596">
        <f>SUM(M4:M8)</f>
        <v>9966.520638156655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67025.410714285725</v>
      </c>
      <c r="C16" s="611">
        <f>B101</f>
        <v>66703.531317125788</v>
      </c>
      <c r="D16" s="612"/>
      <c r="E16" s="612">
        <f>E101</f>
        <v>1734.9627477194085</v>
      </c>
      <c r="F16" s="613"/>
      <c r="G16" s="614"/>
      <c r="H16" s="611">
        <f>I101</f>
        <v>0</v>
      </c>
      <c r="I16" s="612">
        <f>G101+F101</f>
        <v>10414.930304902709</v>
      </c>
      <c r="J16" s="612">
        <f>H101+D101+C101</f>
        <v>0</v>
      </c>
      <c r="K16" s="612"/>
      <c r="L16" s="615"/>
      <c r="M16" s="616">
        <f>C16*$C$21+E16*$E$21+H16*$H$21+I16*$I$21+J16*$J$21+D16*$D$21+F16*$F$21+G16*$G$21+K16*$K$21+L16*$L$21</f>
        <v>13937.348379700492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67025.410714285725</v>
      </c>
      <c r="C19" s="594">
        <f>SUM(C16:C18)</f>
        <v>66703.531317125788</v>
      </c>
      <c r="D19" s="594">
        <f t="shared" ref="D19:M19" si="1">SUM(D16:D18)</f>
        <v>0</v>
      </c>
      <c r="E19" s="594">
        <f t="shared" si="1"/>
        <v>1734.9627477194085</v>
      </c>
      <c r="F19" s="594">
        <f t="shared" si="1"/>
        <v>0</v>
      </c>
      <c r="G19" s="594">
        <f t="shared" si="1"/>
        <v>0</v>
      </c>
      <c r="H19" s="594">
        <f t="shared" si="1"/>
        <v>0</v>
      </c>
      <c r="I19" s="594">
        <f t="shared" si="1"/>
        <v>10414.930304902709</v>
      </c>
      <c r="J19" s="594">
        <f t="shared" si="1"/>
        <v>0</v>
      </c>
      <c r="K19" s="594">
        <f t="shared" si="1"/>
        <v>0</v>
      </c>
      <c r="L19" s="594">
        <f t="shared" si="1"/>
        <v>0</v>
      </c>
      <c r="M19" s="621">
        <f t="shared" si="1"/>
        <v>13937.348379700492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12029</v>
      </c>
      <c r="C27" s="852">
        <v>2580</v>
      </c>
      <c r="D27" s="673" t="s">
        <v>871</v>
      </c>
      <c r="E27" s="672" t="s">
        <v>872</v>
      </c>
      <c r="F27" s="672" t="s">
        <v>873</v>
      </c>
      <c r="G27" s="672" t="s">
        <v>874</v>
      </c>
      <c r="H27" s="672" t="s">
        <v>875</v>
      </c>
      <c r="I27" s="672" t="s">
        <v>872</v>
      </c>
      <c r="J27" s="851">
        <v>39174</v>
      </c>
      <c r="K27" s="851">
        <v>39218</v>
      </c>
      <c r="L27" s="672" t="s">
        <v>876</v>
      </c>
      <c r="M27" s="672">
        <v>1147</v>
      </c>
      <c r="N27" s="672">
        <v>5161.5</v>
      </c>
      <c r="O27" s="672">
        <v>7373.5714285714284</v>
      </c>
      <c r="P27" s="672">
        <v>14747.142857142859</v>
      </c>
      <c r="Q27" s="672">
        <v>0</v>
      </c>
      <c r="R27" s="672">
        <v>0</v>
      </c>
      <c r="S27" s="672">
        <v>0</v>
      </c>
      <c r="T27" s="672">
        <v>0</v>
      </c>
      <c r="U27" s="672">
        <v>0</v>
      </c>
      <c r="V27" s="672">
        <v>0</v>
      </c>
      <c r="W27" s="672">
        <v>0</v>
      </c>
      <c r="X27" s="672">
        <v>10</v>
      </c>
      <c r="Y27" s="672" t="s">
        <v>112</v>
      </c>
      <c r="Z27" s="674" t="s">
        <v>112</v>
      </c>
    </row>
    <row r="28" spans="1:26" s="626" customFormat="1" ht="25.5">
      <c r="A28" s="625"/>
      <c r="B28" s="852">
        <v>12029</v>
      </c>
      <c r="C28" s="852">
        <v>2580</v>
      </c>
      <c r="D28" s="673" t="s">
        <v>877</v>
      </c>
      <c r="E28" s="672" t="s">
        <v>878</v>
      </c>
      <c r="F28" s="672" t="s">
        <v>879</v>
      </c>
      <c r="G28" s="672" t="s">
        <v>874</v>
      </c>
      <c r="H28" s="672" t="s">
        <v>875</v>
      </c>
      <c r="I28" s="672" t="s">
        <v>878</v>
      </c>
      <c r="J28" s="851">
        <v>40970</v>
      </c>
      <c r="K28" s="851">
        <v>39303</v>
      </c>
      <c r="L28" s="672" t="s">
        <v>876</v>
      </c>
      <c r="M28" s="672">
        <v>3602</v>
      </c>
      <c r="N28" s="672">
        <v>16209</v>
      </c>
      <c r="O28" s="672">
        <v>23155.714285714286</v>
      </c>
      <c r="P28" s="672">
        <v>46311.428571428572</v>
      </c>
      <c r="Q28" s="672">
        <v>0</v>
      </c>
      <c r="R28" s="672">
        <v>0</v>
      </c>
      <c r="S28" s="672">
        <v>0</v>
      </c>
      <c r="T28" s="672">
        <v>0</v>
      </c>
      <c r="U28" s="672">
        <v>0</v>
      </c>
      <c r="V28" s="672">
        <v>0</v>
      </c>
      <c r="W28" s="672">
        <v>0</v>
      </c>
      <c r="X28" s="672">
        <v>10</v>
      </c>
      <c r="Y28" s="672" t="s">
        <v>112</v>
      </c>
      <c r="Z28" s="674" t="s">
        <v>112</v>
      </c>
    </row>
    <row r="29" spans="1:26" s="626" customFormat="1" ht="25.5">
      <c r="A29" s="625"/>
      <c r="B29" s="852">
        <v>12029</v>
      </c>
      <c r="C29" s="852">
        <v>2580</v>
      </c>
      <c r="D29" s="673" t="s">
        <v>880</v>
      </c>
      <c r="E29" s="672" t="s">
        <v>881</v>
      </c>
      <c r="F29" s="672" t="s">
        <v>882</v>
      </c>
      <c r="G29" s="672" t="s">
        <v>874</v>
      </c>
      <c r="H29" s="672" t="s">
        <v>875</v>
      </c>
      <c r="I29" s="672" t="s">
        <v>883</v>
      </c>
      <c r="J29" s="851">
        <v>39706</v>
      </c>
      <c r="K29" s="851">
        <v>39735</v>
      </c>
      <c r="L29" s="672" t="s">
        <v>876</v>
      </c>
      <c r="M29" s="672">
        <v>1464</v>
      </c>
      <c r="N29" s="672">
        <v>6588</v>
      </c>
      <c r="O29" s="672">
        <v>9411.4285714285725</v>
      </c>
      <c r="P29" s="672">
        <v>18822.857142857145</v>
      </c>
      <c r="Q29" s="672">
        <v>0</v>
      </c>
      <c r="R29" s="672">
        <v>0</v>
      </c>
      <c r="S29" s="672">
        <v>0</v>
      </c>
      <c r="T29" s="672">
        <v>0</v>
      </c>
      <c r="U29" s="672">
        <v>0</v>
      </c>
      <c r="V29" s="672">
        <v>0</v>
      </c>
      <c r="W29" s="672">
        <v>0</v>
      </c>
      <c r="X29" s="672">
        <v>10</v>
      </c>
      <c r="Y29" s="672" t="s">
        <v>112</v>
      </c>
      <c r="Z29" s="674" t="s">
        <v>112</v>
      </c>
    </row>
    <row r="30" spans="1:26" s="626" customFormat="1" ht="25.5">
      <c r="A30" s="625"/>
      <c r="B30" s="852">
        <v>12029</v>
      </c>
      <c r="C30" s="852">
        <v>2580</v>
      </c>
      <c r="D30" s="673" t="s">
        <v>884</v>
      </c>
      <c r="E30" s="672" t="s">
        <v>885</v>
      </c>
      <c r="F30" s="672" t="s">
        <v>886</v>
      </c>
      <c r="G30" s="672" t="s">
        <v>874</v>
      </c>
      <c r="H30" s="672" t="s">
        <v>875</v>
      </c>
      <c r="I30" s="672" t="s">
        <v>885</v>
      </c>
      <c r="J30" s="851">
        <v>39805</v>
      </c>
      <c r="K30" s="851">
        <v>39833</v>
      </c>
      <c r="L30" s="672" t="s">
        <v>876</v>
      </c>
      <c r="M30" s="672">
        <v>485</v>
      </c>
      <c r="N30" s="672">
        <v>2182.5</v>
      </c>
      <c r="O30" s="672">
        <v>3117.8571428571431</v>
      </c>
      <c r="P30" s="672">
        <v>6235.7142857142862</v>
      </c>
      <c r="Q30" s="672">
        <v>0</v>
      </c>
      <c r="R30" s="672">
        <v>0</v>
      </c>
      <c r="S30" s="672">
        <v>0</v>
      </c>
      <c r="T30" s="672">
        <v>0</v>
      </c>
      <c r="U30" s="672">
        <v>0</v>
      </c>
      <c r="V30" s="672">
        <v>0</v>
      </c>
      <c r="W30" s="672">
        <v>0</v>
      </c>
      <c r="X30" s="672">
        <v>10</v>
      </c>
      <c r="Y30" s="672" t="s">
        <v>112</v>
      </c>
      <c r="Z30" s="674" t="s">
        <v>112</v>
      </c>
    </row>
    <row r="31" spans="1:26" s="626" customFormat="1" ht="38.25">
      <c r="A31" s="625"/>
      <c r="B31" s="852">
        <v>12029</v>
      </c>
      <c r="C31" s="852">
        <v>2580</v>
      </c>
      <c r="D31" s="673" t="s">
        <v>887</v>
      </c>
      <c r="E31" s="672" t="s">
        <v>888</v>
      </c>
      <c r="F31" s="672" t="s">
        <v>889</v>
      </c>
      <c r="G31" s="672" t="s">
        <v>874</v>
      </c>
      <c r="H31" s="672" t="s">
        <v>890</v>
      </c>
      <c r="I31" s="672" t="s">
        <v>888</v>
      </c>
      <c r="J31" s="851">
        <v>40093</v>
      </c>
      <c r="K31" s="851">
        <v>40093</v>
      </c>
      <c r="L31" s="672" t="s">
        <v>876</v>
      </c>
      <c r="M31" s="672">
        <v>1058</v>
      </c>
      <c r="N31" s="672">
        <v>4761</v>
      </c>
      <c r="O31" s="672">
        <v>5356.125</v>
      </c>
      <c r="P31" s="672">
        <v>0</v>
      </c>
      <c r="Q31" s="672">
        <v>0</v>
      </c>
      <c r="R31" s="672">
        <v>0</v>
      </c>
      <c r="S31" s="672">
        <v>2975.625</v>
      </c>
      <c r="T31" s="672">
        <v>8926.875</v>
      </c>
      <c r="U31" s="672">
        <v>0</v>
      </c>
      <c r="V31" s="672">
        <v>0</v>
      </c>
      <c r="W31" s="672">
        <v>0</v>
      </c>
      <c r="X31" s="672">
        <v>10</v>
      </c>
      <c r="Y31" s="672" t="s">
        <v>112</v>
      </c>
      <c r="Z31" s="674" t="s">
        <v>112</v>
      </c>
    </row>
    <row r="32" spans="1:26" s="626" customFormat="1" ht="25.5">
      <c r="A32" s="625"/>
      <c r="B32" s="852">
        <v>12029</v>
      </c>
      <c r="C32" s="852">
        <v>2580</v>
      </c>
      <c r="D32" s="673" t="s">
        <v>891</v>
      </c>
      <c r="E32" s="672" t="s">
        <v>892</v>
      </c>
      <c r="F32" s="672" t="s">
        <v>893</v>
      </c>
      <c r="G32" s="672" t="s">
        <v>874</v>
      </c>
      <c r="H32" s="672" t="s">
        <v>875</v>
      </c>
      <c r="I32" s="672" t="s">
        <v>892</v>
      </c>
      <c r="J32" s="851">
        <v>40142</v>
      </c>
      <c r="K32" s="851">
        <v>40175</v>
      </c>
      <c r="L32" s="672" t="s">
        <v>876</v>
      </c>
      <c r="M32" s="672">
        <v>695</v>
      </c>
      <c r="N32" s="672">
        <v>3127.5</v>
      </c>
      <c r="O32" s="672">
        <v>4467.8571428571431</v>
      </c>
      <c r="P32" s="672">
        <v>0</v>
      </c>
      <c r="Q32" s="672">
        <v>0</v>
      </c>
      <c r="R32" s="672">
        <v>0</v>
      </c>
      <c r="S32" s="672">
        <v>0</v>
      </c>
      <c r="T32" s="672">
        <v>8935.7142857142862</v>
      </c>
      <c r="U32" s="672">
        <v>0</v>
      </c>
      <c r="V32" s="672">
        <v>0</v>
      </c>
      <c r="W32" s="672">
        <v>0</v>
      </c>
      <c r="X32" s="672">
        <v>10</v>
      </c>
      <c r="Y32" s="672" t="s">
        <v>112</v>
      </c>
      <c r="Z32" s="674" t="s">
        <v>112</v>
      </c>
    </row>
    <row r="33" spans="1:26" s="626" customFormat="1" ht="25.5">
      <c r="A33" s="625"/>
      <c r="B33" s="852">
        <v>12029</v>
      </c>
      <c r="C33" s="852">
        <v>2580</v>
      </c>
      <c r="D33" s="673" t="s">
        <v>894</v>
      </c>
      <c r="E33" s="672" t="s">
        <v>895</v>
      </c>
      <c r="F33" s="672" t="s">
        <v>896</v>
      </c>
      <c r="G33" s="672" t="s">
        <v>874</v>
      </c>
      <c r="H33" s="672" t="s">
        <v>875</v>
      </c>
      <c r="I33" s="672" t="s">
        <v>897</v>
      </c>
      <c r="J33" s="851">
        <v>40315</v>
      </c>
      <c r="K33" s="851">
        <v>40343</v>
      </c>
      <c r="L33" s="672" t="s">
        <v>876</v>
      </c>
      <c r="M33" s="672">
        <v>1400</v>
      </c>
      <c r="N33" s="672">
        <v>6300</v>
      </c>
      <c r="O33" s="672">
        <v>9000</v>
      </c>
      <c r="P33" s="672">
        <v>18000</v>
      </c>
      <c r="Q33" s="672">
        <v>0</v>
      </c>
      <c r="R33" s="672">
        <v>0</v>
      </c>
      <c r="S33" s="672">
        <v>0</v>
      </c>
      <c r="T33" s="672">
        <v>0</v>
      </c>
      <c r="U33" s="672">
        <v>0</v>
      </c>
      <c r="V33" s="672">
        <v>0</v>
      </c>
      <c r="W33" s="672">
        <v>0</v>
      </c>
      <c r="X33" s="672">
        <v>10</v>
      </c>
      <c r="Y33" s="672" t="s">
        <v>112</v>
      </c>
      <c r="Z33" s="674" t="s">
        <v>112</v>
      </c>
    </row>
    <row r="34" spans="1:26" s="626" customFormat="1" ht="25.5">
      <c r="A34" s="625"/>
      <c r="B34" s="852">
        <v>12029</v>
      </c>
      <c r="C34" s="852">
        <v>2580</v>
      </c>
      <c r="D34" s="673" t="s">
        <v>898</v>
      </c>
      <c r="E34" s="672" t="s">
        <v>899</v>
      </c>
      <c r="F34" s="672" t="s">
        <v>900</v>
      </c>
      <c r="G34" s="672" t="s">
        <v>874</v>
      </c>
      <c r="H34" s="672" t="s">
        <v>875</v>
      </c>
      <c r="I34" s="672" t="s">
        <v>899</v>
      </c>
      <c r="J34" s="851">
        <v>40445</v>
      </c>
      <c r="K34" s="851">
        <v>40445</v>
      </c>
      <c r="L34" s="672" t="s">
        <v>876</v>
      </c>
      <c r="M34" s="672">
        <v>800</v>
      </c>
      <c r="N34" s="672">
        <v>3600</v>
      </c>
      <c r="O34" s="672">
        <v>5142.8571428571431</v>
      </c>
      <c r="P34" s="672">
        <v>10285.714285714286</v>
      </c>
      <c r="Q34" s="672">
        <v>0</v>
      </c>
      <c r="R34" s="672">
        <v>0</v>
      </c>
      <c r="S34" s="672">
        <v>0</v>
      </c>
      <c r="T34" s="672">
        <v>0</v>
      </c>
      <c r="U34" s="672">
        <v>0</v>
      </c>
      <c r="V34" s="672">
        <v>0</v>
      </c>
      <c r="W34" s="672">
        <v>0</v>
      </c>
      <c r="X34" s="672">
        <v>10</v>
      </c>
      <c r="Y34" s="672" t="s">
        <v>112</v>
      </c>
      <c r="Z34" s="674" t="s">
        <v>112</v>
      </c>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10651</v>
      </c>
      <c r="N57" s="630">
        <f>SUM(N27:N56)</f>
        <v>47929.5</v>
      </c>
      <c r="O57" s="630">
        <f t="shared" ref="O57:W57" si="2">SUM(O27:O56)</f>
        <v>67025.410714285725</v>
      </c>
      <c r="P57" s="630">
        <f t="shared" si="2"/>
        <v>114402.85714285716</v>
      </c>
      <c r="Q57" s="630">
        <f t="shared" si="2"/>
        <v>0</v>
      </c>
      <c r="R57" s="630">
        <f t="shared" si="2"/>
        <v>0</v>
      </c>
      <c r="S57" s="630">
        <f t="shared" si="2"/>
        <v>2975.625</v>
      </c>
      <c r="T57" s="630">
        <f t="shared" si="2"/>
        <v>17862.589285714286</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10651</v>
      </c>
      <c r="N60" s="635">
        <f t="shared" ref="N60:W60" si="4">SUMIF($Z$27:$Z$56,"landbouw",N27:N56)</f>
        <v>47929.5</v>
      </c>
      <c r="O60" s="635">
        <f t="shared" si="4"/>
        <v>67025.410714285725</v>
      </c>
      <c r="P60" s="635">
        <f t="shared" si="4"/>
        <v>114402.85714285716</v>
      </c>
      <c r="Q60" s="635">
        <f t="shared" si="4"/>
        <v>0</v>
      </c>
      <c r="R60" s="635">
        <f t="shared" si="4"/>
        <v>0</v>
      </c>
      <c r="S60" s="635">
        <f t="shared" si="4"/>
        <v>2975.625</v>
      </c>
      <c r="T60" s="635">
        <f t="shared" si="4"/>
        <v>17862.589285714286</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0.58305826430393903</v>
      </c>
      <c r="C97" s="655">
        <f>IF(ISERROR(N57/(O57+N57)),0,N57/(N57+O57))</f>
        <v>0.41694173569606091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47699.325825731365</v>
      </c>
      <c r="C100" s="664">
        <f t="shared" si="9"/>
        <v>0</v>
      </c>
      <c r="D100" s="664">
        <f t="shared" si="9"/>
        <v>0</v>
      </c>
      <c r="E100" s="664">
        <f t="shared" si="9"/>
        <v>1240.6622522805912</v>
      </c>
      <c r="F100" s="664">
        <f t="shared" si="9"/>
        <v>7447.658980811575</v>
      </c>
      <c r="G100" s="664">
        <f t="shared" si="9"/>
        <v>0</v>
      </c>
      <c r="H100" s="664">
        <f t="shared" si="9"/>
        <v>0</v>
      </c>
      <c r="I100" s="665">
        <f t="shared" si="9"/>
        <v>0</v>
      </c>
      <c r="J100" s="622"/>
      <c r="K100" s="622"/>
      <c r="L100" s="660"/>
      <c r="M100" s="647"/>
      <c r="N100" s="647"/>
    </row>
    <row r="101" spans="1:14" ht="15.75" thickBot="1">
      <c r="A101" s="666" t="s">
        <v>286</v>
      </c>
      <c r="B101" s="667">
        <f>$B$97*P57</f>
        <v>66703.531317125788</v>
      </c>
      <c r="C101" s="667">
        <f t="shared" ref="C101:H101" si="10">$B$97*Q57</f>
        <v>0</v>
      </c>
      <c r="D101" s="667">
        <f t="shared" si="10"/>
        <v>0</v>
      </c>
      <c r="E101" s="667">
        <f t="shared" si="10"/>
        <v>1734.9627477194085</v>
      </c>
      <c r="F101" s="667">
        <f t="shared" si="10"/>
        <v>10414.930304902709</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2019-01-01T21:30:17Z</dcterms:modified>
</cp:coreProperties>
</file>