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B22" i="6"/>
  <c r="C20" i="16" s="1"/>
  <c r="C22" s="1"/>
  <c r="D39" i="14" s="1"/>
  <c r="J67"/>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C29" i="20"/>
  <c r="Q5" i="48"/>
  <c r="O13" i="14"/>
  <c r="O15" s="1"/>
  <c r="N22" i="16"/>
  <c r="O39" i="14" s="1"/>
  <c r="O41" s="1"/>
  <c r="F8" i="48"/>
  <c r="Q4"/>
  <c r="N22"/>
  <c r="R11" i="14"/>
  <c r="J21" i="48"/>
  <c r="C17" i="49" l="1"/>
  <c r="C16" i="22"/>
  <c r="N55" i="14"/>
  <c r="C10" i="13"/>
  <c r="C16" i="48" s="1"/>
  <c r="C24" s="1"/>
  <c r="K13" i="14"/>
  <c r="K15" s="1"/>
  <c r="K23" s="1"/>
  <c r="F22" i="16"/>
  <c r="G39" i="14" s="1"/>
  <c r="G41" s="1"/>
  <c r="C18" i="15"/>
  <c r="C20" s="1"/>
  <c r="D36" i="14" s="1"/>
  <c r="C56" i="22"/>
  <c r="C58" s="1"/>
  <c r="D44" i="14" s="1"/>
  <c r="D46" s="1"/>
  <c r="C10" i="17"/>
  <c r="C12" s="1"/>
  <c r="D48" i="14" s="1"/>
  <c r="N25" i="48"/>
  <c r="N31" s="1"/>
  <c r="N14"/>
  <c r="K41" i="14"/>
  <c r="K53" s="1"/>
  <c r="E14" i="48"/>
  <c r="H55" i="14"/>
  <c r="E55"/>
  <c r="C78"/>
  <c r="C81" s="1"/>
  <c r="J14" i="48"/>
  <c r="J31"/>
  <c r="Q8"/>
  <c r="Q14" s="1"/>
  <c r="R19" i="14"/>
  <c r="R20" s="1"/>
  <c r="H14" i="48"/>
  <c r="G31"/>
  <c r="H26"/>
  <c r="H31" s="1"/>
  <c r="F55" i="14"/>
  <c r="O53"/>
  <c r="G53"/>
  <c r="G55" s="1"/>
  <c r="O69" s="1"/>
  <c r="B9" i="6" s="1"/>
  <c r="B12" s="1"/>
  <c r="M53" i="14"/>
  <c r="M55" s="1"/>
  <c r="C28" i="48"/>
  <c r="C22"/>
  <c r="C25"/>
  <c r="C21"/>
  <c r="R13" i="14"/>
  <c r="R15" s="1"/>
  <c r="F25" i="48"/>
  <c r="F31" s="1"/>
  <c r="F14"/>
  <c r="K55" i="14" l="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<sst xmlns="http://schemas.openxmlformats.org/spreadsheetml/2006/main" count="2155" uniqueCount="880">
  <si>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</si>
  <si>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</si>
  <si>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</si>
  <si>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</si>
  <si>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</si>
  <si>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</si>
  <si>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</si>
  <si>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</si>
  <si>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</si>
  <si>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</si>
  <si>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</si>
  <si>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</si>
  <si>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</si>
  <si>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</si>
  <si>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</si>
  <si>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</si>
  <si>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</si>
  <si>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</si>
  <si>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</si>
  <si>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</si>
  <si>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</si>
  <si>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</si>
  <si>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</si>
  <si>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</si>
  <si>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</si>
  <si>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</si>
  <si>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</si>
  <si>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</si>
  <si>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</si>
  <si>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</si>
  <si>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</si>
  <si>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</si>
  <si>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</si>
  <si>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</si>
  <si>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</si>
  <si>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</si>
  <si>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</si>
  <si>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</si>
  <si>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</si>
  <si>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</si>
  <si>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</si>
  <si>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</si>
  <si>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</si>
  <si>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</si>
  <si>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</si>
  <si>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</si>
  <si>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</si>
  <si>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</si>
  <si>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</si>
  <si>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</si>
  <si>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</si>
  <si>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</si>
  <si>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</si>
  <si>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</si>
  <si>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</si>
  <si>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</si>
  <si>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</si>
  <si>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</si>
  <si>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</si>
  <si>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</si>
  <si>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</si>
  <si>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</si>
  <si>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</si>
  <si>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</si>
  <si>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</si>
  <si>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</si>
  <si>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</si>
  <si>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</si>
  <si>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</si>
  <si>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</si>
  <si>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</si>
  <si>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</si>
  <si>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</si>
  <si>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</si>
  <si>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</si>
  <si>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</si>
  <si>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</si>
  <si>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</si>
  <si>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</si>
  <si>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</si>
  <si>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</si>
  <si>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</si>
  <si>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</si>
  <si>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</si>
  <si>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</si>
  <si>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</si>
  <si>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</si>
  <si>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</si>
  <si>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</si>
  <si>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</si>
  <si>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</si>
  <si>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</si>
  <si>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</si>
  <si>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</si>
  <si>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</si>
  <si>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</si>
  <si>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</si>
  <si>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</si>
  <si>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</si>
  <si>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</si>
  <si>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</si>
  <si>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</si>
  <si>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</si>
  <si>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</si>
  <si>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</si>
  <si>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</si>
  <si>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</si>
  <si>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</si>
  <si>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</si>
  <si>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</si>
  <si>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</si>
  <si>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</si>
  <si>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</si>
  <si>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</si>
  <si>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</si>
  <si>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</si>
  <si>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</si>
  <si>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</si>
  <si>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</si>
  <si>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</si>
  <si>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</si>
  <si>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</si>
  <si>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</si>
  <si>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</si>
  <si>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</si>
  <si>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</si>
  <si>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</si>
  <si>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</si>
  <si>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</si>
  <si>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</si>
  <si>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</si>
  <si>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</si>
  <si>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</si>
  <si>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</si>
  <si>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</si>
  <si>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</si>
  <si>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</si>
  <si>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</si>
  <si>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</si>
  <si>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</si>
  <si>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</si>
  <si>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</si>
  <si>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</si>
  <si>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</si>
  <si>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</si>
  <si>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</si>
  <si>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</si>
  <si>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</si>
  <si>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</si>
  <si>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</si>
  <si>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</si>
  <si>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</si>
  <si>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</si>
  <si>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</si>
  <si>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</si>
  <si>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</si>
  <si>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</si>
  <si>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</si>
  <si>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</si>
  <si>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</si>
  <si>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</si>
  <si>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</si>
  <si>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</si>
  <si>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</si>
  <si>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</si>
  <si>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</si>
  <si>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</si>
  <si>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</si>
  <si>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</si>
  <si>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</si>
  <si>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</si>
  <si>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</si>
  <si>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</si>
  <si>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</si>
  <si>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</si>
  <si>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</si>
  <si>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</si>
  <si>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</si>
  <si>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</si>
  <si>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</si>
  <si>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</si>
  <si>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</si>
  <si>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</si>
  <si>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</si>
  <si>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</si>
  <si>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</si>
  <si>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</si>
  <si>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</si>
  <si>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</si>
  <si>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</si>
  <si>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</si>
  <si>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</si>
  <si>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</si>
  <si>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</si>
  <si>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</si>
  <si>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</si>
  <si>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</si>
  <si>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</si>
  <si>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</si>
  <si>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</si>
  <si>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</si>
  <si>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</si>
  <si>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</si>
  <si>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</si>
  <si>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</si>
  <si>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</si>
  <si>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</si>
  <si>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</si>
  <si>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</si>
  <si>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</si>
  <si>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</si>
  <si>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</si>
  <si>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</si>
  <si>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</si>
  <si>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</si>
  <si>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</si>
  <si>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</si>
  <si>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</si>
  <si>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</si>
  <si>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</si>
  <si>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</si>
  <si>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</si>
  <si>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</si>
  <si>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</si>
  <si>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</si>
  <si>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</si>
  <si>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</si>
  <si>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</si>
  <si>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</si>
  <si>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</si>
  <si>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</si>
  <si>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</si>
  <si>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</si>
  <si>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</si>
  <si>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</si>
  <si>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</si>
  <si>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</si>
  <si>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</si>
  <si>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</si>
  <si>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</si>
  <si>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</si>
  <si>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</si>
  <si>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</si>
  <si>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</si>
  <si>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</si>
  <si>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</si>
  <si>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</si>
  <si>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</si>
  <si>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</si>
  <si>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</si>
  <si>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</si>
  <si>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</si>
  <si>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</si>
  <si>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</si>
  <si>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</si>
  <si>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</si>
  <si>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</si>
  <si>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</si>
  <si>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</si>
  <si>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</si>
  <si>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</si>
  <si>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</si>
  <si>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</si>
  <si>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</si>
  <si>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</si>
  <si>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</si>
  <si>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</si>
  <si>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</si>
  <si>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</si>
  <si>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</si>
  <si>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</si>
  <si>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</si>
  <si>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</si>
  <si>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</si>
  <si>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</si>
  <si>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</si>
  <si>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</si>
  <si>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</si>
  <si>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</si>
  <si>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</si>
  <si>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</si>
  <si>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</si>
  <si>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</si>
  <si>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</si>
  <si>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</si>
  <si>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</si>
  <si>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</si>
  <si>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</si>
  <si>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</si>
  <si>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</si>
  <si>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</si>
  <si>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</si>
  <si>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</si>
  <si>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</si>
  <si>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</si>
  <si>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</si>
  <si>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</si>
  <si>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</si>
  <si>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</si>
  <si>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</si>
  <si>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</si>
  <si>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</si>
  <si>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</si>
  <si>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</si>
  <si>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</si>
  <si>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</si>
  <si>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</si>
  <si>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</si>
  <si>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</si>
  <si>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</si>
  <si>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</si>
  <si>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</si>
  <si>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</si>
  <si>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</si>
  <si>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</si>
  <si>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</si>
  <si>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</si>
  <si>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</si>
  <si>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</si>
  <si>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</si>
  <si>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</si>
  <si>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</si>
  <si>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</si>
  <si>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</si>
  <si>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</si>
  <si>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</si>
  <si>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</si>
  <si>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</si>
  <si>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</si>
  <si>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</si>
  <si>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</si>
  <si>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</si>
  <si>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</si>
  <si>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</si>
  <si>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</si>
  <si>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</si>
  <si>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</si>
  <si>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</si>
  <si>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</si>
  <si>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</si>
  <si>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</si>
  <si>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</si>
  <si>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</si>
  <si>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</si>
  <si>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</si>
  <si>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</si>
  <si>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</si>
  <si>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</si>
  <si>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</si>
  <si>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</si>
  <si>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</si>
  <si>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</si>
  <si>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</si>
  <si>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</si>
  <si>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</si>
  <si>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</si>
  <si>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</si>
  <si>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</si>
  <si>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</si>
  <si>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</si>
  <si>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</si>
  <si>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</si>
  <si>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</si>
  <si>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</si>
  <si>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</si>
  <si>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</si>
  <si>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</si>
  <si>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</si>
  <si>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</si>
  <si>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</si>
  <si>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</si>
  <si>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</si>
  <si>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</si>
  <si>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</si>
  <si>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</si>
  <si>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</si>
  <si>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</si>
  <si>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</si>
  <si>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</si>
  <si>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</si>
  <si>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</si>
  <si>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</si>
  <si>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</si>
  <si>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</si>
  <si>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</si>
  <si>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</si>
  <si>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</si>
  <si>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</si>
  <si>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</si>
  <si>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</si>
  <si>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</si>
  <si>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</si>
  <si>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</si>
  <si>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</si>
  <si>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</si>
  <si>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</si>
  <si>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</si>
  <si>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</si>
  <si>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</si>
  <si>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</si>
  <si>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</si>
  <si>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</si>
  <si>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</si>
  <si>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</si>
  <si>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</si>
  <si>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</si>
  <si>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</si>
  <si>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</si>
  <si>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</si>
  <si>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</si>
  <si>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</si>
  <si>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</si>
  <si>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</si>
  <si>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</si>
  <si>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</si>
  <si>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</si>
  <si>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</si>
  <si>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</si>
  <si>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</si>
  <si>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</si>
  <si>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</si>
  <si>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</si>
  <si>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</si>
  <si>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</si>
  <si>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</si>
  <si>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</si>
  <si>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</si>
  <si>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</si>
  <si>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</si>
  <si>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</si>
  <si>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</si>
  <si>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</si>
  <si>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</si>
  <si>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</si>
  <si>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</si>
  <si>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</si>
  <si>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</si>
  <si>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</si>
  <si>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</si>
  <si>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</si>
  <si>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</si>
  <si>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</si>
  <si>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</si>
  <si>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</si>
  <si>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</si>
  <si>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</si>
  <si>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</si>
  <si>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</si>
  <si>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</si>
  <si>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</si>
  <si>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</si>
  <si>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</si>
  <si>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</si>
  <si>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</si>
  <si>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</si>
  <si>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</si>
  <si>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</si>
  <si>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</si>
  <si>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</si>
  <si>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</si>
  <si>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</si>
  <si>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</si>
  <si>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</si>
  <si>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</si>
  <si>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</si>
  <si>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</si>
  <si>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</si>
  <si>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</si>
  <si>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</si>
  <si>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</si>
  <si>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</si>
  <si>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</si>
  <si>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</si>
  <si>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</si>
  <si>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</si>
  <si>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</si>
  <si>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</si>
  <si>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</si>
  <si>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</si>
  <si>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</si>
  <si>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</si>
  <si>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</si>
  <si>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</si>
  <si>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</si>
  <si>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</si>
  <si>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</si>
  <si>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</si>
  <si>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</si>
  <si>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</si>
  <si>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</si>
  <si>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</si>
  <si>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</si>
  <si>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</si>
  <si>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</si>
  <si>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</si>
  <si>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</si>
  <si>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</si>
  <si>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</si>
  <si>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</si>
  <si>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</si>
  <si>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</si>
  <si>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</si>
  <si>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</si>
  <si>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</si>
  <si>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</si>
  <si>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</si>
  <si>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</si>
  <si>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</si>
  <si>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</si>
  <si>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</si>
  <si>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</si>
  <si>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</si>
  <si>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</si>
  <si>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</si>
  <si>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</si>
  <si>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</si>
  <si>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</si>
  <si>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</si>
  <si>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</si>
  <si>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</si>
  <si>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</si>
  <si>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</si>
  <si>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</si>
  <si>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</si>
  <si>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</si>
  <si>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</si>
  <si>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</si>
  <si>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</si>
  <si>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</si>
  <si>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</si>
  <si>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</si>
  <si>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</si>
  <si>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</si>
  <si>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</si>
  <si>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</si>
  <si>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</si>
  <si>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</si>
  <si>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</si>
  <si>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</si>
  <si>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</si>
  <si>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</si>
  <si>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</si>
  <si>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</si>
  <si>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</si>
  <si>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</si>
  <si>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</si>
  <si>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</si>
  <si>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</si>
  <si>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</si>
  <si>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</si>
  <si>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</si>
  <si>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</si>
  <si>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</si>
  <si>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</si>
  <si>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</si>
  <si>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</si>
  <si>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</si>
  <si>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</si>
  <si>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</si>
  <si>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</si>
  <si>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</si>
  <si>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</si>
  <si>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</si>
  <si>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</si>
  <si>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</si>
  <si>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</si>
  <si>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</si>
  <si>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</si>
  <si>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</si>
  <si>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</si>
  <si>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</si>
  <si>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</si>
  <si>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</si>
  <si>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</si>
  <si>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</si>
  <si>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</si>
  <si>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</si>
  <si>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</si>
  <si>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</si>
  <si>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</si>
  <si>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</si>
  <si>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</si>
  <si>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</si>
  <si>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</si>
  <si>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</si>
  <si>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</si>
  <si>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</si>
  <si>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</si>
  <si>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</si>
  <si>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</si>
  <si>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</si>
  <si>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</si>
  <si>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</si>
  <si>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</si>
  <si>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</si>
  <si>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</si>
  <si>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</si>
  <si>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</si>
  <si>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</si>
  <si>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</si>
  <si>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</si>
  <si>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</si>
  <si>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</si>
  <si>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</si>
  <si>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</si>
  <si>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</si>
  <si>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</si>
  <si>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</si>
  <si>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</si>
  <si>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</si>
  <si>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</si>
  <si>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</si>
  <si>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</si>
  <si>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</si>
  <si>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</si>
  <si>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</si>
  <si>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</si>
  <si>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</si>
  <si>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</si>
  <si>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</si>
  <si>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</si>
  <si>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</si>
  <si>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</si>
  <si>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</si>
  <si>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</si>
  <si>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</si>
  <si>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</si>
  <si>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</si>
  <si>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</si>
  <si>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</si>
  <si>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</si>
  <si>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</si>
  <si>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</si>
  <si>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</si>
  <si>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</si>
  <si>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</si>
  <si>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</si>
  <si>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</si>
  <si>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</si>
  <si>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</si>
  <si>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</si>
  <si>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</si>
  <si>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</si>
  <si>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</si>
  <si>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</si>
  <si>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</si>
  <si>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</si>
  <si>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</si>
  <si>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</si>
  <si>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</si>
  <si>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</si>
  <si>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</si>
  <si>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</si>
  <si>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</si>
  <si>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</si>
  <si>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</si>
  <si>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</si>
  <si>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</si>
  <si>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</si>
  <si>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</si>
  <si>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</si>
  <si>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</si>
  <si>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</si>
  <si>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</si>
  <si>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</si>
  <si>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</si>
  <si>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</si>
  <si>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</si>
  <si>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</si>
  <si>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</si>
  <si>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</si>
  <si>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</si>
  <si>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</si>
  <si>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</si>
  <si>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</si>
  <si>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</si>
  <si>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</si>
  <si>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</si>
  <si>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</si>
  <si>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</si>
  <si>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</si>
  <si>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</si>
  <si>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</si>
  <si>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</si>
  <si>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</si>
  <si>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</si>
  <si>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</si>
  <si>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</si>
  <si>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</si>
  <si>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</si>
  <si>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</si>
  <si>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</si>
  <si>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</si>
  <si>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</si>
  <si>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</si>
  <si>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</si>
  <si>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</si>
  <si>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</si>
  <si>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</si>
  <si>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</si>
  <si>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</si>
  <si>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</si>
  <si>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</si>
  <si>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</si>
  <si>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</si>
  <si>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</si>
  <si>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</si>
  <si>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</si>
  <si>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</si>
  <si>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</si>
  <si>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</si>
  <si>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</si>
  <si>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</si>
  <si>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</si>
  <si>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</si>
  <si>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</si>
  <si>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</si>
  <si>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</si>
  <si>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</si>
  <si>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</si>
  <si>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</si>
  <si>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</si>
  <si>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</si>
  <si>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</si>
  <si>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</si>
  <si>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</si>
  <si>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</si>
  <si>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</si>
  <si>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</si>
  <si>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</si>
  <si>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</si>
  <si>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</si>
  <si>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</si>
  <si>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</si>
  <si>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</si>
  <si>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</si>
  <si>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</si>
  <si>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</si>
  <si>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</si>
  <si>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</si>
  <si>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</si>
  <si>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</si>
  <si>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</si>
  <si>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</si>
  <si>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</si>
  <si>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</si>
  <si>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</si>
  <si>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</si>
  <si>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</si>
  <si>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</si>
  <si>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</si>
  <si>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</si>
  <si>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</si>
  <si>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</si>
  <si>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</si>
  <si>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</si>
  <si>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</si>
  <si>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</si>
  <si>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</si>
  <si>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</si>
  <si>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</si>
  <si>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</si>
  <si>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</si>
  <si>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</si>
  <si>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</si>
  <si>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</si>
  <si>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</si>
  <si>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</si>
  <si>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</si>
  <si>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</si>
  <si>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</si>
  <si>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</si>
  <si>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</si>
  <si>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</si>
  <si>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</si>
  <si>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</si>
  <si>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</si>
  <si>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</si>
  <si>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</si>
  <si>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</si>
  <si>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</si>
  <si>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</si>
  <si>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</si>
  <si>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</si>
  <si>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</si>
  <si>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</si>
  <si>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</si>
  <si>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</si>
  <si>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</si>
  <si>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</si>
  <si>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</si>
  <si>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</si>
  <si>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</si>
  <si>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</si>
  <si>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</si>
  <si>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</si>
  <si>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</si>
  <si>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</si>
  <si>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</si>
  <si>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</si>
  <si>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</si>
  <si>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</si>
  <si>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</si>
  <si>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</si>
  <si>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</si>
  <si>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</si>
  <si>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</si>
  <si>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</si>
  <si>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</si>
  <si>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</si>
  <si>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</si>
  <si>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</si>
  <si>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</si>
  <si>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</si>
  <si>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</si>
  <si>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</si>
  <si>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</si>
  <si>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</si>
  <si>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</si>
  <si>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</si>
  <si>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</si>
  <si>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</si>
  <si>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</si>
  <si>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</si>
  <si>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</si>
  <si>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</si>
  <si>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</si>
  <si>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</si>
  <si>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</si>
  <si>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</si>
  <si>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</si>
  <si>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</si>
  <si>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</si>
  <si>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</si>
  <si>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</si>
  <si>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</si>
  <si>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</si>
  <si>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</si>
  <si>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</si>
  <si>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</si>
  <si>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</si>
  <si>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</si>
  <si>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</si>
  <si>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</si>
  <si>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</si>
  <si>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</si>
  <si>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</si>
  <si>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</si>
  <si>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</si>
  <si>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</si>
  <si>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</si>
  <si>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</si>
  <si>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</si>
  <si>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</si>
  <si>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</si>
  <si>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</si>
  <si>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</si>
  <si>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</si>
  <si>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</si>
  <si>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</si>
  <si>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</si>
  <si>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</si>
  <si>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</si>
  <si>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12005</t>
  </si>
  <si>
    <t>BONHEIDEN</t>
  </si>
  <si>
    <t>Paarden&amp;pony's 200 - 600 kg</t>
  </si>
  <si>
    <t>Paarden&amp;pony's &lt; 200 kg</t>
  </si>
  <si>
    <t>referentietaak LNE (2017); Jaarverslag De Lijn (2014)</t>
  </si>
  <si>
    <t>op basis van VEA (maart 2018) en Inventaris Hernieuwbare Energiebronnen (juni 2018)</t>
  </si>
  <si>
    <t>VEA (maart 2016)</t>
  </si>
  <si>
    <t>VEA (juni 2018)</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</si>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</sst>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127728.30751000502</c:v>
                </c:pt>
                <c:pt idx="1">
                  <c:v>49312.522250420938</c:v>
                </c:pt>
                <c:pt idx="2">
                  <c:v>1391.0820000000001</c:v>
                </c:pt>
                <c:pt idx="3">
                  <c:v>2344.8264643015818</c:v>
                </c:pt>
                <c:pt idx="4">
                  <c:v>8737.5685144277013</c:v>
                </c:pt>
                <c:pt idx="5">
                  <c:v>75447.194477399244</c:v>
                </c:pt>
                <c:pt idx="6">
                  <c:v>1764.9392326227594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127728.30751000502</c:v>
                </c:pt>
                <c:pt idx="1">
                  <c:v>49312.522250420938</c:v>
                </c:pt>
                <c:pt idx="2">
                  <c:v>1391.0820000000001</c:v>
                </c:pt>
                <c:pt idx="3">
                  <c:v>2344.8264643015818</c:v>
                </c:pt>
                <c:pt idx="4">
                  <c:v>8737.5685144277013</c:v>
                </c:pt>
                <c:pt idx="5">
                  <c:v>75447.194477399244</c:v>
                </c:pt>
                <c:pt idx="6">
                  <c:v>1764.9392326227594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26350.513390212174</c:v>
                </c:pt>
                <c:pt idx="1">
                  <c:v>10043.766238081376</c:v>
                </c:pt>
                <c:pt idx="2">
                  <c:v>291.25447131304145</c:v>
                </c:pt>
                <c:pt idx="3">
                  <c:v>516.70748965643043</c:v>
                </c:pt>
                <c:pt idx="4">
                  <c:v>1788.2773428028434</c:v>
                </c:pt>
                <c:pt idx="5">
                  <c:v>18887.337694054415</c:v>
                </c:pt>
                <c:pt idx="6">
                  <c:v>445.81523204817591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26350.513390212174</c:v>
                </c:pt>
                <c:pt idx="1">
                  <c:v>10043.766238081376</c:v>
                </c:pt>
                <c:pt idx="2">
                  <c:v>291.25447131304145</c:v>
                </c:pt>
                <c:pt idx="3">
                  <c:v>516.70748965643043</c:v>
                </c:pt>
                <c:pt idx="4">
                  <c:v>1788.2773428028434</c:v>
                </c:pt>
                <c:pt idx="5">
                  <c:v>18887.337694054415</c:v>
                </c:pt>
                <c:pt idx="6">
                  <c:v>445.81523204817591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12005</v>
      </c>
      <c r="B6" s="416"/>
      <c r="C6" s="417"/>
    </row>
    <row r="7" spans="1:7" s="414" customFormat="1" ht="15.75" customHeight="1">
      <c r="A7" s="418" t="str">
        <f>txtMunicipality</f>
        <v>BONHEIDEN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5806</v>
      </c>
      <c r="C9" s="342">
        <v>5994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795</v>
      </c>
    </row>
    <row r="15" spans="1:6">
      <c r="A15" s="348" t="s">
        <v>184</v>
      </c>
      <c r="B15" s="334">
        <v>1</v>
      </c>
    </row>
    <row r="16" spans="1:6">
      <c r="A16" s="348" t="s">
        <v>6</v>
      </c>
      <c r="B16" s="334">
        <v>105</v>
      </c>
    </row>
    <row r="17" spans="1:6">
      <c r="A17" s="348" t="s">
        <v>7</v>
      </c>
      <c r="B17" s="334">
        <v>138</v>
      </c>
    </row>
    <row r="18" spans="1:6">
      <c r="A18" s="348" t="s">
        <v>8</v>
      </c>
      <c r="B18" s="334">
        <v>159</v>
      </c>
    </row>
    <row r="19" spans="1:6">
      <c r="A19" s="348" t="s">
        <v>9</v>
      </c>
      <c r="B19" s="334">
        <v>113</v>
      </c>
    </row>
    <row r="20" spans="1:6">
      <c r="A20" s="348" t="s">
        <v>10</v>
      </c>
      <c r="B20" s="334">
        <v>113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23</v>
      </c>
    </row>
    <row r="27" spans="1:6">
      <c r="A27" s="348" t="s">
        <v>17</v>
      </c>
      <c r="B27" s="334">
        <v>0</v>
      </c>
    </row>
    <row r="28" spans="1:6" s="356" customFormat="1">
      <c r="A28" s="355" t="s">
        <v>18</v>
      </c>
      <c r="B28" s="355">
        <v>26</v>
      </c>
    </row>
    <row r="29" spans="1:6">
      <c r="A29" s="355" t="s">
        <v>865</v>
      </c>
      <c r="B29" s="355">
        <v>198</v>
      </c>
      <c r="C29" s="356"/>
      <c r="D29" s="356"/>
      <c r="E29" s="356"/>
      <c r="F29" s="356"/>
    </row>
    <row r="30" spans="1:6">
      <c r="A30" s="341" t="s">
        <v>866</v>
      </c>
      <c r="B30" s="341">
        <v>60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123602.76060720799</v>
      </c>
      <c r="E38" s="334">
        <v>1</v>
      </c>
      <c r="F38" s="334">
        <v>1205.3320000000001</v>
      </c>
    </row>
    <row r="39" spans="1:6">
      <c r="A39" s="348" t="s">
        <v>30</v>
      </c>
      <c r="B39" s="348" t="s">
        <v>31</v>
      </c>
      <c r="C39" s="334">
        <v>3315</v>
      </c>
      <c r="D39" s="334">
        <v>59012396.4635268</v>
      </c>
      <c r="E39" s="334">
        <v>5671</v>
      </c>
      <c r="F39" s="334">
        <v>26443594</v>
      </c>
    </row>
    <row r="40" spans="1:6">
      <c r="A40" s="348" t="s">
        <v>30</v>
      </c>
      <c r="B40" s="348" t="s">
        <v>29</v>
      </c>
      <c r="C40" s="334">
        <v>0</v>
      </c>
      <c r="D40" s="334">
        <v>0</v>
      </c>
      <c r="E40" s="334">
        <v>0</v>
      </c>
      <c r="F40" s="334">
        <v>0</v>
      </c>
    </row>
    <row r="41" spans="1:6">
      <c r="A41" s="348" t="s">
        <v>32</v>
      </c>
      <c r="B41" s="348" t="s">
        <v>33</v>
      </c>
      <c r="C41" s="334">
        <v>24</v>
      </c>
      <c r="D41" s="334">
        <v>835273.04065862496</v>
      </c>
      <c r="E41" s="334">
        <v>68</v>
      </c>
      <c r="F41" s="334">
        <v>824411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67784.38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543384.99581097299</v>
      </c>
      <c r="E48" s="334">
        <v>23</v>
      </c>
      <c r="F48" s="334">
        <v>401365</v>
      </c>
    </row>
    <row r="49" spans="1:6">
      <c r="A49" s="348" t="s">
        <v>32</v>
      </c>
      <c r="B49" s="348" t="s">
        <v>40</v>
      </c>
      <c r="C49" s="334">
        <v>0</v>
      </c>
      <c r="D49" s="334">
        <v>0</v>
      </c>
      <c r="E49" s="334">
        <v>0</v>
      </c>
      <c r="F49" s="334">
        <v>0</v>
      </c>
    </row>
    <row r="50" spans="1:6">
      <c r="A50" s="348" t="s">
        <v>32</v>
      </c>
      <c r="B50" s="348" t="s">
        <v>41</v>
      </c>
      <c r="C50" s="334">
        <v>6</v>
      </c>
      <c r="D50" s="334">
        <v>1596312.1702916599</v>
      </c>
      <c r="E50" s="334">
        <v>8</v>
      </c>
      <c r="F50" s="334">
        <v>986483.3</v>
      </c>
    </row>
    <row r="51" spans="1:6">
      <c r="A51" s="348" t="s">
        <v>42</v>
      </c>
      <c r="B51" s="348" t="s">
        <v>43</v>
      </c>
      <c r="C51" s="334">
        <v>0</v>
      </c>
      <c r="D51" s="334">
        <v>0</v>
      </c>
      <c r="E51" s="334">
        <v>10</v>
      </c>
      <c r="F51" s="334">
        <v>118519.6</v>
      </c>
    </row>
    <row r="52" spans="1:6">
      <c r="A52" s="348" t="s">
        <v>42</v>
      </c>
      <c r="B52" s="348" t="s">
        <v>29</v>
      </c>
      <c r="C52" s="334">
        <v>4</v>
      </c>
      <c r="D52" s="334">
        <v>102714.461422412</v>
      </c>
      <c r="E52" s="334">
        <v>6</v>
      </c>
      <c r="F52" s="334">
        <v>101332.7</v>
      </c>
    </row>
    <row r="53" spans="1:6">
      <c r="A53" s="348" t="s">
        <v>44</v>
      </c>
      <c r="B53" s="348" t="s">
        <v>45</v>
      </c>
      <c r="C53" s="334">
        <v>64</v>
      </c>
      <c r="D53" s="334">
        <v>1595095.7626877599</v>
      </c>
      <c r="E53" s="334">
        <v>170</v>
      </c>
      <c r="F53" s="334">
        <v>794926.9</v>
      </c>
    </row>
    <row r="54" spans="1:6">
      <c r="A54" s="348" t="s">
        <v>46</v>
      </c>
      <c r="B54" s="348" t="s">
        <v>47</v>
      </c>
      <c r="C54" s="334">
        <v>0</v>
      </c>
      <c r="D54" s="334">
        <v>0</v>
      </c>
      <c r="E54" s="334">
        <v>1</v>
      </c>
      <c r="F54" s="334">
        <v>1391082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49</v>
      </c>
      <c r="D57" s="334">
        <v>2817628.5070406799</v>
      </c>
      <c r="E57" s="334">
        <v>98</v>
      </c>
      <c r="F57" s="334">
        <v>1565251</v>
      </c>
    </row>
    <row r="58" spans="1:6">
      <c r="A58" s="348" t="s">
        <v>49</v>
      </c>
      <c r="B58" s="348" t="s">
        <v>51</v>
      </c>
      <c r="C58" s="334">
        <v>43</v>
      </c>
      <c r="D58" s="334">
        <v>18235898.4807452</v>
      </c>
      <c r="E58" s="334">
        <v>60</v>
      </c>
      <c r="F58" s="334">
        <v>8558221</v>
      </c>
    </row>
    <row r="59" spans="1:6">
      <c r="A59" s="348" t="s">
        <v>49</v>
      </c>
      <c r="B59" s="348" t="s">
        <v>52</v>
      </c>
      <c r="C59" s="334">
        <v>30</v>
      </c>
      <c r="D59" s="334">
        <v>714096.53513236495</v>
      </c>
      <c r="E59" s="334">
        <v>95</v>
      </c>
      <c r="F59" s="334">
        <v>2271884</v>
      </c>
    </row>
    <row r="60" spans="1:6">
      <c r="A60" s="348" t="s">
        <v>49</v>
      </c>
      <c r="B60" s="348" t="s">
        <v>53</v>
      </c>
      <c r="C60" s="334">
        <v>36</v>
      </c>
      <c r="D60" s="334">
        <v>1407950.46962867</v>
      </c>
      <c r="E60" s="334">
        <v>50</v>
      </c>
      <c r="F60" s="334">
        <v>1061980</v>
      </c>
    </row>
    <row r="61" spans="1:6">
      <c r="A61" s="348" t="s">
        <v>49</v>
      </c>
      <c r="B61" s="348" t="s">
        <v>54</v>
      </c>
      <c r="C61" s="334">
        <v>111</v>
      </c>
      <c r="D61" s="334">
        <v>2982713.50091242</v>
      </c>
      <c r="E61" s="334">
        <v>224</v>
      </c>
      <c r="F61" s="334">
        <v>2056135</v>
      </c>
    </row>
    <row r="62" spans="1:6">
      <c r="A62" s="348" t="s">
        <v>49</v>
      </c>
      <c r="B62" s="348" t="s">
        <v>55</v>
      </c>
      <c r="C62" s="334">
        <v>0</v>
      </c>
      <c r="D62" s="334">
        <v>0</v>
      </c>
      <c r="E62" s="334">
        <v>0</v>
      </c>
      <c r="F62" s="334">
        <v>0</v>
      </c>
    </row>
    <row r="63" spans="1:6">
      <c r="A63" s="348" t="s">
        <v>49</v>
      </c>
      <c r="B63" s="348" t="s">
        <v>29</v>
      </c>
      <c r="C63" s="334">
        <v>92</v>
      </c>
      <c r="D63" s="334">
        <v>4831853.6694976902</v>
      </c>
      <c r="E63" s="334">
        <v>108</v>
      </c>
      <c r="F63" s="334">
        <v>2372625</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44616.84</v>
      </c>
    </row>
    <row r="67" spans="1:6">
      <c r="A67" s="355" t="s">
        <v>56</v>
      </c>
      <c r="B67" s="355" t="s">
        <v>59</v>
      </c>
      <c r="C67" s="334">
        <v>0</v>
      </c>
      <c r="D67" s="334">
        <v>0</v>
      </c>
      <c r="E67" s="334">
        <v>0</v>
      </c>
      <c r="F67" s="334">
        <v>0</v>
      </c>
    </row>
    <row r="68" spans="1:6">
      <c r="A68" s="341" t="s">
        <v>56</v>
      </c>
      <c r="B68" s="341" t="s">
        <v>60</v>
      </c>
      <c r="C68" s="334">
        <v>3</v>
      </c>
      <c r="D68" s="334">
        <v>61093.395608550003</v>
      </c>
      <c r="E68" s="334">
        <v>5</v>
      </c>
      <c r="F68" s="334">
        <v>25741.31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93668702</v>
      </c>
      <c r="E73" s="477">
        <v>96849458.507209018</v>
      </c>
    </row>
    <row r="74" spans="1:6">
      <c r="A74" s="348" t="s">
        <v>64</v>
      </c>
      <c r="B74" s="348" t="s">
        <v>714</v>
      </c>
      <c r="C74" s="1288" t="s">
        <v>716</v>
      </c>
      <c r="D74" s="477">
        <v>4648359.0499588046</v>
      </c>
      <c r="E74" s="477">
        <v>4699704.4974302631</v>
      </c>
    </row>
    <row r="75" spans="1:6">
      <c r="A75" s="348" t="s">
        <v>65</v>
      </c>
      <c r="B75" s="348" t="s">
        <v>713</v>
      </c>
      <c r="C75" s="1288" t="s">
        <v>717</v>
      </c>
      <c r="D75" s="477">
        <v>9076334</v>
      </c>
      <c r="E75" s="477">
        <v>9485182.6240938269</v>
      </c>
    </row>
    <row r="76" spans="1:6">
      <c r="A76" s="348" t="s">
        <v>65</v>
      </c>
      <c r="B76" s="348" t="s">
        <v>714</v>
      </c>
      <c r="C76" s="1288" t="s">
        <v>718</v>
      </c>
      <c r="D76" s="477">
        <v>13824.7</v>
      </c>
      <c r="E76" s="477">
        <v>14578.922962534449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471633.90008239093</v>
      </c>
      <c r="C83" s="477">
        <v>466290.24861507321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2520.4151722195215</v>
      </c>
    </row>
    <row r="92" spans="1:6">
      <c r="A92" s="341" t="s">
        <v>69</v>
      </c>
      <c r="B92" s="342">
        <v>323.52767355945872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1988</v>
      </c>
    </row>
    <row r="98" spans="1:6">
      <c r="A98" s="348" t="s">
        <v>72</v>
      </c>
      <c r="B98" s="334">
        <v>3</v>
      </c>
    </row>
    <row r="99" spans="1:6">
      <c r="A99" s="348" t="s">
        <v>73</v>
      </c>
      <c r="B99" s="334">
        <v>88</v>
      </c>
    </row>
    <row r="100" spans="1:6">
      <c r="A100" s="348" t="s">
        <v>74</v>
      </c>
      <c r="B100" s="334">
        <v>366</v>
      </c>
    </row>
    <row r="101" spans="1:6">
      <c r="A101" s="348" t="s">
        <v>75</v>
      </c>
      <c r="B101" s="334">
        <v>72</v>
      </c>
    </row>
    <row r="102" spans="1:6">
      <c r="A102" s="348" t="s">
        <v>76</v>
      </c>
      <c r="B102" s="334">
        <v>70</v>
      </c>
    </row>
    <row r="103" spans="1:6">
      <c r="A103" s="348" t="s">
        <v>77</v>
      </c>
      <c r="B103" s="334">
        <v>123</v>
      </c>
    </row>
    <row r="104" spans="1:6">
      <c r="A104" s="348" t="s">
        <v>78</v>
      </c>
      <c r="B104" s="334">
        <v>2550</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0</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52111.914721178393</v>
      </c>
      <c r="C3" s="43" t="s">
        <v>170</v>
      </c>
      <c r="D3" s="43"/>
      <c r="E3" s="154"/>
      <c r="F3" s="43"/>
      <c r="G3" s="43"/>
      <c r="H3" s="43"/>
      <c r="I3" s="43"/>
      <c r="J3" s="43"/>
      <c r="K3" s="96"/>
    </row>
    <row r="4" spans="1:11">
      <c r="A4" s="384" t="s">
        <v>171</v>
      </c>
      <c r="B4" s="49">
        <f>IF(ISERROR('SEAP template'!B69),0,'SEAP template'!B69)</f>
        <v>4200.69284577898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322.42764705882354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0.20937261161674253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460.61092436974798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1938.2142857142858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1391.0820000000001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1391.0820000000001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0.20937261161674253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291.25447131304145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26443.594000000001</v>
      </c>
      <c r="C5" s="17">
        <f>IF(ISERROR('Eigen informatie GS &amp; warmtenet'!B57),0,'Eigen informatie GS &amp; warmtenet'!B57)</f>
        <v>0</v>
      </c>
      <c r="D5" s="30">
        <f>(SUM(HH_hh_gas_kWh,HH_rest_gas_kWh)/1000)*0.902</f>
        <v>53229.181610101172</v>
      </c>
      <c r="E5" s="17">
        <f>B46*B57</f>
        <v>2746.5738809436807</v>
      </c>
      <c r="F5" s="17">
        <f>B51*B62</f>
        <v>33372.570002691529</v>
      </c>
      <c r="G5" s="18"/>
      <c r="H5" s="17"/>
      <c r="I5" s="17"/>
      <c r="J5" s="17">
        <f>B50*B61+C50*C61</f>
        <v>0</v>
      </c>
      <c r="K5" s="17"/>
      <c r="L5" s="17"/>
      <c r="M5" s="17"/>
      <c r="N5" s="17">
        <f>B48*B59+C48*C59</f>
        <v>8521.9561773824735</v>
      </c>
      <c r="O5" s="17">
        <f>B69*B70*B71</f>
        <v>226.68333333333334</v>
      </c>
      <c r="P5" s="17">
        <f>B77*B78*B79/1000-B77*B78*B79/1000/B80</f>
        <v>667.33333333333337</v>
      </c>
    </row>
    <row r="6" spans="1:16">
      <c r="A6" s="16" t="s">
        <v>631</v>
      </c>
      <c r="B6" s="844">
        <f>kWh_PV_kleiner_dan_10kW</f>
        <v>2520.4151722195215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28964.009172219521</v>
      </c>
      <c r="C8" s="21">
        <f>C5</f>
        <v>0</v>
      </c>
      <c r="D8" s="21">
        <f>D5</f>
        <v>53229.181610101172</v>
      </c>
      <c r="E8" s="21">
        <f>E5</f>
        <v>2746.5738809436807</v>
      </c>
      <c r="F8" s="21">
        <f>F5</f>
        <v>33372.570002691529</v>
      </c>
      <c r="G8" s="21"/>
      <c r="H8" s="21"/>
      <c r="I8" s="21"/>
      <c r="J8" s="21">
        <f>J5</f>
        <v>0</v>
      </c>
      <c r="K8" s="21"/>
      <c r="L8" s="21">
        <f>L5</f>
        <v>0</v>
      </c>
      <c r="M8" s="21">
        <f>M5</f>
        <v>0</v>
      </c>
      <c r="N8" s="21">
        <f>N5</f>
        <v>8521.9561773824735</v>
      </c>
      <c r="O8" s="21">
        <f>O5</f>
        <v>226.68333333333334</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0.20937261161674253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6064.2702432788865</v>
      </c>
      <c r="C12" s="23">
        <f ca="1">C10*C8</f>
        <v>0</v>
      </c>
      <c r="D12" s="23">
        <f>D8*D10</f>
        <v>10752.294685240437</v>
      </c>
      <c r="E12" s="23">
        <f>E10*E8</f>
        <v>623.47227097421558</v>
      </c>
      <c r="F12" s="23">
        <f>F10*F8</f>
        <v>8910.4761907186385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1988</v>
      </c>
      <c r="C18" s="166" t="s">
        <v>111</v>
      </c>
      <c r="D18" s="228"/>
      <c r="E18" s="15"/>
    </row>
    <row r="19" spans="1:7">
      <c r="A19" s="171" t="s">
        <v>72</v>
      </c>
      <c r="B19" s="37">
        <f>aantalw2001_ander</f>
        <v>3</v>
      </c>
      <c r="C19" s="166" t="s">
        <v>111</v>
      </c>
      <c r="D19" s="229"/>
      <c r="E19" s="15"/>
    </row>
    <row r="20" spans="1:7">
      <c r="A20" s="171" t="s">
        <v>73</v>
      </c>
      <c r="B20" s="37">
        <f>aantalw2001_propaan</f>
        <v>88</v>
      </c>
      <c r="C20" s="167">
        <f>IF(ISERROR(B20/SUM($B$20,$B$21,$B$22)*100),0,B20/SUM($B$20,$B$21,$B$22)*100)</f>
        <v>16.730038022813687</v>
      </c>
      <c r="D20" s="229"/>
      <c r="E20" s="15"/>
    </row>
    <row r="21" spans="1:7">
      <c r="A21" s="171" t="s">
        <v>74</v>
      </c>
      <c r="B21" s="37">
        <f>aantalw2001_elektriciteit</f>
        <v>366</v>
      </c>
      <c r="C21" s="167">
        <f>IF(ISERROR(B21/SUM($B$20,$B$21,$B$22)*100),0,B21/SUM($B$20,$B$21,$B$22)*100)</f>
        <v>69.581749049429646</v>
      </c>
      <c r="D21" s="229"/>
      <c r="E21" s="15"/>
    </row>
    <row r="22" spans="1:7">
      <c r="A22" s="171" t="s">
        <v>75</v>
      </c>
      <c r="B22" s="37">
        <f>aantalw2001_hout</f>
        <v>72</v>
      </c>
      <c r="C22" s="167">
        <f>IF(ISERROR(B22/SUM($B$20,$B$21,$B$22)*100),0,B22/SUM($B$20,$B$21,$B$22)*100)</f>
        <v>13.688212927756654</v>
      </c>
      <c r="D22" s="229"/>
      <c r="E22" s="15"/>
    </row>
    <row r="23" spans="1:7">
      <c r="A23" s="171" t="s">
        <v>76</v>
      </c>
      <c r="B23" s="37">
        <f>aantalw2001_niet_gespec</f>
        <v>70</v>
      </c>
      <c r="C23" s="166" t="s">
        <v>111</v>
      </c>
      <c r="D23" s="228"/>
      <c r="E23" s="15"/>
    </row>
    <row r="24" spans="1:7">
      <c r="A24" s="171" t="s">
        <v>77</v>
      </c>
      <c r="B24" s="37">
        <f>aantalw2001_steenkool</f>
        <v>123</v>
      </c>
      <c r="C24" s="166" t="s">
        <v>111</v>
      </c>
      <c r="D24" s="229"/>
      <c r="E24" s="15"/>
    </row>
    <row r="25" spans="1:7">
      <c r="A25" s="171" t="s">
        <v>78</v>
      </c>
      <c r="B25" s="37">
        <f>aantalw2001_stookolie</f>
        <v>2550</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5806</v>
      </c>
      <c r="C28" s="36"/>
      <c r="D28" s="228"/>
    </row>
    <row r="29" spans="1:7" s="15" customFormat="1">
      <c r="A29" s="230" t="s">
        <v>741</v>
      </c>
      <c r="B29" s="37">
        <f>SUM(HH_hh_gas_aantal,HH_rest_gas_aantal)</f>
        <v>3315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3315</v>
      </c>
      <c r="C32" s="167">
        <f>IF(ISERROR(B32/SUM($B$32,$B$34,$B$35,$B$36,$B$38,$B$39)*100),0,B32/SUM($B$32,$B$34,$B$35,$B$36,$B$38,$B$39)*100)</f>
        <v>57.44238433547045</v>
      </c>
      <c r="D32" s="233"/>
      <c r="G32" s="15"/>
    </row>
    <row r="33" spans="1:7">
      <c r="A33" s="171" t="s">
        <v>72</v>
      </c>
      <c r="B33" s="34" t="s">
        <v>111</v>
      </c>
      <c r="C33" s="167"/>
      <c r="D33" s="233"/>
      <c r="G33" s="15"/>
    </row>
    <row r="34" spans="1:7">
      <c r="A34" s="171" t="s">
        <v>73</v>
      </c>
      <c r="B34" s="33">
        <f>IF((($B$28-$B$32-$B$39-$B$77-$B$38)*C20/100)&lt;0,0,($B$28-$B$32-$B$39-$B$77-$B$38)*C20/100)</f>
        <v>184.080608365019</v>
      </c>
      <c r="C34" s="167">
        <f>IF(ISERROR(B34/SUM($B$32,$B$34,$B$35,$B$36,$B$38,$B$39)*100),0,B34/SUM($B$32,$B$34,$B$35,$B$36,$B$38,$B$39)*100)</f>
        <v>3.1897523542716861</v>
      </c>
      <c r="D34" s="233"/>
      <c r="G34" s="15"/>
    </row>
    <row r="35" spans="1:7">
      <c r="A35" s="171" t="s">
        <v>74</v>
      </c>
      <c r="B35" s="33">
        <f>IF((($B$28-$B$32-$B$39-$B$77-$B$38)*C21/100)&lt;0,0,($B$28-$B$32-$B$39-$B$77-$B$38)*C21/100)</f>
        <v>765.6079847908743</v>
      </c>
      <c r="C35" s="167">
        <f>IF(ISERROR(B35/SUM($B$32,$B$34,$B$35,$B$36,$B$38,$B$39)*100),0,B35/SUM($B$32,$B$34,$B$35,$B$36,$B$38,$B$39)*100)</f>
        <v>13.266470018902691</v>
      </c>
      <c r="D35" s="233"/>
      <c r="G35" s="15"/>
    </row>
    <row r="36" spans="1:7">
      <c r="A36" s="171" t="s">
        <v>75</v>
      </c>
      <c r="B36" s="33">
        <f>IF((($B$28-$B$32-$B$39-$B$77-$B$38)*C22/100)&lt;0,0,($B$28-$B$32-$B$39-$B$77-$B$38)*C22/100)</f>
        <v>150.61140684410645</v>
      </c>
      <c r="C36" s="167">
        <f>IF(ISERROR(B36/SUM($B$32,$B$34,$B$35,$B$36,$B$38,$B$39)*100),0,B36/SUM($B$32,$B$34,$B$35,$B$36,$B$38,$B$39)*100)</f>
        <v>2.609797380767743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1355.7</v>
      </c>
      <c r="C39" s="167">
        <f>IF(ISERROR(B39/SUM($B$32,$B$34,$B$35,$B$36,$B$38,$B$39)*100),0,B39/SUM($B$32,$B$34,$B$35,$B$36,$B$38,$B$39)*100)</f>
        <v>23.491595910587421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3315</v>
      </c>
      <c r="C44" s="34" t="s">
        <v>111</v>
      </c>
      <c r="D44" s="174"/>
    </row>
    <row r="45" spans="1:7">
      <c r="A45" s="171" t="s">
        <v>72</v>
      </c>
      <c r="B45" s="33" t="str">
        <f t="shared" si="0"/>
        <v>-</v>
      </c>
      <c r="C45" s="34" t="s">
        <v>111</v>
      </c>
      <c r="D45" s="174"/>
    </row>
    <row r="46" spans="1:7">
      <c r="A46" s="171" t="s">
        <v>73</v>
      </c>
      <c r="B46" s="33">
        <f t="shared" si="0"/>
        <v>184.080608365019</v>
      </c>
      <c r="C46" s="34" t="s">
        <v>111</v>
      </c>
      <c r="D46" s="174"/>
    </row>
    <row r="47" spans="1:7">
      <c r="A47" s="171" t="s">
        <v>74</v>
      </c>
      <c r="B47" s="33">
        <f t="shared" si="0"/>
        <v>765.6079847908743</v>
      </c>
      <c r="C47" s="34" t="s">
        <v>111</v>
      </c>
      <c r="D47" s="174"/>
    </row>
    <row r="48" spans="1:7">
      <c r="A48" s="171" t="s">
        <v>75</v>
      </c>
      <c r="B48" s="33">
        <f t="shared" si="0"/>
        <v>150.61140684410645</v>
      </c>
      <c r="C48" s="33">
        <f>B48*10</f>
        <v>1506.1140684410645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1355.7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17886.095999999998</v>
      </c>
      <c r="C5" s="17">
        <f>IF(ISERROR('Eigen informatie GS &amp; warmtenet'!B58),0,'Eigen informatie GS &amp; warmtenet'!B58)</f>
        <v>0</v>
      </c>
      <c r="D5" s="30">
        <f>SUM(D6:D12)</f>
        <v>27953.107328987237</v>
      </c>
      <c r="E5" s="17">
        <f>SUM(E6:E12)</f>
        <v>108.56615723027633</v>
      </c>
      <c r="F5" s="17">
        <f>SUM(F6:F12)</f>
        <v>2494.7444383322727</v>
      </c>
      <c r="G5" s="18"/>
      <c r="H5" s="17"/>
      <c r="I5" s="17"/>
      <c r="J5" s="17">
        <f>SUM(J6:J12)</f>
        <v>0</v>
      </c>
      <c r="K5" s="17"/>
      <c r="L5" s="17"/>
      <c r="M5" s="17"/>
      <c r="N5" s="17">
        <f>SUM(N6:N12)</f>
        <v>1413.3392782521144</v>
      </c>
      <c r="O5" s="17">
        <f>B38*B39*B40</f>
        <v>0</v>
      </c>
      <c r="P5" s="17">
        <f>B46*B47*B48/1000-B46*B47*B48/1000/B49</f>
        <v>38.133333333333333</v>
      </c>
      <c r="R5" s="32"/>
    </row>
    <row r="6" spans="1:18">
      <c r="A6" s="32" t="s">
        <v>54</v>
      </c>
      <c r="B6" s="37">
        <f>B26</f>
        <v>2056.1350000000002</v>
      </c>
      <c r="C6" s="33"/>
      <c r="D6" s="37">
        <f>IF(ISERROR(TER_kantoor_gas_kWh/1000),0,TER_kantoor_gas_kWh/1000)*0.902</f>
        <v>2690.4075778230031</v>
      </c>
      <c r="E6" s="33">
        <f>$C$26*'E Balans VL '!I12/100/3.6*1000000</f>
        <v>5.9569247727801766</v>
      </c>
      <c r="F6" s="33">
        <f>$C$26*('E Balans VL '!L12+'E Balans VL '!N12)/100/3.6*1000000</f>
        <v>232.70918183372191</v>
      </c>
      <c r="G6" s="34"/>
      <c r="H6" s="33"/>
      <c r="I6" s="33"/>
      <c r="J6" s="33">
        <f>$C$26*('E Balans VL '!D12+'E Balans VL '!E12)/100/3.6*1000000</f>
        <v>0</v>
      </c>
      <c r="K6" s="33"/>
      <c r="L6" s="33"/>
      <c r="M6" s="33"/>
      <c r="N6" s="33">
        <f>$C$26*'E Balans VL '!Y12/100/3.6*1000000</f>
        <v>20.580396322087871</v>
      </c>
      <c r="O6" s="33"/>
      <c r="P6" s="33"/>
      <c r="R6" s="32"/>
    </row>
    <row r="7" spans="1:18">
      <c r="A7" s="32" t="s">
        <v>53</v>
      </c>
      <c r="B7" s="37">
        <f t="shared" ref="B7:B12" si="0">B27</f>
        <v>1061.98</v>
      </c>
      <c r="C7" s="33"/>
      <c r="D7" s="37">
        <f>IF(ISERROR(TER_horeca_gas_kWh/1000),0,TER_horeca_gas_kWh/1000)*0.902</f>
        <v>1269.9713236050602</v>
      </c>
      <c r="E7" s="33">
        <f>$C$27*'E Balans VL '!I9/100/3.6*1000000</f>
        <v>44.578953286521546</v>
      </c>
      <c r="F7" s="33">
        <f>$C$27*('E Balans VL '!L9+'E Balans VL '!N9)/100/3.6*1000000</f>
        <v>228.18818095101165</v>
      </c>
      <c r="G7" s="34"/>
      <c r="H7" s="33"/>
      <c r="I7" s="33"/>
      <c r="J7" s="33">
        <f>$C$27*('E Balans VL '!D9+'E Balans VL '!E9)/100/3.6*1000000</f>
        <v>0</v>
      </c>
      <c r="K7" s="33"/>
      <c r="L7" s="33"/>
      <c r="M7" s="33"/>
      <c r="N7" s="33">
        <f>$C$27*'E Balans VL '!Y9/100/3.6*1000000</f>
        <v>0.2736629586479799</v>
      </c>
      <c r="O7" s="33"/>
      <c r="P7" s="33"/>
      <c r="R7" s="32"/>
    </row>
    <row r="8" spans="1:18">
      <c r="A8" s="6" t="s">
        <v>52</v>
      </c>
      <c r="B8" s="37">
        <f t="shared" si="0"/>
        <v>2271.884</v>
      </c>
      <c r="C8" s="33"/>
      <c r="D8" s="37">
        <f>IF(ISERROR(TER_handel_gas_kWh/1000),0,TER_handel_gas_kWh/1000)*0.902</f>
        <v>644.11507468939317</v>
      </c>
      <c r="E8" s="33">
        <f>$C$28*'E Balans VL '!I13/100/3.6*1000000</f>
        <v>24.401924995303201</v>
      </c>
      <c r="F8" s="33">
        <f>$C$28*('E Balans VL '!L13+'E Balans VL '!N13)/100/3.6*1000000</f>
        <v>294.11414463132132</v>
      </c>
      <c r="G8" s="34"/>
      <c r="H8" s="33"/>
      <c r="I8" s="33"/>
      <c r="J8" s="33">
        <f>$C$28*('E Balans VL '!D13+'E Balans VL '!E13)/100/3.6*1000000</f>
        <v>0</v>
      </c>
      <c r="K8" s="33"/>
      <c r="L8" s="33"/>
      <c r="M8" s="33"/>
      <c r="N8" s="33">
        <f>$C$28*'E Balans VL '!Y13/100/3.6*1000000</f>
        <v>18.429647058260045</v>
      </c>
      <c r="O8" s="33"/>
      <c r="P8" s="33"/>
      <c r="R8" s="32"/>
    </row>
    <row r="9" spans="1:18">
      <c r="A9" s="32" t="s">
        <v>51</v>
      </c>
      <c r="B9" s="37">
        <f t="shared" si="0"/>
        <v>8558.2209999999995</v>
      </c>
      <c r="C9" s="33"/>
      <c r="D9" s="37">
        <f>IF(ISERROR(TER_gezond_gas_kWh/1000),0,TER_gezond_gas_kWh/1000)*0.902</f>
        <v>16448.78042963217</v>
      </c>
      <c r="E9" s="33">
        <f>$C$29*'E Balans VL '!I10/100/3.6*1000000</f>
        <v>6.8128974469047492</v>
      </c>
      <c r="F9" s="33">
        <f>$C$29*('E Balans VL '!L10+'E Balans VL '!N10)/100/3.6*1000000</f>
        <v>1040.3754399831266</v>
      </c>
      <c r="G9" s="34"/>
      <c r="H9" s="33"/>
      <c r="I9" s="33"/>
      <c r="J9" s="33">
        <f>$C$29*('E Balans VL '!D10+'E Balans VL '!E10)/100/3.6*1000000</f>
        <v>0</v>
      </c>
      <c r="K9" s="33"/>
      <c r="L9" s="33"/>
      <c r="M9" s="33"/>
      <c r="N9" s="33">
        <f>$C$29*'E Balans VL '!Y10/100/3.6*1000000</f>
        <v>69.131041886319451</v>
      </c>
      <c r="O9" s="33"/>
      <c r="P9" s="33"/>
      <c r="R9" s="32"/>
    </row>
    <row r="10" spans="1:18">
      <c r="A10" s="32" t="s">
        <v>50</v>
      </c>
      <c r="B10" s="37">
        <f t="shared" si="0"/>
        <v>1565.251</v>
      </c>
      <c r="C10" s="33"/>
      <c r="D10" s="37">
        <f>IF(ISERROR(TER_ander_gas_kWh/1000),0,TER_ander_gas_kWh/1000)*0.902</f>
        <v>2541.5009133506933</v>
      </c>
      <c r="E10" s="33">
        <f>$C$30*'E Balans VL '!I14/100/3.6*1000000</f>
        <v>5.3641974047470979</v>
      </c>
      <c r="F10" s="33">
        <f>$C$30*('E Balans VL '!L14+'E Balans VL '!N14)/100/3.6*1000000</f>
        <v>349.61346909172505</v>
      </c>
      <c r="G10" s="34"/>
      <c r="H10" s="33"/>
      <c r="I10" s="33"/>
      <c r="J10" s="33">
        <f>$C$30*('E Balans VL '!D14+'E Balans VL '!E14)/100/3.6*1000000</f>
        <v>0</v>
      </c>
      <c r="K10" s="33"/>
      <c r="L10" s="33"/>
      <c r="M10" s="33"/>
      <c r="N10" s="33">
        <f>$C$30*'E Balans VL '!Y14/100/3.6*1000000</f>
        <v>1102.571355199068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2372.625</v>
      </c>
      <c r="C12" s="33"/>
      <c r="D12" s="37">
        <f>IF(ISERROR(TER_rest_gas_kWh/1000),0,TER_rest_gas_kWh/1000)*0.902</f>
        <v>4358.3320098869162</v>
      </c>
      <c r="E12" s="33">
        <f>$C$32*'E Balans VL '!I8/100/3.6*1000000</f>
        <v>21.451259324019567</v>
      </c>
      <c r="F12" s="33">
        <f>$C$32*('E Balans VL '!L8+'E Balans VL '!N8)/100/3.6*1000000</f>
        <v>349.74402184136636</v>
      </c>
      <c r="G12" s="34"/>
      <c r="H12" s="33"/>
      <c r="I12" s="33"/>
      <c r="J12" s="33">
        <f>$C$32*('E Balans VL '!D8+'E Balans VL '!E8)/100/3.6*1000000</f>
        <v>0</v>
      </c>
      <c r="K12" s="33"/>
      <c r="L12" s="33"/>
      <c r="M12" s="33"/>
      <c r="N12" s="33">
        <f>$C$32*'E Balans VL '!Y8/100/3.6*1000000</f>
        <v>202.35317482773101</v>
      </c>
      <c r="O12" s="33"/>
      <c r="P12" s="33"/>
      <c r="R12" s="32"/>
    </row>
    <row r="13" spans="1:18">
      <c r="A13" s="16" t="s">
        <v>494</v>
      </c>
      <c r="B13" s="247">
        <f ca="1">'lokale energieproductie'!N90+'lokale energieproductie'!N59</f>
        <v>1356.75</v>
      </c>
      <c r="C13" s="247">
        <f ca="1">'lokale energieproductie'!O90+'lokale energieproductie'!O59</f>
        <v>1938.2142857142858</v>
      </c>
      <c r="D13" s="310">
        <f ca="1">('lokale energieproductie'!P59+'lokale energieproductie'!P90)*(-1)</f>
        <v>-3876.428571428572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19242.845999999998</v>
      </c>
      <c r="C16" s="21">
        <f t="shared" ca="1" si="1"/>
        <v>1938.2142857142858</v>
      </c>
      <c r="D16" s="21">
        <f t="shared" ca="1" si="1"/>
        <v>24076.678757558664</v>
      </c>
      <c r="E16" s="21">
        <f t="shared" si="1"/>
        <v>108.56615723027633</v>
      </c>
      <c r="F16" s="21">
        <f t="shared" ca="1" si="1"/>
        <v>2494.7444383322727</v>
      </c>
      <c r="G16" s="21">
        <f t="shared" si="1"/>
        <v>0</v>
      </c>
      <c r="H16" s="21">
        <f t="shared" si="1"/>
        <v>0</v>
      </c>
      <c r="I16" s="21">
        <f t="shared" si="1"/>
        <v>0</v>
      </c>
      <c r="J16" s="21">
        <f t="shared" si="1"/>
        <v>0</v>
      </c>
      <c r="K16" s="21">
        <f t="shared" si="1"/>
        <v>0</v>
      </c>
      <c r="L16" s="21">
        <f t="shared" ca="1" si="1"/>
        <v>0</v>
      </c>
      <c r="M16" s="21">
        <f t="shared" si="1"/>
        <v>0</v>
      </c>
      <c r="N16" s="21">
        <f t="shared" ca="1" si="1"/>
        <v>1413.3392782521144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0.20937261161674253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4028.9249219587873</v>
      </c>
      <c r="C20" s="23">
        <f t="shared" ref="C20:P20" ca="1" si="2">C16*C18</f>
        <v>460.61092436974798</v>
      </c>
      <c r="D20" s="23">
        <f t="shared" ca="1" si="2"/>
        <v>4863.4891090268502</v>
      </c>
      <c r="E20" s="23">
        <f t="shared" si="2"/>
        <v>24.644517691272728</v>
      </c>
      <c r="F20" s="23">
        <f t="shared" ca="1" si="2"/>
        <v>666.0967650347169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2056.1350000000002</v>
      </c>
      <c r="C26" s="39">
        <f>IF(ISERROR(B26*3.6/1000000/'E Balans VL '!Z12*100),0,B26*3.6/1000000/'E Balans VL '!Z12*100)</f>
        <v>4.5165382405099264E-2</v>
      </c>
      <c r="D26" s="237" t="s">
        <v>692</v>
      </c>
      <c r="F26" s="6"/>
    </row>
    <row r="27" spans="1:18">
      <c r="A27" s="231" t="s">
        <v>53</v>
      </c>
      <c r="B27" s="33">
        <f>IF(ISERROR(TER_horeca_ele_kWh/1000),0,TER_horeca_ele_kWh/1000)</f>
        <v>1061.98</v>
      </c>
      <c r="C27" s="39">
        <f>IF(ISERROR(B27*3.6/1000000/'E Balans VL '!Z9*100),0,B27*3.6/1000000/'E Balans VL '!Z9*100)</f>
        <v>8.5340678941671411E-2</v>
      </c>
      <c r="D27" s="237" t="s">
        <v>692</v>
      </c>
      <c r="F27" s="6"/>
    </row>
    <row r="28" spans="1:18">
      <c r="A28" s="171" t="s">
        <v>52</v>
      </c>
      <c r="B28" s="33">
        <f>IF(ISERROR(TER_handel_ele_kWh/1000),0,TER_handel_ele_kWh/1000)</f>
        <v>2271.884</v>
      </c>
      <c r="C28" s="39">
        <f>IF(ISERROR(B28*3.6/1000000/'E Balans VL '!Z13*100),0,B28*3.6/1000000/'E Balans VL '!Z13*100)</f>
        <v>6.7178022708512447E-2</v>
      </c>
      <c r="D28" s="237" t="s">
        <v>692</v>
      </c>
      <c r="F28" s="6"/>
    </row>
    <row r="29" spans="1:18">
      <c r="A29" s="231" t="s">
        <v>51</v>
      </c>
      <c r="B29" s="33">
        <f>IF(ISERROR(TER_gezond_ele_kWh/1000),0,TER_gezond_ele_kWh/1000)</f>
        <v>8558.2209999999995</v>
      </c>
      <c r="C29" s="39">
        <f>IF(ISERROR(B29*3.6/1000000/'E Balans VL '!Z10*100),0,B29*3.6/1000000/'E Balans VL '!Z10*100)</f>
        <v>0.96429055291090571</v>
      </c>
      <c r="D29" s="237" t="s">
        <v>692</v>
      </c>
      <c r="F29" s="6"/>
    </row>
    <row r="30" spans="1:18">
      <c r="A30" s="231" t="s">
        <v>50</v>
      </c>
      <c r="B30" s="33">
        <f>IF(ISERROR(TER_ander_ele_kWh/1000),0,TER_ander_ele_kWh/1000)</f>
        <v>1565.251</v>
      </c>
      <c r="C30" s="39">
        <f>IF(ISERROR(B30*3.6/1000000/'E Balans VL '!Z14*100),0,B30*3.6/1000000/'E Balans VL '!Z14*100)</f>
        <v>0.11837725745427594</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2372.625</v>
      </c>
      <c r="C32" s="39">
        <f>IF(ISERROR(B32*3.6/1000000/'E Balans VL '!Z8*100),0,B32*3.6/1000000/'E Balans VL '!Z8*100)</f>
        <v>1.9987969856979686E-2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2280.0436799999998</v>
      </c>
      <c r="C5" s="17">
        <f>IF(ISERROR('Eigen informatie GS &amp; warmtenet'!B59),0,'Eigen informatie GS &amp; warmtenet'!B59)</f>
        <v>0</v>
      </c>
      <c r="D5" s="30">
        <f>SUM(D6:D15)</f>
        <v>2683.4231264986547</v>
      </c>
      <c r="E5" s="17">
        <f>SUM(E6:E15)</f>
        <v>258.85095724995972</v>
      </c>
      <c r="F5" s="17">
        <f>SUM(F6:F15)</f>
        <v>2625.9702560684527</v>
      </c>
      <c r="G5" s="18"/>
      <c r="H5" s="17"/>
      <c r="I5" s="17"/>
      <c r="J5" s="17">
        <f>SUM(J6:J15)</f>
        <v>25.293631927257429</v>
      </c>
      <c r="K5" s="17"/>
      <c r="L5" s="17"/>
      <c r="M5" s="17"/>
      <c r="N5" s="17">
        <f>SUM(N6:N15)</f>
        <v>863.98686268337633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67.784379999999999</v>
      </c>
      <c r="C8" s="33"/>
      <c r="D8" s="37">
        <f>IF( ISERROR(IND_metaal_Gas_kWH/1000),0,IND_metaal_Gas_kWH/1000)*0.902</f>
        <v>0</v>
      </c>
      <c r="E8" s="33">
        <f>C30*'E Balans VL '!I18/100/3.6*1000000</f>
        <v>1.696405791152541</v>
      </c>
      <c r="F8" s="33">
        <f>C30*'E Balans VL '!L18/100/3.6*1000000+C30*'E Balans VL '!N18/100/3.6*1000000</f>
        <v>21.243961868846441</v>
      </c>
      <c r="G8" s="34"/>
      <c r="H8" s="33"/>
      <c r="I8" s="33"/>
      <c r="J8" s="40">
        <f>C30*'E Balans VL '!D18/100/3.6*1000000+C30*'E Balans VL '!E18/100/3.6*1000000</f>
        <v>0</v>
      </c>
      <c r="K8" s="33"/>
      <c r="L8" s="33"/>
      <c r="M8" s="33"/>
      <c r="N8" s="33">
        <f>C30*'E Balans VL '!Y18/100/3.6*1000000</f>
        <v>1.7029195414060765</v>
      </c>
      <c r="O8" s="33"/>
      <c r="P8" s="33"/>
      <c r="R8" s="32"/>
    </row>
    <row r="9" spans="1:18">
      <c r="A9" s="6" t="s">
        <v>33</v>
      </c>
      <c r="B9" s="37">
        <f t="shared" si="0"/>
        <v>824.41099999999994</v>
      </c>
      <c r="C9" s="33"/>
      <c r="D9" s="37">
        <f>IF( ISERROR(IND_andere_gas_kWh/1000),0,IND_andere_gas_kWh/1000)*0.902</f>
        <v>753.41628267407975</v>
      </c>
      <c r="E9" s="33">
        <f>C31*'E Balans VL '!I19/100/3.6*1000000</f>
        <v>226.67921173700253</v>
      </c>
      <c r="F9" s="33">
        <f>C31*'E Balans VL '!L19/100/3.6*1000000+C31*'E Balans VL '!N19/100/3.6*1000000</f>
        <v>649.77932581397829</v>
      </c>
      <c r="G9" s="34"/>
      <c r="H9" s="33"/>
      <c r="I9" s="33"/>
      <c r="J9" s="40">
        <f>C31*'E Balans VL '!D19/100/3.6*1000000+C31*'E Balans VL '!E19/100/3.6*1000000</f>
        <v>0</v>
      </c>
      <c r="K9" s="33"/>
      <c r="L9" s="33"/>
      <c r="M9" s="33"/>
      <c r="N9" s="33">
        <f>C31*'E Balans VL '!Y19/100/3.6*1000000</f>
        <v>266.88360150896477</v>
      </c>
      <c r="O9" s="33"/>
      <c r="P9" s="33"/>
      <c r="R9" s="32"/>
    </row>
    <row r="10" spans="1:18">
      <c r="A10" s="6" t="s">
        <v>41</v>
      </c>
      <c r="B10" s="37">
        <f t="shared" si="0"/>
        <v>986.4833000000001</v>
      </c>
      <c r="C10" s="33"/>
      <c r="D10" s="37">
        <f>IF( ISERROR(IND_voed_gas_kWh/1000),0,IND_voed_gas_kWh/1000)*0.902</f>
        <v>1439.8735776030771</v>
      </c>
      <c r="E10" s="33">
        <f>C32*'E Balans VL '!I20/100/3.6*1000000</f>
        <v>10.056653786749052</v>
      </c>
      <c r="F10" s="33">
        <f>C32*'E Balans VL '!L20/100/3.6*1000000+C32*'E Balans VL '!N20/100/3.6*1000000</f>
        <v>1863.4607838425411</v>
      </c>
      <c r="G10" s="34"/>
      <c r="H10" s="33"/>
      <c r="I10" s="33"/>
      <c r="J10" s="40">
        <f>C32*'E Balans VL '!D20/100/3.6*1000000+C32*'E Balans VL '!E20/100/3.6*1000000</f>
        <v>23.609773156971084</v>
      </c>
      <c r="K10" s="33"/>
      <c r="L10" s="33"/>
      <c r="M10" s="33"/>
      <c r="N10" s="33">
        <f>C32*'E Balans VL '!Y20/100/3.6*1000000</f>
        <v>519.99032804257388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401.36500000000001</v>
      </c>
      <c r="C15" s="33"/>
      <c r="D15" s="37">
        <f>IF( ISERROR(IND_rest_gas_kWh/1000),0,IND_rest_gas_kWh/1000)*0.902</f>
        <v>490.13326622149765</v>
      </c>
      <c r="E15" s="33">
        <f>C37*'E Balans VL '!I15/100/3.6*1000000</f>
        <v>20.41868593505561</v>
      </c>
      <c r="F15" s="33">
        <f>C37*'E Balans VL '!L15/100/3.6*1000000+C37*'E Balans VL '!N15/100/3.6*1000000</f>
        <v>91.486184543086992</v>
      </c>
      <c r="G15" s="34"/>
      <c r="H15" s="33"/>
      <c r="I15" s="33"/>
      <c r="J15" s="40">
        <f>C37*'E Balans VL '!D15/100/3.6*1000000+C37*'E Balans VL '!E15/100/3.6*1000000</f>
        <v>1.6838587702863461</v>
      </c>
      <c r="K15" s="33"/>
      <c r="L15" s="33"/>
      <c r="M15" s="33"/>
      <c r="N15" s="33">
        <f>C37*'E Balans VL '!Y15/100/3.6*1000000</f>
        <v>75.410013590431603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2280.0436799999998</v>
      </c>
      <c r="C18" s="21">
        <f>C5+C16</f>
        <v>0</v>
      </c>
      <c r="D18" s="21">
        <f>MAX((D5+D16),0)</f>
        <v>2683.4231264986547</v>
      </c>
      <c r="E18" s="21">
        <f>MAX((E5+E16),0)</f>
        <v>258.85095724995972</v>
      </c>
      <c r="F18" s="21">
        <f>MAX((F5+F16),0)</f>
        <v>2625.9702560684527</v>
      </c>
      <c r="G18" s="21"/>
      <c r="H18" s="21"/>
      <c r="I18" s="21"/>
      <c r="J18" s="21">
        <f>MAX((J5+J16),0)</f>
        <v>25.293631927257429</v>
      </c>
      <c r="K18" s="21"/>
      <c r="L18" s="21">
        <f>MAX((L5+L16),0)</f>
        <v>0</v>
      </c>
      <c r="M18" s="21"/>
      <c r="N18" s="21">
        <f>MAX((N5+N16),0)</f>
        <v>863.98686268337633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0.20937261161674253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477.37869988184832</v>
      </c>
      <c r="C22" s="23">
        <f ca="1">C18*C20</f>
        <v>0</v>
      </c>
      <c r="D22" s="23">
        <f>D18*D20</f>
        <v>542.05147155272823</v>
      </c>
      <c r="E22" s="23">
        <f>E18*E20</f>
        <v>58.759167295740859</v>
      </c>
      <c r="F22" s="23">
        <f>F18*F20</f>
        <v>701.13405837027688</v>
      </c>
      <c r="G22" s="23"/>
      <c r="H22" s="23"/>
      <c r="I22" s="23"/>
      <c r="J22" s="23">
        <f>J18*J20</f>
        <v>8.9539457022491291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67.784379999999999</v>
      </c>
      <c r="C30" s="39">
        <f>IF(ISERROR(B30*3.6/1000000/'E Balans VL '!Z18*100),0,B30*3.6/1000000/'E Balans VL '!Z18*100)</f>
        <v>9.487554260581307E-3</v>
      </c>
      <c r="D30" s="237" t="s">
        <v>692</v>
      </c>
    </row>
    <row r="31" spans="1:18">
      <c r="A31" s="6" t="s">
        <v>33</v>
      </c>
      <c r="B31" s="37">
        <f>IF( ISERROR(IND_ander_ele_kWh/1000),0,IND_ander_ele_kWh/1000)</f>
        <v>824.41099999999994</v>
      </c>
      <c r="C31" s="39">
        <f>IF(ISERROR(B31*3.6/1000000/'E Balans VL '!Z19*100),0,B31*3.6/1000000/'E Balans VL '!Z19*100)</f>
        <v>3.6084335731534987E-2</v>
      </c>
      <c r="D31" s="237" t="s">
        <v>692</v>
      </c>
    </row>
    <row r="32" spans="1:18">
      <c r="A32" s="171" t="s">
        <v>41</v>
      </c>
      <c r="B32" s="37">
        <f>IF( ISERROR(IND_voed_ele_kWh/1000),0,IND_voed_ele_kWh/1000)</f>
        <v>986.4833000000001</v>
      </c>
      <c r="C32" s="39">
        <f>IF(ISERROR(B32*3.6/1000000/'E Balans VL '!Z20*100),0,B32*3.6/1000000/'E Balans VL '!Z20*100)</f>
        <v>0.24422050558548483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401.36500000000001</v>
      </c>
      <c r="C37" s="39">
        <f>IF(ISERROR(B37*3.6/1000000/'E Balans VL '!Z15*100),0,B37*3.6/1000000/'E Balans VL '!Z15*100)</f>
        <v>2.9760527584041583E-3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219.85229999999999</v>
      </c>
      <c r="C5" s="17">
        <f>'Eigen informatie GS &amp; warmtenet'!B60</f>
        <v>0</v>
      </c>
      <c r="D5" s="30">
        <f>IF(ISERROR(SUM(LB_lb_gas_kWh,LB_rest_gas_kWh,onbekend_gas_kWh)/1000),0,SUM(LB_lb_gas_kWh,LB_rest_gas_kWh,onbekend_gas_kWh)/1000)*0.902</f>
        <v>1531.4248221473752</v>
      </c>
      <c r="E5" s="17">
        <f>B17*'E Balans VL '!I25/3.6*1000000/100</f>
        <v>2.0363640852076501</v>
      </c>
      <c r="F5" s="17">
        <f>B17*('E Balans VL '!L25/3.6*1000000+'E Balans VL '!N25/3.6*1000000)/100</f>
        <v>557.80716692017006</v>
      </c>
      <c r="G5" s="18"/>
      <c r="H5" s="17"/>
      <c r="I5" s="17"/>
      <c r="J5" s="17">
        <f>('E Balans VL '!D25+'E Balans VL '!E25)/3.6*1000000*landbouw!B17/100</f>
        <v>33.70581114882895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219.85229999999999</v>
      </c>
      <c r="C8" s="21">
        <f>C5+C6</f>
        <v>0</v>
      </c>
      <c r="D8" s="21">
        <f>MAX((D5+D6),0)</f>
        <v>1531.4248221473752</v>
      </c>
      <c r="E8" s="21">
        <f>MAX((E5+E6),0)</f>
        <v>2.0363640852076501</v>
      </c>
      <c r="F8" s="21">
        <f>MAX((F5+F6),0)</f>
        <v>557.80716692017006</v>
      </c>
      <c r="G8" s="21"/>
      <c r="H8" s="21"/>
      <c r="I8" s="21"/>
      <c r="J8" s="21">
        <f>MAX((J5+J6),0)</f>
        <v>33.70581114882895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0.20937261161674253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46.031050220947563</v>
      </c>
      <c r="C12" s="23">
        <f ca="1">C8*C10</f>
        <v>0</v>
      </c>
      <c r="D12" s="23">
        <f>D8*D10</f>
        <v>309.34781407376983</v>
      </c>
      <c r="E12" s="23">
        <f>E8*E10</f>
        <v>0.46225464734213662</v>
      </c>
      <c r="F12" s="23">
        <f>F8*F10</f>
        <v>148.93451356768543</v>
      </c>
      <c r="G12" s="23"/>
      <c r="H12" s="23"/>
      <c r="I12" s="23"/>
      <c r="J12" s="23">
        <f>J8*J10</f>
        <v>11.931857146685447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3.1258335385473894E-2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47.961886704584629</v>
      </c>
      <c r="C26" s="247">
        <f>B26*'GWP N2O_CH4'!B5</f>
        <v>1007.1996207962773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6.285045152415015</v>
      </c>
      <c r="C27" s="247">
        <f>B27*'GWP N2O_CH4'!B5</f>
        <v>131.98594820071531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0.59546077645665896</v>
      </c>
      <c r="C28" s="247">
        <f>B28*'GWP N2O_CH4'!B4</f>
        <v>184.59284070156428</v>
      </c>
      <c r="D28" s="50"/>
    </row>
    <row r="29" spans="1:4">
      <c r="A29" s="41" t="s">
        <v>277</v>
      </c>
      <c r="B29" s="247">
        <f>B34*'ha_N2O bodem landbouw'!B4</f>
        <v>5.2627307823335556</v>
      </c>
      <c r="C29" s="247">
        <f>B29*'GWP N2O_CH4'!B4</f>
        <v>1631.4465425234023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1.1803377993158495E-3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5.0693648251944255E-5</v>
      </c>
      <c r="C5" s="464" t="s">
        <v>211</v>
      </c>
      <c r="D5" s="449">
        <f>SUM(D6:D11)</f>
        <v>1.2522269652981386E-4</v>
      </c>
      <c r="E5" s="449">
        <f>SUM(E6:E11)</f>
        <v>8.0617629643641505E-4</v>
      </c>
      <c r="F5" s="462" t="s">
        <v>211</v>
      </c>
      <c r="G5" s="449">
        <f>SUM(G6:G11)</f>
        <v>0.20951432441050596</v>
      </c>
      <c r="H5" s="449">
        <f>SUM(H6:H11)</f>
        <v>4.7530844238850664E-2</v>
      </c>
      <c r="I5" s="464" t="s">
        <v>211</v>
      </c>
      <c r="J5" s="464" t="s">
        <v>211</v>
      </c>
      <c r="K5" s="464" t="s">
        <v>211</v>
      </c>
      <c r="L5" s="464" t="s">
        <v>211</v>
      </c>
      <c r="M5" s="449">
        <f>SUM(M6:M11)</f>
        <v>1.3582638828062472E-2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4.62154515319279E-5</v>
      </c>
      <c r="C6" s="450"/>
      <c r="D6" s="963">
        <f>vkm_2011_GW_PW*SUMIFS(TableVerdeelsleutelVkm[CNG],TableVerdeelsleutelVkm[Voertuigtype],"Lichte voertuigen")*SUMIFS(TableECFTransport[EnergieConsumptieFactor (PJ per km)],TableECFTransport[Index],CONCATENATE($A6,"_CNG_CNG"))</f>
        <v>1.069014275037895E-4</v>
      </c>
      <c r="E6" s="963">
        <f>vkm_2011_GW_PW*SUMIFS(TableVerdeelsleutelVkm[LPG],TableVerdeelsleutelVkm[Voertuigtype],"Lichte voertuigen")*SUMIFS(TableECFTransport[EnergieConsumptieFactor (PJ per km)],TableECFTransport[Index],CONCATENATE($A6,"_LPG_LPG"))</f>
        <v>6.9607753994086472E-4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0.14460495915319471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4.0761149634520807E-2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9.6195401208158237E-3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4.3363818616761675E-2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1.4829638443301761E-5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2.5088427042581924E-3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4.4781967200163542E-6</v>
      </c>
      <c r="C8" s="450"/>
      <c r="D8" s="452">
        <f>vkm_2011_NGW_PW*SUMIFS(TableVerdeelsleutelVkm[CNG],TableVerdeelsleutelVkm[Voertuigtype],"Lichte voertuigen")*SUMIFS(TableECFTransport[EnergieConsumptieFactor (PJ per km)],TableECFTransport[Index],CONCATENATE($A8,"_CNG_CNG"))</f>
        <v>1.8321269026024358E-5</v>
      </c>
      <c r="E8" s="452">
        <f>vkm_2011_NGW_PW*SUMIFS(TableVerdeelsleutelVkm[LPG],TableVerdeelsleutelVkm[Voertuigtype],"Lichte voertuigen")*SUMIFS(TableECFTransport[EnergieConsumptieFactor (PJ per km)],TableECFTransport[Index],CONCATENATE($A8,"_LPG_LPG"))</f>
        <v>1.1009875649555033E-4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2.1381016769258569E-2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6.7548117259367641E-3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1.444737110501651E-3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1.645298712910165E-4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5.3239949793174509E-8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9.518892486805711E-6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14.081568958873405</v>
      </c>
      <c r="C14" s="21"/>
      <c r="D14" s="21">
        <f t="shared" ref="D14:M14" si="0">((D5)*10^9/3600)+D12</f>
        <v>34.784082369392742</v>
      </c>
      <c r="E14" s="21">
        <f t="shared" si="0"/>
        <v>223.93786012122641</v>
      </c>
      <c r="F14" s="21"/>
      <c r="G14" s="21">
        <f t="shared" si="0"/>
        <v>58198.423447362766</v>
      </c>
      <c r="H14" s="21">
        <f t="shared" si="0"/>
        <v>13203.012288569627</v>
      </c>
      <c r="I14" s="21"/>
      <c r="J14" s="21"/>
      <c r="K14" s="21"/>
      <c r="L14" s="21"/>
      <c r="M14" s="21">
        <f t="shared" si="0"/>
        <v>3772.9552300173536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0.20937261161674253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2.9482948685805788</v>
      </c>
      <c r="C18" s="23"/>
      <c r="D18" s="23">
        <f t="shared" ref="D18:M18" si="1">D14*D16</f>
        <v>7.0263846386173343</v>
      </c>
      <c r="E18" s="23">
        <f t="shared" si="1"/>
        <v>50.833894247518394</v>
      </c>
      <c r="F18" s="23"/>
      <c r="G18" s="23">
        <f t="shared" si="1"/>
        <v>15538.979060445859</v>
      </c>
      <c r="H18" s="23">
        <f t="shared" si="1"/>
        <v>3287.5500598538374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6.0109918927843944E-3</v>
      </c>
      <c r="H50" s="321">
        <f t="shared" si="2"/>
        <v>0</v>
      </c>
      <c r="I50" s="321">
        <f t="shared" si="2"/>
        <v>0</v>
      </c>
      <c r="J50" s="321">
        <f t="shared" si="2"/>
        <v>0</v>
      </c>
      <c r="K50" s="321">
        <f t="shared" si="2"/>
        <v>0</v>
      </c>
      <c r="L50" s="321">
        <f t="shared" si="2"/>
        <v>0</v>
      </c>
      <c r="M50" s="321">
        <f t="shared" si="2"/>
        <v>3.4278934465753919E-4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6.0109918927843944E-3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3.4278934465753919E-4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1669.7199702178873</v>
      </c>
      <c r="H54" s="21">
        <f t="shared" si="3"/>
        <v>0</v>
      </c>
      <c r="I54" s="21">
        <f t="shared" si="3"/>
        <v>0</v>
      </c>
      <c r="J54" s="21">
        <f t="shared" si="3"/>
        <v>0</v>
      </c>
      <c r="K54" s="21">
        <f t="shared" si="3"/>
        <v>0</v>
      </c>
      <c r="L54" s="21">
        <f t="shared" si="3"/>
        <v>0</v>
      </c>
      <c r="M54" s="21">
        <f t="shared" si="3"/>
        <v>95.219262404871998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0.20937261161674253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445.81523204817591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2843.9428457789804</v>
      </c>
      <c r="C6" s="1223"/>
      <c r="D6" s="1226"/>
      <c r="E6" s="1226"/>
      <c r="F6" s="1229"/>
      <c r="G6" s="1232"/>
      <c r="H6" s="1220"/>
      <c r="I6" s="1226"/>
      <c r="J6" s="1226"/>
      <c r="K6" s="1226"/>
      <c r="L6" s="1256"/>
      <c r="M6" s="576"/>
      <c r="N6" s="1268"/>
      <c r="O6" s="1269"/>
      <c r="Q6" s="574"/>
      <c r="R6" s="1253"/>
      <c r="S6" s="1253"/>
    </row>
    <row r="7" spans="1:19" s="564" customFormat="1">
      <c r="A7" s="577" t="s">
        <v>252</v>
      </c>
      <c r="B7" s="578">
        <f>N57</f>
        <v>1356.75</v>
      </c>
      <c r="C7" s="579">
        <f>B100</f>
        <v>1596.1764705882354</v>
      </c>
      <c r="D7" s="580"/>
      <c r="E7" s="580">
        <f>E100</f>
        <v>0</v>
      </c>
      <c r="F7" s="581"/>
      <c r="G7" s="582"/>
      <c r="H7" s="580">
        <f>I100</f>
        <v>0</v>
      </c>
      <c r="I7" s="580">
        <f>G100+F100</f>
        <v>0</v>
      </c>
      <c r="J7" s="580">
        <f>H100+D100+C100</f>
        <v>0</v>
      </c>
      <c r="K7" s="580"/>
      <c r="L7" s="583"/>
      <c r="M7" s="584">
        <f>C7*$C$11+D7*$D$11+E7*$E$11+F7*$F$11+G7*$G$11+H7*$H$11+I7*$I$11+J7*$J$11</f>
        <v>322.42764705882354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4200.69284577898</v>
      </c>
      <c r="C9" s="595">
        <f t="shared" ref="C9:L9" si="0">SUM(C7:C8)</f>
        <v>1596.1764705882354</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322.42764705882354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1938.2142857142858</v>
      </c>
      <c r="C16" s="611">
        <f>B101</f>
        <v>2280.2521008403364</v>
      </c>
      <c r="D16" s="612"/>
      <c r="E16" s="612">
        <f>E101</f>
        <v>0</v>
      </c>
      <c r="F16" s="613"/>
      <c r="G16" s="614"/>
      <c r="H16" s="611">
        <f>I101</f>
        <v>0</v>
      </c>
      <c r="I16" s="612">
        <f>G101+F101</f>
        <v>0</v>
      </c>
      <c r="J16" s="612">
        <f>H101+D101+C101</f>
        <v>0</v>
      </c>
      <c r="K16" s="612"/>
      <c r="L16" s="615"/>
      <c r="M16" s="616">
        <f>C16*$C$21+E16*$E$21+H16*$H$21+I16*$I$21+J16*$J$21+D16*$D$21+F16*$F$21+G16*$G$21+K16*$K$21+L16*$L$21</f>
        <v>460.61092436974798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1938.2142857142858</v>
      </c>
      <c r="C19" s="594">
        <f>SUM(C16:C18)</f>
        <v>2280.2521008403364</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460.61092436974798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12005</v>
      </c>
      <c r="C27" s="852">
        <v>2820</v>
      </c>
      <c r="D27" s="673" t="s">
        <v>871</v>
      </c>
      <c r="E27" s="672" t="s">
        <v>872</v>
      </c>
      <c r="F27" s="672" t="s">
        <v>873</v>
      </c>
      <c r="G27" s="672" t="s">
        <v>874</v>
      </c>
      <c r="H27" s="672" t="s">
        <v>875</v>
      </c>
      <c r="I27" s="672" t="s">
        <v>872</v>
      </c>
      <c r="J27" s="851">
        <v>41698</v>
      </c>
      <c r="K27" s="851">
        <v>41698</v>
      </c>
      <c r="L27" s="672" t="s">
        <v>876</v>
      </c>
      <c r="M27" s="672">
        <v>5.5</v>
      </c>
      <c r="N27" s="672">
        <v>20.625</v>
      </c>
      <c r="O27" s="672">
        <v>29.464285714285715</v>
      </c>
      <c r="P27" s="672">
        <v>58.928571428571431</v>
      </c>
      <c r="Q27" s="672">
        <v>0</v>
      </c>
      <c r="R27" s="672">
        <v>0</v>
      </c>
      <c r="S27" s="672">
        <v>0</v>
      </c>
      <c r="T27" s="672">
        <v>0</v>
      </c>
      <c r="U27" s="672">
        <v>0</v>
      </c>
      <c r="V27" s="672">
        <v>0</v>
      </c>
      <c r="W27" s="672">
        <v>0</v>
      </c>
      <c r="X27" s="672">
        <v>1100</v>
      </c>
      <c r="Y27" s="672" t="s">
        <v>52</v>
      </c>
      <c r="Z27" s="674" t="s">
        <v>156</v>
      </c>
    </row>
    <row r="28" spans="1:26" s="626" customFormat="1" ht="38.25">
      <c r="A28" s="625"/>
      <c r="B28" s="852">
        <v>12005</v>
      </c>
      <c r="C28" s="852">
        <v>2820</v>
      </c>
      <c r="D28" s="673" t="s">
        <v>877</v>
      </c>
      <c r="E28" s="672" t="s">
        <v>878</v>
      </c>
      <c r="F28" s="672" t="s">
        <v>879</v>
      </c>
      <c r="G28" s="672" t="s">
        <v>874</v>
      </c>
      <c r="H28" s="672" t="s">
        <v>875</v>
      </c>
      <c r="I28" s="672" t="s">
        <v>878</v>
      </c>
      <c r="J28" s="851">
        <v>41640</v>
      </c>
      <c r="K28" s="851">
        <v>41786</v>
      </c>
      <c r="L28" s="672" t="s">
        <v>876</v>
      </c>
      <c r="M28" s="672">
        <v>509</v>
      </c>
      <c r="N28" s="672">
        <v>1336.125</v>
      </c>
      <c r="O28" s="672">
        <v>1908.75</v>
      </c>
      <c r="P28" s="672">
        <v>3817.5000000000005</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514.5</v>
      </c>
      <c r="N57" s="630">
        <f>SUM(N27:N56)</f>
        <v>1356.75</v>
      </c>
      <c r="O57" s="630">
        <f t="shared" ref="O57:W57" si="2">SUM(O27:O56)</f>
        <v>1938.2142857142858</v>
      </c>
      <c r="P57" s="630">
        <f t="shared" si="2"/>
        <v>3876.428571428572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514.5</v>
      </c>
      <c r="N59" s="630">
        <f ca="1">SUMIF($Z$27:AB56,"tertiair",N27:N56)</f>
        <v>1356.75</v>
      </c>
      <c r="O59" s="630">
        <f ca="1">SUMIF($Z$27:AC56,"tertiair",O27:O56)</f>
        <v>1938.2142857142858</v>
      </c>
      <c r="P59" s="630">
        <f ca="1">SUMIF($Z$27:AD56,"tertiair",P27:P56)</f>
        <v>3876.428571428572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1596.1764705882354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2280.2521008403364</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20633.927999999996</v>
      </c>
      <c r="D10" s="719">
        <f ca="1">tertiair!C16</f>
        <v>1938.2142857142858</v>
      </c>
      <c r="E10" s="719">
        <f ca="1">tertiair!D16</f>
        <v>24076.678757558664</v>
      </c>
      <c r="F10" s="719">
        <f>tertiair!E16</f>
        <v>108.56615723027633</v>
      </c>
      <c r="G10" s="719">
        <f ca="1">tertiair!F16</f>
        <v>2494.7444383322727</v>
      </c>
      <c r="H10" s="719">
        <f>tertiair!G16</f>
        <v>0</v>
      </c>
      <c r="I10" s="719">
        <f>tertiair!H16</f>
        <v>0</v>
      </c>
      <c r="J10" s="719">
        <f>tertiair!I16</f>
        <v>0</v>
      </c>
      <c r="K10" s="719">
        <f>tertiair!J16</f>
        <v>0</v>
      </c>
      <c r="L10" s="719">
        <f>tertiair!K16</f>
        <v>0</v>
      </c>
      <c r="M10" s="719">
        <f ca="1">tertiair!L16</f>
        <v>0</v>
      </c>
      <c r="N10" s="719">
        <f>tertiair!M16</f>
        <v>0</v>
      </c>
      <c r="O10" s="719">
        <f ca="1">tertiair!N16</f>
        <v>1413.3392782521144</v>
      </c>
      <c r="P10" s="719">
        <f>tertiair!O16</f>
        <v>0</v>
      </c>
      <c r="Q10" s="720">
        <f>tertiair!P16</f>
        <v>38.133333333333333</v>
      </c>
      <c r="R10" s="722">
        <f ca="1">SUM(C10:Q10)</f>
        <v>50703.60425042094</v>
      </c>
      <c r="S10" s="67"/>
    </row>
    <row r="11" spans="1:19" s="475" customFormat="1">
      <c r="A11" s="871" t="s">
        <v>225</v>
      </c>
      <c r="B11" s="876"/>
      <c r="C11" s="719">
        <f>huishoudens!B8</f>
        <v>28964.009172219521</v>
      </c>
      <c r="D11" s="719">
        <f>huishoudens!C8</f>
        <v>0</v>
      </c>
      <c r="E11" s="719">
        <f>huishoudens!D8</f>
        <v>53229.181610101172</v>
      </c>
      <c r="F11" s="719">
        <f>huishoudens!E8</f>
        <v>2746.5738809436807</v>
      </c>
      <c r="G11" s="719">
        <f>huishoudens!F8</f>
        <v>33372.570002691529</v>
      </c>
      <c r="H11" s="719">
        <f>huishoudens!G8</f>
        <v>0</v>
      </c>
      <c r="I11" s="719">
        <f>huishoudens!H8</f>
        <v>0</v>
      </c>
      <c r="J11" s="719">
        <f>huishoudens!I8</f>
        <v>0</v>
      </c>
      <c r="K11" s="719">
        <f>huishoudens!J8</f>
        <v>0</v>
      </c>
      <c r="L11" s="719">
        <f>huishoudens!K8</f>
        <v>0</v>
      </c>
      <c r="M11" s="719">
        <f>huishoudens!L8</f>
        <v>0</v>
      </c>
      <c r="N11" s="719">
        <f>huishoudens!M8</f>
        <v>0</v>
      </c>
      <c r="O11" s="719">
        <f>huishoudens!N8</f>
        <v>8521.9561773824735</v>
      </c>
      <c r="P11" s="719">
        <f>huishoudens!O8</f>
        <v>226.68333333333334</v>
      </c>
      <c r="Q11" s="720">
        <f>huishoudens!P8</f>
        <v>667.33333333333337</v>
      </c>
      <c r="R11" s="722">
        <f>SUM(C11:Q11)</f>
        <v>127728.30751000502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2280.0436799999998</v>
      </c>
      <c r="D13" s="719">
        <f>industrie!C18</f>
        <v>0</v>
      </c>
      <c r="E13" s="719">
        <f>industrie!D18</f>
        <v>2683.4231264986547</v>
      </c>
      <c r="F13" s="719">
        <f>industrie!E18</f>
        <v>258.85095724995972</v>
      </c>
      <c r="G13" s="719">
        <f>industrie!F18</f>
        <v>2625.9702560684527</v>
      </c>
      <c r="H13" s="719">
        <f>industrie!G18</f>
        <v>0</v>
      </c>
      <c r="I13" s="719">
        <f>industrie!H18</f>
        <v>0</v>
      </c>
      <c r="J13" s="719">
        <f>industrie!I18</f>
        <v>0</v>
      </c>
      <c r="K13" s="719">
        <f>industrie!J18</f>
        <v>25.293631927257429</v>
      </c>
      <c r="L13" s="719">
        <f>industrie!K18</f>
        <v>0</v>
      </c>
      <c r="M13" s="719">
        <f>industrie!L18</f>
        <v>0</v>
      </c>
      <c r="N13" s="719">
        <f>industrie!M18</f>
        <v>0</v>
      </c>
      <c r="O13" s="719">
        <f>industrie!N18</f>
        <v>863.98686268337633</v>
      </c>
      <c r="P13" s="719">
        <f>industrie!O18</f>
        <v>0</v>
      </c>
      <c r="Q13" s="720">
        <f>industrie!P18</f>
        <v>0</v>
      </c>
      <c r="R13" s="722">
        <f>SUM(C13:Q13)</f>
        <v>8737.5685144277013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51877.980852219524</v>
      </c>
      <c r="D15" s="724">
        <f t="shared" ref="D15:Q15" ca="1" si="0">SUM(D9:D14)</f>
        <v>1938.2142857142858</v>
      </c>
      <c r="E15" s="724">
        <f t="shared" ca="1" si="0"/>
        <v>79989.283494158488</v>
      </c>
      <c r="F15" s="724">
        <f t="shared" si="0"/>
        <v>3113.990995423917</v>
      </c>
      <c r="G15" s="724">
        <f t="shared" ca="1" si="0"/>
        <v>38493.284697092255</v>
      </c>
      <c r="H15" s="724">
        <f t="shared" si="0"/>
        <v>0</v>
      </c>
      <c r="I15" s="724">
        <f t="shared" si="0"/>
        <v>0</v>
      </c>
      <c r="J15" s="724">
        <f t="shared" si="0"/>
        <v>0</v>
      </c>
      <c r="K15" s="724">
        <f t="shared" si="0"/>
        <v>25.293631927257429</v>
      </c>
      <c r="L15" s="724">
        <f t="shared" si="0"/>
        <v>0</v>
      </c>
      <c r="M15" s="724">
        <f t="shared" ca="1" si="0"/>
        <v>0</v>
      </c>
      <c r="N15" s="724">
        <f t="shared" si="0"/>
        <v>0</v>
      </c>
      <c r="O15" s="724">
        <f t="shared" ca="1" si="0"/>
        <v>10799.282318317964</v>
      </c>
      <c r="P15" s="724">
        <f t="shared" si="0"/>
        <v>226.68333333333334</v>
      </c>
      <c r="Q15" s="725">
        <f t="shared" si="0"/>
        <v>705.4666666666667</v>
      </c>
      <c r="R15" s="726">
        <f ca="1">SUM(R9:R14)</f>
        <v>187169.48027485365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1669.7199702178873</v>
      </c>
      <c r="I18" s="719">
        <f>transport!H54</f>
        <v>0</v>
      </c>
      <c r="J18" s="719">
        <f>transport!I54</f>
        <v>0</v>
      </c>
      <c r="K18" s="719">
        <f>transport!J54</f>
        <v>0</v>
      </c>
      <c r="L18" s="719">
        <f>transport!K54</f>
        <v>0</v>
      </c>
      <c r="M18" s="719">
        <f>transport!L54</f>
        <v>0</v>
      </c>
      <c r="N18" s="719">
        <f>transport!M54</f>
        <v>95.219262404871998</v>
      </c>
      <c r="O18" s="719">
        <f>transport!N54</f>
        <v>0</v>
      </c>
      <c r="P18" s="719">
        <f>transport!O54</f>
        <v>0</v>
      </c>
      <c r="Q18" s="720">
        <f>transport!P54</f>
        <v>0</v>
      </c>
      <c r="R18" s="722">
        <f>SUM(C18:Q18)</f>
        <v>1764.9392326227594</v>
      </c>
      <c r="S18" s="67"/>
    </row>
    <row r="19" spans="1:19" s="475" customFormat="1" ht="15" thickBot="1">
      <c r="A19" s="871" t="s">
        <v>307</v>
      </c>
      <c r="B19" s="876"/>
      <c r="C19" s="728">
        <f>transport!B14</f>
        <v>14.081568958873405</v>
      </c>
      <c r="D19" s="728">
        <f>transport!C14</f>
        <v>0</v>
      </c>
      <c r="E19" s="728">
        <f>transport!D14</f>
        <v>34.784082369392742</v>
      </c>
      <c r="F19" s="728">
        <f>transport!E14</f>
        <v>223.93786012122641</v>
      </c>
      <c r="G19" s="728">
        <f>transport!F14</f>
        <v>0</v>
      </c>
      <c r="H19" s="728">
        <f>transport!G14</f>
        <v>58198.423447362766</v>
      </c>
      <c r="I19" s="728">
        <f>transport!H14</f>
        <v>13203.012288569627</v>
      </c>
      <c r="J19" s="728">
        <f>transport!I14</f>
        <v>0</v>
      </c>
      <c r="K19" s="728">
        <f>transport!J14</f>
        <v>0</v>
      </c>
      <c r="L19" s="728">
        <f>transport!K14</f>
        <v>0</v>
      </c>
      <c r="M19" s="728">
        <f>transport!L14</f>
        <v>0</v>
      </c>
      <c r="N19" s="728">
        <f>transport!M14</f>
        <v>3772.9552300173536</v>
      </c>
      <c r="O19" s="728">
        <f>transport!N14</f>
        <v>0</v>
      </c>
      <c r="P19" s="728">
        <f>transport!O14</f>
        <v>0</v>
      </c>
      <c r="Q19" s="729">
        <f>transport!P14</f>
        <v>0</v>
      </c>
      <c r="R19" s="730">
        <f>SUM(C19:Q19)</f>
        <v>75447.194477399244</v>
      </c>
      <c r="S19" s="67"/>
    </row>
    <row r="20" spans="1:19" s="475" customFormat="1" ht="15.75" thickBot="1">
      <c r="A20" s="731" t="s">
        <v>230</v>
      </c>
      <c r="B20" s="879"/>
      <c r="C20" s="874">
        <f>SUM(C17:C19)</f>
        <v>14.081568958873405</v>
      </c>
      <c r="D20" s="732">
        <f t="shared" ref="D20:R20" si="1">SUM(D17:D19)</f>
        <v>0</v>
      </c>
      <c r="E20" s="732">
        <f t="shared" si="1"/>
        <v>34.784082369392742</v>
      </c>
      <c r="F20" s="732">
        <f t="shared" si="1"/>
        <v>223.93786012122641</v>
      </c>
      <c r="G20" s="732">
        <f t="shared" si="1"/>
        <v>0</v>
      </c>
      <c r="H20" s="732">
        <f t="shared" si="1"/>
        <v>59868.14341758065</v>
      </c>
      <c r="I20" s="732">
        <f t="shared" si="1"/>
        <v>13203.012288569627</v>
      </c>
      <c r="J20" s="732">
        <f t="shared" si="1"/>
        <v>0</v>
      </c>
      <c r="K20" s="732">
        <f t="shared" si="1"/>
        <v>0</v>
      </c>
      <c r="L20" s="732">
        <f t="shared" si="1"/>
        <v>0</v>
      </c>
      <c r="M20" s="732">
        <f t="shared" si="1"/>
        <v>0</v>
      </c>
      <c r="N20" s="732">
        <f t="shared" si="1"/>
        <v>3868.1744924222257</v>
      </c>
      <c r="O20" s="732">
        <f t="shared" si="1"/>
        <v>0</v>
      </c>
      <c r="P20" s="732">
        <f t="shared" si="1"/>
        <v>0</v>
      </c>
      <c r="Q20" s="733">
        <f t="shared" si="1"/>
        <v>0</v>
      </c>
      <c r="R20" s="734">
        <f t="shared" si="1"/>
        <v>77212.133710021997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219.85229999999999</v>
      </c>
      <c r="D22" s="728">
        <f>+landbouw!C8</f>
        <v>0</v>
      </c>
      <c r="E22" s="728">
        <f>+landbouw!D8</f>
        <v>1531.4248221473752</v>
      </c>
      <c r="F22" s="728">
        <f>+landbouw!E8</f>
        <v>2.0363640852076501</v>
      </c>
      <c r="G22" s="728">
        <f>+landbouw!F8</f>
        <v>557.80716692017006</v>
      </c>
      <c r="H22" s="728">
        <f>+landbouw!G8</f>
        <v>0</v>
      </c>
      <c r="I22" s="728">
        <f>+landbouw!H8</f>
        <v>0</v>
      </c>
      <c r="J22" s="728">
        <f>+landbouw!I8</f>
        <v>0</v>
      </c>
      <c r="K22" s="728">
        <f>+landbouw!J8</f>
        <v>33.70581114882895</v>
      </c>
      <c r="L22" s="728">
        <f>+landbouw!K8</f>
        <v>0</v>
      </c>
      <c r="M22" s="728">
        <f>+landbouw!L8</f>
        <v>0</v>
      </c>
      <c r="N22" s="728">
        <f>+landbouw!M8</f>
        <v>0</v>
      </c>
      <c r="O22" s="728">
        <f>+landbouw!N8</f>
        <v>0</v>
      </c>
      <c r="P22" s="728">
        <f>+landbouw!O8</f>
        <v>0</v>
      </c>
      <c r="Q22" s="729">
        <f>+landbouw!P8</f>
        <v>0</v>
      </c>
      <c r="R22" s="730">
        <f>SUM(C22:Q22)</f>
        <v>2344.8264643015818</v>
      </c>
      <c r="S22" s="67"/>
    </row>
    <row r="23" spans="1:19" s="475" customFormat="1" ht="17.25" thickTop="1" thickBot="1">
      <c r="A23" s="735" t="s">
        <v>116</v>
      </c>
      <c r="B23" s="865"/>
      <c r="C23" s="736">
        <f ca="1">C20+C15+C22</f>
        <v>52111.914721178393</v>
      </c>
      <c r="D23" s="736">
        <f t="shared" ref="D23:Q23" ca="1" si="2">D20+D15+D22</f>
        <v>1938.2142857142858</v>
      </c>
      <c r="E23" s="736">
        <f t="shared" ca="1" si="2"/>
        <v>81555.492398675255</v>
      </c>
      <c r="F23" s="736">
        <f t="shared" si="2"/>
        <v>3339.9652196303509</v>
      </c>
      <c r="G23" s="736">
        <f t="shared" ca="1" si="2"/>
        <v>39051.091864012422</v>
      </c>
      <c r="H23" s="736">
        <f t="shared" si="2"/>
        <v>59868.14341758065</v>
      </c>
      <c r="I23" s="736">
        <f t="shared" si="2"/>
        <v>13203.012288569627</v>
      </c>
      <c r="J23" s="736">
        <f t="shared" si="2"/>
        <v>0</v>
      </c>
      <c r="K23" s="736">
        <f t="shared" si="2"/>
        <v>58.999443076086379</v>
      </c>
      <c r="L23" s="736">
        <f t="shared" si="2"/>
        <v>0</v>
      </c>
      <c r="M23" s="736">
        <f t="shared" ca="1" si="2"/>
        <v>0</v>
      </c>
      <c r="N23" s="736">
        <f t="shared" si="2"/>
        <v>3868.1744924222257</v>
      </c>
      <c r="O23" s="736">
        <f t="shared" ca="1" si="2"/>
        <v>10799.282318317964</v>
      </c>
      <c r="P23" s="736">
        <f t="shared" si="2"/>
        <v>226.68333333333334</v>
      </c>
      <c r="Q23" s="737">
        <f t="shared" si="2"/>
        <v>705.4666666666667</v>
      </c>
      <c r="R23" s="738">
        <f ca="1">R20+R15+R22</f>
        <v>266726.44044917717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4320.1793932718283</v>
      </c>
      <c r="D36" s="719">
        <f ca="1">tertiair!C20</f>
        <v>460.61092436974798</v>
      </c>
      <c r="E36" s="719">
        <f ca="1">tertiair!D20</f>
        <v>4863.4891090268502</v>
      </c>
      <c r="F36" s="719">
        <f>tertiair!E20</f>
        <v>24.644517691272728</v>
      </c>
      <c r="G36" s="719">
        <f ca="1">tertiair!F20</f>
        <v>666.0967650347169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10335.020709394417</v>
      </c>
    </row>
    <row r="37" spans="1:18">
      <c r="A37" s="886" t="s">
        <v>225</v>
      </c>
      <c r="B37" s="893"/>
      <c r="C37" s="719">
        <f ca="1">huishoudens!B12</f>
        <v>6064.2702432788865</v>
      </c>
      <c r="D37" s="719">
        <f ca="1">huishoudens!C12</f>
        <v>0</v>
      </c>
      <c r="E37" s="719">
        <f>huishoudens!D12</f>
        <v>10752.294685240437</v>
      </c>
      <c r="F37" s="719">
        <f>huishoudens!E12</f>
        <v>623.47227097421558</v>
      </c>
      <c r="G37" s="719">
        <f>huishoudens!F12</f>
        <v>8910.4761907186385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26350.513390212174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477.37869988184832</v>
      </c>
      <c r="D39" s="719">
        <f ca="1">industrie!C22</f>
        <v>0</v>
      </c>
      <c r="E39" s="719">
        <f>industrie!D22</f>
        <v>542.05147155272823</v>
      </c>
      <c r="F39" s="719">
        <f>industrie!E22</f>
        <v>58.759167295740859</v>
      </c>
      <c r="G39" s="719">
        <f>industrie!F22</f>
        <v>701.13405837027688</v>
      </c>
      <c r="H39" s="719">
        <f>industrie!G22</f>
        <v>0</v>
      </c>
      <c r="I39" s="719">
        <f>industrie!H22</f>
        <v>0</v>
      </c>
      <c r="J39" s="719">
        <f>industrie!I22</f>
        <v>0</v>
      </c>
      <c r="K39" s="719">
        <f>industrie!J22</f>
        <v>8.9539457022491291</v>
      </c>
      <c r="L39" s="719">
        <f>industrie!K22</f>
        <v>0</v>
      </c>
      <c r="M39" s="719">
        <f>industrie!L22</f>
        <v>0</v>
      </c>
      <c r="N39" s="719">
        <f>industrie!M22</f>
        <v>0</v>
      </c>
      <c r="O39" s="719">
        <f>industrie!N22</f>
        <v>0</v>
      </c>
      <c r="P39" s="719">
        <f>industrie!O22</f>
        <v>0</v>
      </c>
      <c r="Q39" s="829">
        <f>industrie!P22</f>
        <v>0</v>
      </c>
      <c r="R39" s="919">
        <f ca="1">SUM(C39:Q39)</f>
        <v>1788.2773428028434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10861.828336432563</v>
      </c>
      <c r="D41" s="764">
        <f t="shared" ref="D41:R41" ca="1" si="4">SUM(D35:D40)</f>
        <v>460.61092436974798</v>
      </c>
      <c r="E41" s="764">
        <f t="shared" ca="1" si="4"/>
        <v>16157.835265820015</v>
      </c>
      <c r="F41" s="764">
        <f t="shared" si="4"/>
        <v>706.87595596122924</v>
      </c>
      <c r="G41" s="764">
        <f t="shared" ca="1" si="4"/>
        <v>10277.707014123633</v>
      </c>
      <c r="H41" s="764">
        <f t="shared" si="4"/>
        <v>0</v>
      </c>
      <c r="I41" s="764">
        <f t="shared" si="4"/>
        <v>0</v>
      </c>
      <c r="J41" s="764">
        <f t="shared" si="4"/>
        <v>0</v>
      </c>
      <c r="K41" s="764">
        <f t="shared" si="4"/>
        <v>8.9539457022491291</v>
      </c>
      <c r="L41" s="764">
        <f t="shared" si="4"/>
        <v>0</v>
      </c>
      <c r="M41" s="764">
        <f t="shared" ca="1" si="4"/>
        <v>0</v>
      </c>
      <c r="N41" s="764">
        <f t="shared" si="4"/>
        <v>0</v>
      </c>
      <c r="O41" s="764">
        <f t="shared" ca="1" si="4"/>
        <v>0</v>
      </c>
      <c r="P41" s="764">
        <f t="shared" si="4"/>
        <v>0</v>
      </c>
      <c r="Q41" s="765">
        <f t="shared" si="4"/>
        <v>0</v>
      </c>
      <c r="R41" s="766">
        <f t="shared" ca="1" si="4"/>
        <v>38473.811442409438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445.81523204817591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445.81523204817591</v>
      </c>
    </row>
    <row r="45" spans="1:18" ht="15" thickBot="1">
      <c r="A45" s="889" t="s">
        <v>307</v>
      </c>
      <c r="B45" s="899"/>
      <c r="C45" s="728">
        <f ca="1">transport!B18</f>
        <v>2.9482948685805788</v>
      </c>
      <c r="D45" s="728">
        <f>transport!C18</f>
        <v>0</v>
      </c>
      <c r="E45" s="728">
        <f>transport!D18</f>
        <v>7.0263846386173343</v>
      </c>
      <c r="F45" s="728">
        <f>transport!E18</f>
        <v>50.833894247518394</v>
      </c>
      <c r="G45" s="728">
        <f>transport!F18</f>
        <v>0</v>
      </c>
      <c r="H45" s="728">
        <f>transport!G18</f>
        <v>15538.979060445859</v>
      </c>
      <c r="I45" s="728">
        <f>transport!H18</f>
        <v>3287.5500598538374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18887.337694054415</v>
      </c>
    </row>
    <row r="46" spans="1:18" ht="15.75" thickBot="1">
      <c r="A46" s="887" t="s">
        <v>230</v>
      </c>
      <c r="B46" s="900"/>
      <c r="C46" s="764">
        <f t="shared" ref="C46:R46" ca="1" si="5">SUM(C43:C45)</f>
        <v>2.9482948685805788</v>
      </c>
      <c r="D46" s="764">
        <f t="shared" ca="1" si="5"/>
        <v>0</v>
      </c>
      <c r="E46" s="764">
        <f t="shared" si="5"/>
        <v>7.0263846386173343</v>
      </c>
      <c r="F46" s="764">
        <f t="shared" si="5"/>
        <v>50.833894247518394</v>
      </c>
      <c r="G46" s="764">
        <f t="shared" si="5"/>
        <v>0</v>
      </c>
      <c r="H46" s="764">
        <f t="shared" si="5"/>
        <v>15984.794292494036</v>
      </c>
      <c r="I46" s="764">
        <f t="shared" si="5"/>
        <v>3287.5500598538374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19333.15292610259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46.031050220947563</v>
      </c>
      <c r="D48" s="719">
        <f ca="1">+landbouw!C12</f>
        <v>0</v>
      </c>
      <c r="E48" s="719">
        <f>+landbouw!D12</f>
        <v>309.34781407376983</v>
      </c>
      <c r="F48" s="719">
        <f>+landbouw!E12</f>
        <v>0.46225464734213662</v>
      </c>
      <c r="G48" s="719">
        <f>+landbouw!F12</f>
        <v>148.93451356768543</v>
      </c>
      <c r="H48" s="719">
        <f>+landbouw!G12</f>
        <v>0</v>
      </c>
      <c r="I48" s="719">
        <f>+landbouw!H12</f>
        <v>0</v>
      </c>
      <c r="J48" s="719">
        <f>+landbouw!I12</f>
        <v>0</v>
      </c>
      <c r="K48" s="719">
        <f>+landbouw!J12</f>
        <v>11.931857146685447</v>
      </c>
      <c r="L48" s="719">
        <f>+landbouw!K12</f>
        <v>0</v>
      </c>
      <c r="M48" s="719">
        <f>+landbouw!L12</f>
        <v>0</v>
      </c>
      <c r="N48" s="719">
        <f>+landbouw!M12</f>
        <v>0</v>
      </c>
      <c r="O48" s="719">
        <f>+landbouw!N12</f>
        <v>0</v>
      </c>
      <c r="P48" s="719">
        <f>+landbouw!O12</f>
        <v>0</v>
      </c>
      <c r="Q48" s="720">
        <f>+landbouw!P12</f>
        <v>0</v>
      </c>
      <c r="R48" s="762">
        <f ca="1">SUM(C48:Q48)</f>
        <v>516.70748965643043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10910.80768152209</v>
      </c>
      <c r="D53" s="774">
        <f t="shared" ref="D53:Q53" ca="1" si="6">D41+D46+D48</f>
        <v>460.61092436974798</v>
      </c>
      <c r="E53" s="774">
        <f t="shared" ca="1" si="6"/>
        <v>16474.209464532403</v>
      </c>
      <c r="F53" s="774">
        <f t="shared" si="6"/>
        <v>758.17210485608973</v>
      </c>
      <c r="G53" s="774">
        <f t="shared" ca="1" si="6"/>
        <v>10426.641527691318</v>
      </c>
      <c r="H53" s="774">
        <f t="shared" si="6"/>
        <v>15984.794292494036</v>
      </c>
      <c r="I53" s="774">
        <f t="shared" si="6"/>
        <v>3287.5500598538374</v>
      </c>
      <c r="J53" s="774">
        <f t="shared" si="6"/>
        <v>0</v>
      </c>
      <c r="K53" s="774">
        <f t="shared" si="6"/>
        <v>20.885802848934574</v>
      </c>
      <c r="L53" s="774">
        <f t="shared" si="6"/>
        <v>0</v>
      </c>
      <c r="M53" s="774">
        <f t="shared" ca="1" si="6"/>
        <v>0</v>
      </c>
      <c r="N53" s="774">
        <f t="shared" si="6"/>
        <v>0</v>
      </c>
      <c r="O53" s="774">
        <f t="shared" ca="1" si="6"/>
        <v>0</v>
      </c>
      <c r="P53" s="774">
        <f>P41+P46+P48</f>
        <v>0</v>
      </c>
      <c r="Q53" s="775">
        <f t="shared" si="6"/>
        <v>0</v>
      </c>
      <c r="R53" s="776">
        <f ca="1">R41+R46+R48</f>
        <v>58323.671858168454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0.2093726116167425</v>
      </c>
      <c r="D55" s="837">
        <f t="shared" ca="1" si="7"/>
        <v>0.23764705882352943</v>
      </c>
      <c r="E55" s="837">
        <f t="shared" ca="1" si="7"/>
        <v>0.20200000000000001</v>
      </c>
      <c r="F55" s="837">
        <f t="shared" si="7"/>
        <v>0.22700000000000001</v>
      </c>
      <c r="G55" s="837">
        <f t="shared" ca="1" si="7"/>
        <v>0.26700000000000002</v>
      </c>
      <c r="H55" s="837">
        <f t="shared" si="7"/>
        <v>0.26700000000000007</v>
      </c>
      <c r="I55" s="837">
        <f t="shared" si="7"/>
        <v>0.24900000000000003</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2843.9428457789804</v>
      </c>
      <c r="C66" s="796">
        <f>'lokale energieproductie'!B6</f>
        <v>2843.9428457789804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1356.75</v>
      </c>
      <c r="C67" s="795">
        <f>B67*IFERROR(SUM(J67:L67)/SUM(D67:M67),0)</f>
        <v>0</v>
      </c>
      <c r="D67" s="827">
        <f>'lokale energieproductie'!C7</f>
        <v>1596.1764705882354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322.42764705882354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4200.69284577898</v>
      </c>
      <c r="C69" s="804">
        <f>SUM(C64:C68)</f>
        <v>2843.9428457789804</v>
      </c>
      <c r="D69" s="805">
        <f t="shared" ref="D69:M69" si="8">SUM(D67:D68)</f>
        <v>1596.1764705882354</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322.42764705882354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1938.2142857142858</v>
      </c>
      <c r="C78" s="818">
        <f>B78*IFERROR(SUM(I78:L78)/SUM(D78:M78),0)</f>
        <v>0</v>
      </c>
      <c r="D78" s="833">
        <f>'lokale energieproductie'!C16</f>
        <v>2280.2521008403364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460.61092436974798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1938.2142857142858</v>
      </c>
      <c r="C81" s="804">
        <f>SUM(C78:C80)</f>
        <v>0</v>
      </c>
      <c r="D81" s="804">
        <f t="shared" ref="D81:P81" si="9">SUM(D78:D80)</f>
        <v>2280.2521008403364</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460.61092436974798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28964.009172219521</v>
      </c>
      <c r="C4" s="479">
        <f>huishoudens!C8</f>
        <v>0</v>
      </c>
      <c r="D4" s="479">
        <f>huishoudens!D8</f>
        <v>53229.181610101172</v>
      </c>
      <c r="E4" s="479">
        <f>huishoudens!E8</f>
        <v>2746.5738809436807</v>
      </c>
      <c r="F4" s="479">
        <f>huishoudens!F8</f>
        <v>33372.570002691529</v>
      </c>
      <c r="G4" s="479">
        <f>huishoudens!G8</f>
        <v>0</v>
      </c>
      <c r="H4" s="479">
        <f>huishoudens!H8</f>
        <v>0</v>
      </c>
      <c r="I4" s="479">
        <f>huishoudens!I8</f>
        <v>0</v>
      </c>
      <c r="J4" s="479">
        <f>huishoudens!J8</f>
        <v>0</v>
      </c>
      <c r="K4" s="479">
        <f>huishoudens!K8</f>
        <v>0</v>
      </c>
      <c r="L4" s="479">
        <f>huishoudens!L8</f>
        <v>0</v>
      </c>
      <c r="M4" s="479">
        <f>huishoudens!M8</f>
        <v>0</v>
      </c>
      <c r="N4" s="479">
        <f>huishoudens!N8</f>
        <v>8521.9561773824735</v>
      </c>
      <c r="O4" s="479">
        <f>huishoudens!O8</f>
        <v>226.68333333333334</v>
      </c>
      <c r="P4" s="480">
        <f>huishoudens!P8</f>
        <v>667.33333333333337</v>
      </c>
      <c r="Q4" s="481">
        <f>SUM(B4:P4)</f>
        <v>127728.30751000502</v>
      </c>
    </row>
    <row r="5" spans="1:17">
      <c r="A5" s="478" t="s">
        <v>156</v>
      </c>
      <c r="B5" s="479">
        <f ca="1">tertiair!B16</f>
        <v>19242.845999999998</v>
      </c>
      <c r="C5" s="479">
        <f ca="1">tertiair!C16</f>
        <v>1938.2142857142858</v>
      </c>
      <c r="D5" s="479">
        <f ca="1">tertiair!D16</f>
        <v>24076.678757558664</v>
      </c>
      <c r="E5" s="479">
        <f>tertiair!E16</f>
        <v>108.56615723027633</v>
      </c>
      <c r="F5" s="479">
        <f ca="1">tertiair!F16</f>
        <v>2494.7444383322727</v>
      </c>
      <c r="G5" s="479">
        <f>tertiair!G16</f>
        <v>0</v>
      </c>
      <c r="H5" s="479">
        <f>tertiair!H16</f>
        <v>0</v>
      </c>
      <c r="I5" s="479">
        <f>tertiair!I16</f>
        <v>0</v>
      </c>
      <c r="J5" s="479">
        <f>tertiair!J16</f>
        <v>0</v>
      </c>
      <c r="K5" s="479">
        <f>tertiair!K16</f>
        <v>0</v>
      </c>
      <c r="L5" s="479">
        <f ca="1">tertiair!L16</f>
        <v>0</v>
      </c>
      <c r="M5" s="479">
        <f>tertiair!M16</f>
        <v>0</v>
      </c>
      <c r="N5" s="479">
        <f ca="1">tertiair!N16</f>
        <v>1413.3392782521144</v>
      </c>
      <c r="O5" s="479">
        <f>tertiair!O16</f>
        <v>0</v>
      </c>
      <c r="P5" s="480">
        <f>tertiair!P16</f>
        <v>38.133333333333333</v>
      </c>
      <c r="Q5" s="478">
        <f t="shared" ref="Q5:Q13" ca="1" si="0">SUM(B5:P5)</f>
        <v>49312.522250420938</v>
      </c>
    </row>
    <row r="6" spans="1:17">
      <c r="A6" s="478" t="s">
        <v>194</v>
      </c>
      <c r="B6" s="479">
        <f>'openbare verlichting'!B8</f>
        <v>1391.0820000000001</v>
      </c>
      <c r="C6" s="479"/>
      <c r="D6" s="479"/>
      <c r="E6" s="479"/>
      <c r="F6" s="479"/>
      <c r="G6" s="479"/>
      <c r="H6" s="479"/>
      <c r="I6" s="479"/>
      <c r="J6" s="479"/>
      <c r="K6" s="479"/>
      <c r="L6" s="479"/>
      <c r="M6" s="479"/>
      <c r="N6" s="479"/>
      <c r="O6" s="479"/>
      <c r="P6" s="480"/>
      <c r="Q6" s="478">
        <f t="shared" si="0"/>
        <v>1391.0820000000001</v>
      </c>
    </row>
    <row r="7" spans="1:17">
      <c r="A7" s="478" t="s">
        <v>112</v>
      </c>
      <c r="B7" s="479">
        <f>landbouw!B8</f>
        <v>219.85229999999999</v>
      </c>
      <c r="C7" s="479">
        <f>landbouw!C8</f>
        <v>0</v>
      </c>
      <c r="D7" s="479">
        <f>landbouw!D8</f>
        <v>1531.4248221473752</v>
      </c>
      <c r="E7" s="479">
        <f>landbouw!E8</f>
        <v>2.0363640852076501</v>
      </c>
      <c r="F7" s="479">
        <f>landbouw!F8</f>
        <v>557.80716692017006</v>
      </c>
      <c r="G7" s="479">
        <f>landbouw!G8</f>
        <v>0</v>
      </c>
      <c r="H7" s="479">
        <f>landbouw!H8</f>
        <v>0</v>
      </c>
      <c r="I7" s="479">
        <f>landbouw!I8</f>
        <v>0</v>
      </c>
      <c r="J7" s="479">
        <f>landbouw!J8</f>
        <v>33.70581114882895</v>
      </c>
      <c r="K7" s="479">
        <f>landbouw!K8</f>
        <v>0</v>
      </c>
      <c r="L7" s="479">
        <f>landbouw!L8</f>
        <v>0</v>
      </c>
      <c r="M7" s="479">
        <f>landbouw!M8</f>
        <v>0</v>
      </c>
      <c r="N7" s="479">
        <f>landbouw!N8</f>
        <v>0</v>
      </c>
      <c r="O7" s="479">
        <f>landbouw!O8</f>
        <v>0</v>
      </c>
      <c r="P7" s="480">
        <f>landbouw!P8</f>
        <v>0</v>
      </c>
      <c r="Q7" s="478">
        <f t="shared" si="0"/>
        <v>2344.8264643015818</v>
      </c>
    </row>
    <row r="8" spans="1:17">
      <c r="A8" s="478" t="s">
        <v>650</v>
      </c>
      <c r="B8" s="479">
        <f>industrie!B18</f>
        <v>2280.0436799999998</v>
      </c>
      <c r="C8" s="479">
        <f>industrie!C18</f>
        <v>0</v>
      </c>
      <c r="D8" s="479">
        <f>industrie!D18</f>
        <v>2683.4231264986547</v>
      </c>
      <c r="E8" s="479">
        <f>industrie!E18</f>
        <v>258.85095724995972</v>
      </c>
      <c r="F8" s="479">
        <f>industrie!F18</f>
        <v>2625.9702560684527</v>
      </c>
      <c r="G8" s="479">
        <f>industrie!G18</f>
        <v>0</v>
      </c>
      <c r="H8" s="479">
        <f>industrie!H18</f>
        <v>0</v>
      </c>
      <c r="I8" s="479">
        <f>industrie!I18</f>
        <v>0</v>
      </c>
      <c r="J8" s="479">
        <f>industrie!J18</f>
        <v>25.293631927257429</v>
      </c>
      <c r="K8" s="479">
        <f>industrie!K18</f>
        <v>0</v>
      </c>
      <c r="L8" s="479">
        <f>industrie!L18</f>
        <v>0</v>
      </c>
      <c r="M8" s="479">
        <f>industrie!M18</f>
        <v>0</v>
      </c>
      <c r="N8" s="479">
        <f>industrie!N18</f>
        <v>863.98686268337633</v>
      </c>
      <c r="O8" s="479">
        <f>industrie!O18</f>
        <v>0</v>
      </c>
      <c r="P8" s="480">
        <f>industrie!P18</f>
        <v>0</v>
      </c>
      <c r="Q8" s="478">
        <f t="shared" si="0"/>
        <v>8737.5685144277013</v>
      </c>
    </row>
    <row r="9" spans="1:17" s="484" customFormat="1">
      <c r="A9" s="482" t="s">
        <v>571</v>
      </c>
      <c r="B9" s="483">
        <f>transport!B14</f>
        <v>14.081568958873405</v>
      </c>
      <c r="C9" s="483"/>
      <c r="D9" s="483">
        <f>transport!D14</f>
        <v>34.784082369392742</v>
      </c>
      <c r="E9" s="483">
        <f>transport!E14</f>
        <v>223.93786012122641</v>
      </c>
      <c r="F9" s="483"/>
      <c r="G9" s="483">
        <f>transport!G14</f>
        <v>58198.423447362766</v>
      </c>
      <c r="H9" s="483">
        <f>transport!H14</f>
        <v>13203.012288569627</v>
      </c>
      <c r="I9" s="483"/>
      <c r="J9" s="483"/>
      <c r="K9" s="483"/>
      <c r="L9" s="483"/>
      <c r="M9" s="483">
        <f>transport!M14</f>
        <v>3772.9552300173536</v>
      </c>
      <c r="N9" s="483"/>
      <c r="O9" s="483"/>
      <c r="P9" s="483"/>
      <c r="Q9" s="482">
        <f>SUM(B9:P9)</f>
        <v>75447.194477399244</v>
      </c>
    </row>
    <row r="10" spans="1:17">
      <c r="A10" s="478" t="s">
        <v>561</v>
      </c>
      <c r="B10" s="479">
        <f>transport!B54</f>
        <v>0</v>
      </c>
      <c r="C10" s="479"/>
      <c r="D10" s="479">
        <f>transport!D54</f>
        <v>0</v>
      </c>
      <c r="E10" s="479"/>
      <c r="F10" s="479"/>
      <c r="G10" s="479">
        <f>transport!G54</f>
        <v>1669.7199702178873</v>
      </c>
      <c r="H10" s="479"/>
      <c r="I10" s="479"/>
      <c r="J10" s="479"/>
      <c r="K10" s="479"/>
      <c r="L10" s="479"/>
      <c r="M10" s="479">
        <f>transport!M54</f>
        <v>95.219262404871998</v>
      </c>
      <c r="N10" s="479"/>
      <c r="O10" s="479"/>
      <c r="P10" s="480"/>
      <c r="Q10" s="478">
        <f t="shared" si="0"/>
        <v>1764.9392326227594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52111.914721178393</v>
      </c>
      <c r="C14" s="489">
        <f t="shared" ref="C14:Q14" ca="1" si="1">SUM(C4:C13)</f>
        <v>1938.2142857142858</v>
      </c>
      <c r="D14" s="489">
        <f t="shared" ca="1" si="1"/>
        <v>81555.492398675255</v>
      </c>
      <c r="E14" s="489">
        <f t="shared" si="1"/>
        <v>3339.9652196303509</v>
      </c>
      <c r="F14" s="489">
        <f t="shared" ca="1" si="1"/>
        <v>39051.091864012422</v>
      </c>
      <c r="G14" s="489">
        <f t="shared" si="1"/>
        <v>59868.14341758065</v>
      </c>
      <c r="H14" s="489">
        <f t="shared" si="1"/>
        <v>13203.012288569627</v>
      </c>
      <c r="I14" s="489">
        <f t="shared" si="1"/>
        <v>0</v>
      </c>
      <c r="J14" s="489">
        <f t="shared" si="1"/>
        <v>58.999443076086379</v>
      </c>
      <c r="K14" s="489">
        <f t="shared" si="1"/>
        <v>0</v>
      </c>
      <c r="L14" s="489">
        <f t="shared" ca="1" si="1"/>
        <v>0</v>
      </c>
      <c r="M14" s="489">
        <f t="shared" si="1"/>
        <v>3868.1744924222257</v>
      </c>
      <c r="N14" s="489">
        <f t="shared" ca="1" si="1"/>
        <v>10799.282318317964</v>
      </c>
      <c r="O14" s="489">
        <f t="shared" si="1"/>
        <v>226.68333333333334</v>
      </c>
      <c r="P14" s="490">
        <f t="shared" si="1"/>
        <v>705.4666666666667</v>
      </c>
      <c r="Q14" s="490">
        <f t="shared" ca="1" si="1"/>
        <v>266726.44044917723</v>
      </c>
    </row>
    <row r="16" spans="1:17">
      <c r="A16" s="492" t="s">
        <v>566</v>
      </c>
      <c r="B16" s="842">
        <f ca="1">huishoudens!B10</f>
        <v>0.20937261161674253</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6064.2702432788865</v>
      </c>
      <c r="C21" s="479">
        <f t="shared" ref="C21:C28" ca="1" si="3">C4*$C$16</f>
        <v>0</v>
      </c>
      <c r="D21" s="479">
        <f t="shared" ref="D21:D30" si="4">D4*$D$16</f>
        <v>10752.294685240437</v>
      </c>
      <c r="E21" s="479">
        <f t="shared" ref="E21:E30" si="5">E4*$E$16</f>
        <v>623.47227097421558</v>
      </c>
      <c r="F21" s="479">
        <f t="shared" ref="F21:F28" si="6">F4*$F$16</f>
        <v>8910.4761907186385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26350.513390212174</v>
      </c>
    </row>
    <row r="22" spans="1:17">
      <c r="A22" s="478" t="s">
        <v>156</v>
      </c>
      <c r="B22" s="479">
        <f t="shared" ca="1" si="2"/>
        <v>4028.9249219587873</v>
      </c>
      <c r="C22" s="479">
        <f t="shared" ca="1" si="3"/>
        <v>460.61092436974798</v>
      </c>
      <c r="D22" s="479">
        <f t="shared" ca="1" si="4"/>
        <v>4863.4891090268502</v>
      </c>
      <c r="E22" s="479">
        <f t="shared" si="5"/>
        <v>24.644517691272728</v>
      </c>
      <c r="F22" s="479">
        <f t="shared" ca="1" si="6"/>
        <v>666.0967650347169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10043.766238081376</v>
      </c>
    </row>
    <row r="23" spans="1:17">
      <c r="A23" s="478" t="s">
        <v>194</v>
      </c>
      <c r="B23" s="479">
        <f t="shared" ca="1" si="2"/>
        <v>291.25447131304145</v>
      </c>
      <c r="C23" s="479"/>
      <c r="D23" s="479"/>
      <c r="E23" s="479"/>
      <c r="F23" s="479"/>
      <c r="G23" s="479"/>
      <c r="H23" s="479"/>
      <c r="I23" s="479"/>
      <c r="J23" s="479"/>
      <c r="K23" s="479"/>
      <c r="L23" s="479"/>
      <c r="M23" s="479"/>
      <c r="N23" s="479"/>
      <c r="O23" s="479"/>
      <c r="P23" s="480"/>
      <c r="Q23" s="478">
        <f t="shared" ca="1" si="17"/>
        <v>291.25447131304145</v>
      </c>
    </row>
    <row r="24" spans="1:17">
      <c r="A24" s="478" t="s">
        <v>112</v>
      </c>
      <c r="B24" s="479">
        <f t="shared" ca="1" si="2"/>
        <v>46.031050220947563</v>
      </c>
      <c r="C24" s="479">
        <f t="shared" ca="1" si="3"/>
        <v>0</v>
      </c>
      <c r="D24" s="479">
        <f t="shared" si="4"/>
        <v>309.34781407376983</v>
      </c>
      <c r="E24" s="479">
        <f t="shared" si="5"/>
        <v>0.46225464734213662</v>
      </c>
      <c r="F24" s="479">
        <f t="shared" si="6"/>
        <v>148.93451356768543</v>
      </c>
      <c r="G24" s="479">
        <f t="shared" si="7"/>
        <v>0</v>
      </c>
      <c r="H24" s="479">
        <f t="shared" si="8"/>
        <v>0</v>
      </c>
      <c r="I24" s="479">
        <f t="shared" si="9"/>
        <v>0</v>
      </c>
      <c r="J24" s="479">
        <f t="shared" si="10"/>
        <v>11.931857146685447</v>
      </c>
      <c r="K24" s="479">
        <f t="shared" si="11"/>
        <v>0</v>
      </c>
      <c r="L24" s="479">
        <f t="shared" si="12"/>
        <v>0</v>
      </c>
      <c r="M24" s="479">
        <f t="shared" si="13"/>
        <v>0</v>
      </c>
      <c r="N24" s="479">
        <f t="shared" si="14"/>
        <v>0</v>
      </c>
      <c r="O24" s="479">
        <f t="shared" si="15"/>
        <v>0</v>
      </c>
      <c r="P24" s="480">
        <f t="shared" si="16"/>
        <v>0</v>
      </c>
      <c r="Q24" s="478">
        <f t="shared" ca="1" si="17"/>
        <v>516.70748965643043</v>
      </c>
    </row>
    <row r="25" spans="1:17">
      <c r="A25" s="478" t="s">
        <v>650</v>
      </c>
      <c r="B25" s="479">
        <f t="shared" ca="1" si="2"/>
        <v>477.37869988184832</v>
      </c>
      <c r="C25" s="479">
        <f t="shared" ca="1" si="3"/>
        <v>0</v>
      </c>
      <c r="D25" s="479">
        <f t="shared" si="4"/>
        <v>542.05147155272823</v>
      </c>
      <c r="E25" s="479">
        <f t="shared" si="5"/>
        <v>58.759167295740859</v>
      </c>
      <c r="F25" s="479">
        <f t="shared" si="6"/>
        <v>701.13405837027688</v>
      </c>
      <c r="G25" s="479">
        <f t="shared" si="7"/>
        <v>0</v>
      </c>
      <c r="H25" s="479">
        <f t="shared" si="8"/>
        <v>0</v>
      </c>
      <c r="I25" s="479">
        <f t="shared" si="9"/>
        <v>0</v>
      </c>
      <c r="J25" s="479">
        <f t="shared" si="10"/>
        <v>8.9539457022491291</v>
      </c>
      <c r="K25" s="479">
        <f t="shared" si="11"/>
        <v>0</v>
      </c>
      <c r="L25" s="479">
        <f t="shared" si="12"/>
        <v>0</v>
      </c>
      <c r="M25" s="479">
        <f t="shared" si="13"/>
        <v>0</v>
      </c>
      <c r="N25" s="479">
        <f t="shared" si="14"/>
        <v>0</v>
      </c>
      <c r="O25" s="479">
        <f t="shared" si="15"/>
        <v>0</v>
      </c>
      <c r="P25" s="480">
        <f t="shared" si="16"/>
        <v>0</v>
      </c>
      <c r="Q25" s="478">
        <f t="shared" ca="1" si="17"/>
        <v>1788.2773428028434</v>
      </c>
    </row>
    <row r="26" spans="1:17" s="484" customFormat="1">
      <c r="A26" s="482" t="s">
        <v>571</v>
      </c>
      <c r="B26" s="836">
        <f t="shared" ca="1" si="2"/>
        <v>2.9482948685805788</v>
      </c>
      <c r="C26" s="483"/>
      <c r="D26" s="483">
        <f t="shared" si="4"/>
        <v>7.0263846386173343</v>
      </c>
      <c r="E26" s="483">
        <f t="shared" si="5"/>
        <v>50.833894247518394</v>
      </c>
      <c r="F26" s="483"/>
      <c r="G26" s="483">
        <f t="shared" si="7"/>
        <v>15538.979060445859</v>
      </c>
      <c r="H26" s="483">
        <f t="shared" si="8"/>
        <v>3287.5500598538374</v>
      </c>
      <c r="I26" s="483"/>
      <c r="J26" s="483"/>
      <c r="K26" s="483"/>
      <c r="L26" s="483"/>
      <c r="M26" s="483">
        <f t="shared" si="13"/>
        <v>0</v>
      </c>
      <c r="N26" s="483"/>
      <c r="O26" s="483"/>
      <c r="P26" s="494"/>
      <c r="Q26" s="482">
        <f t="shared" ca="1" si="17"/>
        <v>18887.337694054415</v>
      </c>
    </row>
    <row r="27" spans="1:17">
      <c r="A27" s="478" t="s">
        <v>561</v>
      </c>
      <c r="B27" s="479">
        <f t="shared" ca="1" si="2"/>
        <v>0</v>
      </c>
      <c r="C27" s="479"/>
      <c r="D27" s="483">
        <f t="shared" si="4"/>
        <v>0</v>
      </c>
      <c r="E27" s="479"/>
      <c r="F27" s="479"/>
      <c r="G27" s="479">
        <f t="shared" si="7"/>
        <v>445.81523204817591</v>
      </c>
      <c r="H27" s="479"/>
      <c r="I27" s="479"/>
      <c r="J27" s="479"/>
      <c r="K27" s="479"/>
      <c r="L27" s="479"/>
      <c r="M27" s="479">
        <f t="shared" si="13"/>
        <v>0</v>
      </c>
      <c r="N27" s="479"/>
      <c r="O27" s="479"/>
      <c r="P27" s="480"/>
      <c r="Q27" s="478">
        <f t="shared" ca="1" si="17"/>
        <v>445.81523204817591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10910.80768152209</v>
      </c>
      <c r="C31" s="489">
        <f t="shared" ca="1" si="18"/>
        <v>460.61092436974798</v>
      </c>
      <c r="D31" s="489">
        <f t="shared" ca="1" si="18"/>
        <v>16474.209464532403</v>
      </c>
      <c r="E31" s="489">
        <f t="shared" si="18"/>
        <v>758.17210485608973</v>
      </c>
      <c r="F31" s="489">
        <f t="shared" ca="1" si="18"/>
        <v>10426.641527691318</v>
      </c>
      <c r="G31" s="489">
        <f t="shared" si="18"/>
        <v>15984.794292494036</v>
      </c>
      <c r="H31" s="489">
        <f t="shared" si="18"/>
        <v>3287.5500598538374</v>
      </c>
      <c r="I31" s="489">
        <f t="shared" si="18"/>
        <v>0</v>
      </c>
      <c r="J31" s="489">
        <f t="shared" si="18"/>
        <v>20.885802848934574</v>
      </c>
      <c r="K31" s="489">
        <f t="shared" si="18"/>
        <v>0</v>
      </c>
      <c r="L31" s="489">
        <f t="shared" ca="1" si="18"/>
        <v>0</v>
      </c>
      <c r="M31" s="489">
        <f t="shared" si="18"/>
        <v>0</v>
      </c>
      <c r="N31" s="489">
        <f t="shared" ca="1" si="18"/>
        <v>0</v>
      </c>
      <c r="O31" s="489">
        <f t="shared" si="18"/>
        <v>0</v>
      </c>
      <c r="P31" s="490">
        <f t="shared" si="18"/>
        <v>0</v>
      </c>
      <c r="Q31" s="490">
        <f t="shared" ca="1" si="18"/>
        <v>58323.671858168454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0.20937261161674253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0.20937261161674253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0.20937261161674253</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2019-01-01T21:30:09Z</dcterms:modified>
</cp:coreProperties>
</file>