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B8" i="9"/>
  <c r="B6" i="48" s="1"/>
  <c r="Q6" s="1"/>
  <c r="D8" i="17"/>
  <c r="D12" s="1"/>
  <c r="E48" i="14" s="1"/>
  <c r="J15" i="16"/>
  <c r="L16"/>
  <c r="L18" s="1"/>
  <c r="F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P8"/>
  <c r="P25" s="1"/>
  <c r="J12" i="17"/>
  <c r="K48" i="14" s="1"/>
  <c r="J15"/>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P31" l="1"/>
  <c r="G14" i="22"/>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19"/>
  <c r="C19" s="1"/>
  <c r="D35" i="14" s="1"/>
  <c r="C20" i="16"/>
  <c r="C22" s="1"/>
  <c r="D39" i="14" s="1"/>
  <c r="C18" i="15"/>
  <c r="C20" s="1"/>
  <c r="D36" i="14" s="1"/>
  <c r="C10" i="13"/>
  <c r="C16" i="48" s="1"/>
  <c r="C21" s="1"/>
  <c r="C16" i="22"/>
  <c r="C10" i="17"/>
  <c r="C12" s="1"/>
  <c r="D48" i="14" s="1"/>
  <c r="C56" i="22"/>
  <c r="C58" s="1"/>
  <c r="D44" i="14" s="1"/>
  <c r="D46" s="1"/>
  <c r="C17" i="49"/>
  <c r="N55" i="14"/>
  <c r="O13"/>
  <c r="O15" s="1"/>
  <c r="K13"/>
  <c r="E31" i="48"/>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R13" i="14"/>
  <c r="R15" s="1"/>
  <c r="F25" i="48"/>
  <c r="F31" s="1"/>
  <c r="F14"/>
  <c r="D41" i="14" l="1"/>
  <c r="D53" s="1"/>
  <c r="D55" s="1"/>
  <c r="C22" i="48"/>
  <c r="C31" s="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<sst xmlns="http://schemas.openxmlformats.org/spreadsheetml/2006/main" count="2164" uniqueCount="883">
  <si>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</si>
  <si>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</si>
  <si>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</si>
  <si>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</si>
  <si>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</si>
  <si>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</si>
  <si>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</si>
  <si>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</si>
  <si>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</si>
  <si>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</si>
  <si>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</si>
  <si>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</si>
  <si>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</si>
  <si>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</si>
  <si>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</si>
  <si>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</si>
  <si>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</si>
  <si>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</si>
  <si>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</si>
  <si>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</si>
  <si>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</si>
  <si>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</si>
  <si>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</si>
  <si>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</si>
  <si>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</si>
  <si>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</si>
  <si>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</si>
  <si>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</si>
  <si>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</si>
  <si>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</si>
  <si>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</si>
  <si>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</si>
  <si>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</si>
  <si>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</si>
  <si>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</si>
  <si>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</si>
  <si>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</si>
  <si>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</si>
  <si>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</si>
  <si>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</si>
  <si>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</si>
  <si>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</si>
  <si>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</si>
  <si>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</si>
  <si>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</si>
  <si>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</si>
  <si>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</si>
  <si>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</si>
  <si>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</si>
  <si>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</si>
  <si>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</si>
  <si>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</si>
  <si>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</si>
  <si>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</si>
  <si>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</si>
  <si>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</si>
  <si>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</si>
  <si>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</si>
  <si>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</si>
  <si>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</si>
  <si>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</si>
  <si>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</si>
  <si>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</si>
  <si>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</si>
  <si>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</si>
  <si>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</si>
  <si>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</si>
  <si>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</si>
  <si>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</si>
  <si>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</si>
  <si>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</si>
  <si>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</si>
  <si>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</si>
  <si>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</si>
  <si>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</si>
  <si>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</si>
  <si>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</si>
  <si>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</si>
  <si>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</si>
  <si>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</si>
  <si>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</si>
  <si>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</si>
  <si>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</si>
  <si>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</si>
  <si>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</si>
  <si>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</si>
  <si>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</si>
  <si>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</si>
  <si>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</si>
  <si>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</si>
  <si>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</si>
  <si>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</si>
  <si>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</si>
  <si>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</si>
  <si>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</si>
  <si>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</si>
  <si>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</si>
  <si>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</si>
  <si>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</si>
  <si>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</si>
  <si>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</si>
  <si>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</si>
  <si>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</si>
  <si>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</si>
  <si>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</si>
  <si>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</si>
  <si>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</si>
  <si>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</si>
  <si>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</si>
  <si>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</si>
  <si>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</si>
  <si>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</si>
  <si>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</si>
  <si>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</si>
  <si>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</si>
  <si>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</si>
  <si>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</si>
  <si>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</si>
  <si>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</si>
  <si>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</si>
  <si>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</si>
  <si>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</si>
  <si>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</si>
  <si>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</si>
  <si>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</si>
  <si>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</si>
  <si>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</si>
  <si>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</si>
  <si>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</si>
  <si>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</si>
  <si>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</si>
  <si>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</si>
  <si>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</si>
  <si>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</si>
  <si>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</si>
  <si>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</si>
  <si>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</si>
  <si>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</si>
  <si>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</si>
  <si>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</si>
  <si>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</si>
  <si>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</si>
  <si>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</si>
  <si>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</si>
  <si>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</si>
  <si>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</si>
  <si>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</si>
  <si>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</si>
  <si>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</si>
  <si>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</si>
  <si>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</si>
  <si>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</si>
  <si>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</si>
  <si>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</si>
  <si>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</si>
  <si>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</si>
  <si>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</si>
  <si>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</si>
  <si>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</si>
  <si>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</si>
  <si>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</si>
  <si>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</si>
  <si>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</si>
  <si>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</si>
  <si>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</si>
  <si>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</si>
  <si>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</si>
  <si>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</si>
  <si>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</si>
  <si>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</si>
  <si>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</si>
  <si>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</si>
  <si>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</si>
  <si>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</si>
  <si>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</si>
  <si>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</si>
  <si>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</si>
  <si>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</si>
  <si>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</si>
  <si>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</si>
  <si>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</si>
  <si>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</si>
  <si>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</si>
  <si>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</si>
  <si>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</si>
  <si>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</si>
  <si>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</si>
  <si>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</si>
  <si>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</si>
  <si>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</si>
  <si>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</si>
  <si>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</si>
  <si>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</si>
  <si>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</si>
  <si>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</si>
  <si>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</si>
  <si>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</si>
  <si>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</si>
  <si>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</si>
  <si>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</si>
  <si>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</si>
  <si>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</si>
  <si>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</si>
  <si>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</si>
  <si>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</si>
  <si>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</si>
  <si>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</si>
  <si>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</si>
  <si>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</si>
  <si>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</si>
  <si>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</si>
  <si>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</si>
  <si>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</si>
  <si>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</si>
  <si>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</si>
  <si>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</si>
  <si>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</si>
  <si>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</si>
  <si>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</si>
  <si>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</si>
  <si>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</si>
  <si>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</si>
  <si>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</si>
  <si>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</si>
  <si>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</si>
  <si>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</si>
  <si>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</si>
  <si>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</si>
  <si>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</si>
  <si>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</si>
  <si>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</si>
  <si>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</si>
  <si>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</si>
  <si>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</si>
  <si>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</si>
  <si>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</si>
  <si>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</si>
  <si>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</si>
  <si>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</si>
  <si>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</si>
  <si>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</si>
  <si>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</si>
  <si>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</si>
  <si>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</si>
  <si>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</si>
  <si>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</si>
  <si>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</si>
  <si>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</si>
  <si>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</si>
  <si>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</si>
  <si>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</si>
  <si>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</si>
  <si>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</si>
  <si>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</si>
  <si>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</si>
  <si>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</si>
  <si>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</si>
  <si>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</si>
  <si>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</si>
  <si>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</si>
  <si>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</si>
  <si>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</si>
  <si>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</si>
  <si>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</si>
  <si>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</si>
  <si>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</si>
  <si>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</si>
  <si>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</si>
  <si>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</si>
  <si>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</si>
  <si>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</si>
  <si>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</si>
  <si>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</si>
  <si>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</si>
  <si>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</si>
  <si>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</si>
  <si>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</si>
  <si>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</si>
  <si>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</si>
  <si>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</si>
  <si>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</si>
  <si>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</si>
  <si>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</si>
  <si>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</si>
  <si>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</si>
  <si>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</si>
  <si>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</si>
  <si>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</si>
  <si>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</si>
  <si>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</si>
  <si>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</si>
  <si>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</si>
  <si>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</si>
  <si>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</si>
  <si>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</si>
  <si>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</si>
  <si>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</si>
  <si>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</si>
  <si>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</si>
  <si>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</si>
  <si>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</si>
  <si>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</si>
  <si>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</si>
  <si>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</si>
  <si>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</si>
  <si>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</si>
  <si>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</si>
  <si>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</si>
  <si>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</si>
  <si>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</si>
  <si>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</si>
  <si>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</si>
  <si>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</si>
  <si>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</si>
  <si>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</si>
  <si>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</si>
  <si>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</si>
  <si>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</si>
  <si>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</si>
  <si>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</si>
  <si>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</si>
  <si>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</si>
  <si>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</si>
  <si>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</si>
  <si>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</si>
  <si>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</si>
  <si>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</si>
  <si>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</si>
  <si>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</si>
  <si>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</si>
  <si>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</si>
  <si>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</si>
  <si>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</si>
  <si>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</si>
  <si>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</si>
  <si>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</si>
  <si>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</si>
  <si>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</si>
  <si>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</si>
  <si>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</si>
  <si>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</si>
  <si>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</si>
  <si>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</si>
  <si>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</si>
  <si>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</si>
  <si>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</si>
  <si>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</si>
  <si>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</si>
  <si>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</si>
  <si>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</si>
  <si>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</si>
  <si>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</si>
  <si>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</si>
  <si>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</si>
  <si>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</si>
  <si>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</si>
  <si>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</si>
  <si>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</si>
  <si>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</si>
  <si>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</si>
  <si>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</si>
  <si>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</si>
  <si>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</si>
  <si>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</si>
  <si>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</si>
  <si>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</si>
  <si>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</si>
  <si>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</si>
  <si>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</si>
  <si>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</si>
  <si>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</si>
  <si>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</si>
  <si>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</si>
  <si>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</si>
  <si>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</si>
  <si>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</si>
  <si>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</si>
  <si>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</si>
  <si>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</si>
  <si>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</si>
  <si>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</si>
  <si>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</si>
  <si>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</si>
  <si>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</si>
  <si>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</si>
  <si>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</si>
  <si>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</si>
  <si>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</si>
  <si>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</si>
  <si>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</si>
  <si>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</si>
  <si>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</si>
  <si>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</si>
  <si>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</si>
  <si>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</si>
  <si>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</si>
  <si>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</si>
  <si>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</si>
  <si>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</si>
  <si>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</si>
  <si>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</si>
  <si>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</si>
  <si>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</si>
  <si>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</si>
  <si>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</si>
  <si>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</si>
  <si>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</si>
  <si>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</si>
  <si>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</si>
  <si>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</si>
  <si>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</si>
  <si>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</si>
  <si>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</si>
  <si>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</si>
  <si>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</si>
  <si>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</si>
  <si>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</si>
  <si>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</si>
  <si>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</si>
  <si>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</si>
  <si>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</si>
  <si>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</si>
  <si>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</si>
  <si>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</si>
  <si>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</si>
  <si>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</si>
  <si>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</si>
  <si>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</si>
  <si>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</si>
  <si>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</si>
  <si>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</si>
  <si>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</si>
  <si>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</si>
  <si>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</si>
  <si>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</si>
  <si>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</si>
  <si>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</si>
  <si>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</si>
  <si>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</si>
  <si>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</si>
  <si>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</si>
  <si>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</si>
  <si>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</si>
  <si>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</si>
  <si>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</si>
  <si>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</si>
  <si>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</si>
  <si>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</si>
  <si>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</si>
  <si>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</si>
  <si>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</si>
  <si>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</si>
  <si>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</si>
  <si>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</si>
  <si>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</si>
  <si>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</si>
  <si>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</si>
  <si>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</si>
  <si>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</si>
  <si>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</si>
  <si>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</si>
  <si>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</si>
  <si>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</si>
  <si>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</si>
  <si>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</si>
  <si>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</si>
  <si>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</si>
  <si>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</si>
  <si>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</si>
  <si>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</si>
  <si>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</si>
  <si>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</si>
  <si>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</si>
  <si>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</si>
  <si>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</si>
  <si>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</si>
  <si>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</si>
  <si>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</si>
  <si>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</si>
  <si>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</si>
  <si>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</si>
  <si>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</si>
  <si>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</si>
  <si>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</si>
  <si>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</si>
  <si>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</si>
  <si>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</si>
  <si>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</si>
  <si>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</si>
  <si>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</si>
  <si>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</si>
  <si>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</si>
  <si>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</si>
  <si>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</si>
  <si>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</si>
  <si>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</si>
  <si>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</si>
  <si>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</si>
  <si>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</si>
  <si>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</si>
  <si>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</si>
  <si>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</si>
  <si>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</si>
  <si>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</si>
  <si>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</si>
  <si>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</si>
  <si>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</si>
  <si>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</si>
  <si>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</si>
  <si>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</si>
  <si>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</si>
  <si>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</si>
  <si>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</si>
  <si>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</si>
  <si>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</si>
  <si>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</si>
  <si>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</si>
  <si>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</si>
  <si>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</si>
  <si>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</si>
  <si>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</si>
  <si>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</si>
  <si>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</si>
  <si>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</si>
  <si>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</si>
  <si>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</si>
  <si>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</si>
  <si>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</si>
  <si>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</si>
  <si>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</si>
  <si>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</si>
  <si>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</si>
  <si>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</si>
  <si>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</si>
  <si>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</si>
  <si>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</si>
  <si>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</si>
  <si>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</si>
  <si>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</si>
  <si>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</si>
  <si>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</si>
  <si>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</si>
  <si>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</si>
  <si>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</si>
  <si>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</si>
  <si>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</si>
  <si>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</si>
  <si>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</si>
  <si>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</si>
  <si>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</si>
  <si>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</si>
  <si>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</si>
  <si>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</si>
  <si>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</si>
  <si>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</si>
  <si>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</si>
  <si>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</si>
  <si>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</si>
  <si>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</si>
  <si>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</si>
  <si>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</si>
  <si>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</si>
  <si>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</si>
  <si>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</si>
  <si>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</si>
  <si>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</si>
  <si>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</si>
  <si>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</si>
  <si>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</si>
  <si>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</si>
  <si>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</si>
  <si>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</si>
  <si>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</si>
  <si>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</si>
  <si>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</si>
  <si>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</si>
  <si>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</si>
  <si>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</si>
  <si>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</si>
  <si>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</si>
  <si>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</si>
  <si>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</si>
  <si>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</si>
  <si>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</si>
  <si>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</si>
  <si>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</si>
  <si>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</si>
  <si>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</si>
  <si>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</si>
  <si>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</si>
  <si>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</si>
  <si>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</si>
  <si>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</si>
  <si>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</si>
  <si>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</si>
  <si>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</si>
  <si>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</si>
  <si>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</si>
  <si>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</si>
  <si>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</si>
  <si>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</si>
  <si>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</si>
  <si>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</si>
  <si>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</si>
  <si>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</si>
  <si>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</si>
  <si>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</si>
  <si>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</si>
  <si>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</si>
  <si>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</si>
  <si>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</si>
  <si>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</si>
  <si>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</si>
  <si>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</si>
  <si>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</si>
  <si>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</si>
  <si>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</si>
  <si>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</si>
  <si>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</si>
  <si>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</si>
  <si>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</si>
  <si>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</si>
  <si>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</si>
  <si>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</si>
  <si>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</si>
  <si>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</si>
  <si>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</si>
  <si>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</si>
  <si>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</si>
  <si>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</si>
  <si>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</si>
  <si>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</si>
  <si>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</si>
  <si>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</si>
  <si>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</si>
  <si>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</si>
  <si>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</si>
  <si>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</si>
  <si>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</si>
  <si>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</si>
  <si>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</si>
  <si>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</si>
  <si>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</si>
  <si>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</si>
  <si>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</si>
  <si>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</si>
  <si>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</si>
  <si>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</si>
  <si>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</si>
  <si>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</si>
  <si>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</si>
  <si>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</si>
  <si>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</si>
  <si>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</si>
  <si>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</si>
  <si>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</si>
  <si>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</si>
  <si>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</si>
  <si>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</si>
  <si>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</si>
  <si>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</si>
  <si>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</si>
  <si>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</si>
  <si>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</si>
  <si>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</si>
  <si>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</si>
  <si>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</si>
  <si>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</si>
  <si>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</si>
  <si>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</si>
  <si>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</si>
  <si>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</si>
  <si>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</si>
  <si>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</si>
  <si>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</si>
  <si>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</si>
  <si>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</si>
  <si>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</si>
  <si>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</si>
  <si>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</si>
  <si>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</si>
  <si>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</si>
  <si>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</si>
  <si>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</si>
  <si>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</si>
  <si>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</si>
  <si>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</si>
  <si>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</si>
  <si>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</si>
  <si>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</si>
  <si>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</si>
  <si>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</si>
  <si>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</si>
  <si>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</si>
  <si>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</si>
  <si>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</si>
  <si>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</si>
  <si>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</si>
  <si>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</si>
  <si>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</si>
  <si>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</si>
  <si>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</si>
  <si>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</si>
  <si>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</si>
  <si>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</si>
  <si>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</si>
  <si>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</si>
  <si>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</si>
  <si>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</si>
  <si>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</si>
  <si>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</si>
  <si>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</si>
  <si>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</si>
  <si>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</si>
  <si>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</si>
  <si>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</si>
  <si>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</si>
  <si>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</si>
  <si>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</si>
  <si>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</si>
  <si>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</si>
  <si>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</si>
  <si>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</si>
  <si>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</si>
  <si>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</si>
  <si>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</si>
  <si>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</si>
  <si>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</si>
  <si>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</si>
  <si>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</si>
  <si>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</si>
  <si>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</si>
  <si>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</si>
  <si>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</si>
  <si>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</si>
  <si>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</si>
  <si>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</si>
  <si>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</si>
  <si>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</si>
  <si>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</si>
  <si>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</si>
  <si>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</si>
  <si>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</si>
  <si>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</si>
  <si>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</si>
  <si>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</si>
  <si>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</si>
  <si>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</si>
  <si>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</si>
  <si>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</si>
  <si>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</si>
  <si>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</si>
  <si>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</si>
  <si>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</si>
  <si>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</si>
  <si>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</si>
  <si>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</si>
  <si>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</si>
  <si>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</si>
  <si>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</si>
  <si>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</si>
  <si>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</si>
  <si>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</si>
  <si>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</si>
  <si>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</si>
  <si>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</si>
  <si>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</si>
  <si>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</si>
  <si>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</si>
  <si>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</si>
  <si>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</si>
  <si>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</si>
  <si>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</si>
  <si>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</si>
  <si>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</si>
  <si>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</si>
  <si>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</si>
  <si>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</si>
  <si>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</si>
  <si>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</si>
  <si>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</si>
  <si>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</si>
  <si>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</si>
  <si>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</si>
  <si>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</si>
  <si>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</si>
  <si>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</si>
  <si>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</si>
  <si>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</si>
  <si>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</si>
  <si>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</si>
  <si>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</si>
  <si>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</si>
  <si>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</si>
  <si>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</si>
  <si>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</si>
  <si>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</si>
  <si>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</si>
  <si>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</si>
  <si>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</si>
  <si>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</si>
  <si>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</si>
  <si>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</si>
  <si>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</si>
  <si>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</si>
  <si>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</si>
  <si>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</si>
  <si>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</si>
  <si>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</si>
  <si>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</si>
  <si>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</si>
  <si>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</si>
  <si>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</si>
  <si>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</si>
  <si>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</si>
  <si>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</si>
  <si>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</si>
  <si>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</si>
  <si>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</si>
  <si>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</si>
  <si>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</si>
  <si>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</si>
  <si>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</si>
  <si>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</si>
  <si>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</si>
  <si>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</si>
  <si>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</si>
  <si>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</si>
  <si>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</si>
  <si>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</si>
  <si>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</si>
  <si>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</si>
  <si>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</si>
  <si>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</si>
  <si>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</si>
  <si>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</si>
  <si>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</si>
  <si>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</si>
  <si>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</si>
  <si>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</si>
  <si>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</si>
  <si>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</si>
  <si>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</si>
  <si>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</si>
  <si>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</si>
  <si>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</si>
  <si>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</si>
  <si>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</si>
  <si>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</si>
  <si>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</si>
  <si>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</si>
  <si>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</si>
  <si>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</si>
  <si>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</si>
  <si>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</si>
  <si>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</si>
  <si>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</si>
  <si>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</si>
  <si>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</si>
  <si>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</si>
  <si>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</si>
  <si>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</si>
  <si>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</si>
  <si>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12002</t>
  </si>
  <si>
    <t>BERLAAR</t>
  </si>
  <si>
    <t>Paarden&amp;pony's 200 - 600 kg</t>
  </si>
  <si>
    <t>Paarden&amp;pony's &lt; 200 kg</t>
  </si>
  <si>
    <t>referentietaak LNE (2017); Jaarverslag De Lijn (2014)</t>
  </si>
  <si>
    <t>op basis van VEA (maart 2018) en Inventaris Hernieuwbare Energiebronnen (juni 2018)</t>
  </si>
  <si>
    <t>VEA (maart 2016)</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</si>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</sst>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88280.110757321207</c:v>
                </c:pt>
                <c:pt idx="1">
                  <c:v>22455.697627287245</c:v>
                </c:pt>
                <c:pt idx="2">
                  <c:v>611.63800000000003</c:v>
                </c:pt>
                <c:pt idx="3">
                  <c:v>36275.252551492755</c:v>
                </c:pt>
                <c:pt idx="4">
                  <c:v>5763.6002550272315</c:v>
                </c:pt>
                <c:pt idx="5">
                  <c:v>40002.894950881237</c:v>
                </c:pt>
                <c:pt idx="6">
                  <c:v>508.55187368382843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88280.110757321207</c:v>
                </c:pt>
                <c:pt idx="1">
                  <c:v>22455.697627287245</c:v>
                </c:pt>
                <c:pt idx="2">
                  <c:v>611.63800000000003</c:v>
                </c:pt>
                <c:pt idx="3">
                  <c:v>36275.252551492755</c:v>
                </c:pt>
                <c:pt idx="4">
                  <c:v>5763.6002550272315</c:v>
                </c:pt>
                <c:pt idx="5">
                  <c:v>40002.894950881237</c:v>
                </c:pt>
                <c:pt idx="6">
                  <c:v>508.55187368382843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17219.143486169414</c:v>
                </c:pt>
                <c:pt idx="1">
                  <c:v>4519.5930037667367</c:v>
                </c:pt>
                <c:pt idx="2">
                  <c:v>132.78742877292765</c:v>
                </c:pt>
                <c:pt idx="3">
                  <c:v>8689.7970068601153</c:v>
                </c:pt>
                <c:pt idx="4">
                  <c:v>1181.6439098513217</c:v>
                </c:pt>
                <c:pt idx="5">
                  <c:v>10019.024990703694</c:v>
                </c:pt>
                <c:pt idx="6">
                  <c:v>128.45777768675742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17219.143486169414</c:v>
                </c:pt>
                <c:pt idx="1">
                  <c:v>4519.5930037667367</c:v>
                </c:pt>
                <c:pt idx="2">
                  <c:v>132.78742877292765</c:v>
                </c:pt>
                <c:pt idx="3">
                  <c:v>8689.7970068601153</c:v>
                </c:pt>
                <c:pt idx="4">
                  <c:v>1181.6439098513217</c:v>
                </c:pt>
                <c:pt idx="5">
                  <c:v>10019.024990703694</c:v>
                </c:pt>
                <c:pt idx="6">
                  <c:v>128.45777768675742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12002</v>
      </c>
      <c r="B6" s="416"/>
      <c r="C6" s="417"/>
    </row>
    <row r="7" spans="1:7" s="414" customFormat="1" ht="15.75" customHeight="1">
      <c r="A7" s="418" t="str">
        <f>txtMunicipality</f>
        <v>BERLAAR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10550.58187</v>
      </c>
      <c r="D10" s="719">
        <f ca="1">tertiair!C16</f>
        <v>0</v>
      </c>
      <c r="E10" s="719">
        <f ca="1">tertiair!D16</f>
        <v>9557.0354969711752</v>
      </c>
      <c r="F10" s="719">
        <f>tertiair!E16</f>
        <v>105.06177604577398</v>
      </c>
      <c r="G10" s="719">
        <f ca="1">tertiair!F16</f>
        <v>1526.0853481707184</v>
      </c>
      <c r="H10" s="719">
        <f>tertiair!G16</f>
        <v>0</v>
      </c>
      <c r="I10" s="719">
        <f>tertiair!H16</f>
        <v>0</v>
      </c>
      <c r="J10" s="719">
        <f>tertiair!I16</f>
        <v>0</v>
      </c>
      <c r="K10" s="719">
        <f>tertiair!J16</f>
        <v>0</v>
      </c>
      <c r="L10" s="719">
        <f>tertiair!K16</f>
        <v>0</v>
      </c>
      <c r="M10" s="719">
        <f ca="1">tertiair!L16</f>
        <v>0</v>
      </c>
      <c r="N10" s="719">
        <f>tertiair!M16</f>
        <v>0</v>
      </c>
      <c r="O10" s="719">
        <f ca="1">tertiair!N16</f>
        <v>1328.5711360995767</v>
      </c>
      <c r="P10" s="719">
        <f>tertiair!O16</f>
        <v>0</v>
      </c>
      <c r="Q10" s="720">
        <f>tertiair!P16</f>
        <v>0</v>
      </c>
      <c r="R10" s="722">
        <f ca="1">SUM(C10:Q10)</f>
        <v>23067.335627287248</v>
      </c>
      <c r="S10" s="67"/>
    </row>
    <row r="11" spans="1:19" s="475" customFormat="1">
      <c r="A11" s="871" t="s">
        <v>225</v>
      </c>
      <c r="B11" s="876"/>
      <c r="C11" s="719">
        <f>huishoudens!B8</f>
        <v>18772.917945744481</v>
      </c>
      <c r="D11" s="719">
        <f>huishoudens!C8</f>
        <v>0</v>
      </c>
      <c r="E11" s="719">
        <f>huishoudens!D8</f>
        <v>44827.674594827236</v>
      </c>
      <c r="F11" s="719">
        <f>huishoudens!E8</f>
        <v>1924.4086219984647</v>
      </c>
      <c r="G11" s="719">
        <f>huishoudens!F8</f>
        <v>13438.139680216351</v>
      </c>
      <c r="H11" s="719">
        <f>huishoudens!G8</f>
        <v>0</v>
      </c>
      <c r="I11" s="719">
        <f>huishoudens!H8</f>
        <v>0</v>
      </c>
      <c r="J11" s="719">
        <f>huishoudens!I8</f>
        <v>0</v>
      </c>
      <c r="K11" s="719">
        <f>huishoudens!J8</f>
        <v>179.38854113685204</v>
      </c>
      <c r="L11" s="719">
        <f>huishoudens!K8</f>
        <v>0</v>
      </c>
      <c r="M11" s="719">
        <f>huishoudens!L8</f>
        <v>0</v>
      </c>
      <c r="N11" s="719">
        <f>huishoudens!M8</f>
        <v>0</v>
      </c>
      <c r="O11" s="719">
        <f>huishoudens!N8</f>
        <v>8607.7313733978335</v>
      </c>
      <c r="P11" s="719">
        <f>huishoudens!O8</f>
        <v>148.51666666666668</v>
      </c>
      <c r="Q11" s="720">
        <f>huishoudens!P8</f>
        <v>381.33333333333337</v>
      </c>
      <c r="R11" s="722">
        <f>SUM(C11:Q11)</f>
        <v>88280.110757321207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1845.15398</v>
      </c>
      <c r="D13" s="719">
        <f>industrie!C18</f>
        <v>0</v>
      </c>
      <c r="E13" s="719">
        <f>industrie!D18</f>
        <v>1578.7905159637924</v>
      </c>
      <c r="F13" s="719">
        <f>industrie!E18</f>
        <v>304.98932665017418</v>
      </c>
      <c r="G13" s="719">
        <f>industrie!F18</f>
        <v>1459.920236012518</v>
      </c>
      <c r="H13" s="719">
        <f>industrie!G18</f>
        <v>0</v>
      </c>
      <c r="I13" s="719">
        <f>industrie!H18</f>
        <v>0</v>
      </c>
      <c r="J13" s="719">
        <f>industrie!I18</f>
        <v>0</v>
      </c>
      <c r="K13" s="719">
        <f>industrie!J18</f>
        <v>8.7896773270077393</v>
      </c>
      <c r="L13" s="719">
        <f>industrie!K18</f>
        <v>0</v>
      </c>
      <c r="M13" s="719">
        <f>industrie!L18</f>
        <v>0</v>
      </c>
      <c r="N13" s="719">
        <f>industrie!M18</f>
        <v>0</v>
      </c>
      <c r="O13" s="719">
        <f>industrie!N18</f>
        <v>565.95651907373917</v>
      </c>
      <c r="P13" s="719">
        <f>industrie!O18</f>
        <v>0</v>
      </c>
      <c r="Q13" s="720">
        <f>industrie!P18</f>
        <v>0</v>
      </c>
      <c r="R13" s="722">
        <f>SUM(C13:Q13)</f>
        <v>5763.6002550272315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31168.653795744478</v>
      </c>
      <c r="D15" s="724">
        <f t="shared" ref="D15:Q15" ca="1" si="0">SUM(D9:D14)</f>
        <v>0</v>
      </c>
      <c r="E15" s="724">
        <f t="shared" ca="1" si="0"/>
        <v>55963.500607762209</v>
      </c>
      <c r="F15" s="724">
        <f t="shared" si="0"/>
        <v>2334.4597246944127</v>
      </c>
      <c r="G15" s="724">
        <f t="shared" ca="1" si="0"/>
        <v>16424.145264399587</v>
      </c>
      <c r="H15" s="724">
        <f t="shared" si="0"/>
        <v>0</v>
      </c>
      <c r="I15" s="724">
        <f t="shared" si="0"/>
        <v>0</v>
      </c>
      <c r="J15" s="724">
        <f t="shared" si="0"/>
        <v>0</v>
      </c>
      <c r="K15" s="724">
        <f t="shared" si="0"/>
        <v>188.17821846385979</v>
      </c>
      <c r="L15" s="724">
        <f t="shared" si="0"/>
        <v>0</v>
      </c>
      <c r="M15" s="724">
        <f t="shared" ca="1" si="0"/>
        <v>0</v>
      </c>
      <c r="N15" s="724">
        <f t="shared" si="0"/>
        <v>0</v>
      </c>
      <c r="O15" s="724">
        <f t="shared" ca="1" si="0"/>
        <v>10502.25902857115</v>
      </c>
      <c r="P15" s="724">
        <f t="shared" si="0"/>
        <v>148.51666666666668</v>
      </c>
      <c r="Q15" s="725">
        <f t="shared" si="0"/>
        <v>381.33333333333337</v>
      </c>
      <c r="R15" s="726">
        <f ca="1">SUM(R9:R14)</f>
        <v>117111.04663963569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481.11527223504646</v>
      </c>
      <c r="I18" s="719">
        <f>transport!H54</f>
        <v>0</v>
      </c>
      <c r="J18" s="719">
        <f>transport!I54</f>
        <v>0</v>
      </c>
      <c r="K18" s="719">
        <f>transport!J54</f>
        <v>0</v>
      </c>
      <c r="L18" s="719">
        <f>transport!K54</f>
        <v>0</v>
      </c>
      <c r="M18" s="719">
        <f>transport!L54</f>
        <v>0</v>
      </c>
      <c r="N18" s="719">
        <f>transport!M54</f>
        <v>27.436601448781992</v>
      </c>
      <c r="O18" s="719">
        <f>transport!N54</f>
        <v>0</v>
      </c>
      <c r="P18" s="719">
        <f>transport!O54</f>
        <v>0</v>
      </c>
      <c r="Q18" s="720">
        <f>transport!P54</f>
        <v>0</v>
      </c>
      <c r="R18" s="722">
        <f>SUM(C18:Q18)</f>
        <v>508.55187368382843</v>
      </c>
      <c r="S18" s="67"/>
    </row>
    <row r="19" spans="1:19" s="475" customFormat="1" ht="15" thickBot="1">
      <c r="A19" s="871" t="s">
        <v>307</v>
      </c>
      <c r="B19" s="876"/>
      <c r="C19" s="728">
        <f>transport!B14</f>
        <v>6.8801371946847327</v>
      </c>
      <c r="D19" s="728">
        <f>transport!C14</f>
        <v>0</v>
      </c>
      <c r="E19" s="728">
        <f>transport!D14</f>
        <v>17.421412417057848</v>
      </c>
      <c r="F19" s="728">
        <f>transport!E14</f>
        <v>111.69699362775363</v>
      </c>
      <c r="G19" s="728">
        <f>transport!F14</f>
        <v>0</v>
      </c>
      <c r="H19" s="728">
        <f>transport!G14</f>
        <v>31253.916478219198</v>
      </c>
      <c r="I19" s="728">
        <f>transport!H14</f>
        <v>6601.8524544581105</v>
      </c>
      <c r="J19" s="728">
        <f>transport!I14</f>
        <v>0</v>
      </c>
      <c r="K19" s="728">
        <f>transport!J14</f>
        <v>0</v>
      </c>
      <c r="L19" s="728">
        <f>transport!K14</f>
        <v>0</v>
      </c>
      <c r="M19" s="728">
        <f>transport!L14</f>
        <v>0</v>
      </c>
      <c r="N19" s="728">
        <f>transport!M14</f>
        <v>2011.1274749644326</v>
      </c>
      <c r="O19" s="728">
        <f>transport!N14</f>
        <v>0</v>
      </c>
      <c r="P19" s="728">
        <f>transport!O14</f>
        <v>0</v>
      </c>
      <c r="Q19" s="729">
        <f>transport!P14</f>
        <v>0</v>
      </c>
      <c r="R19" s="730">
        <f>SUM(C19:Q19)</f>
        <v>40002.894950881237</v>
      </c>
      <c r="S19" s="67"/>
    </row>
    <row r="20" spans="1:19" s="475" customFormat="1" ht="15.75" thickBot="1">
      <c r="A20" s="731" t="s">
        <v>230</v>
      </c>
      <c r="B20" s="879"/>
      <c r="C20" s="874">
        <f>SUM(C17:C19)</f>
        <v>6.8801371946847327</v>
      </c>
      <c r="D20" s="732">
        <f t="shared" ref="D20:R20" si="1">SUM(D17:D19)</f>
        <v>0</v>
      </c>
      <c r="E20" s="732">
        <f t="shared" si="1"/>
        <v>17.421412417057848</v>
      </c>
      <c r="F20" s="732">
        <f t="shared" si="1"/>
        <v>111.69699362775363</v>
      </c>
      <c r="G20" s="732">
        <f t="shared" si="1"/>
        <v>0</v>
      </c>
      <c r="H20" s="732">
        <f t="shared" si="1"/>
        <v>31735.031750454244</v>
      </c>
      <c r="I20" s="732">
        <f t="shared" si="1"/>
        <v>6601.8524544581105</v>
      </c>
      <c r="J20" s="732">
        <f t="shared" si="1"/>
        <v>0</v>
      </c>
      <c r="K20" s="732">
        <f t="shared" si="1"/>
        <v>0</v>
      </c>
      <c r="L20" s="732">
        <f t="shared" si="1"/>
        <v>0</v>
      </c>
      <c r="M20" s="732">
        <f t="shared" si="1"/>
        <v>0</v>
      </c>
      <c r="N20" s="732">
        <f t="shared" si="1"/>
        <v>2038.5640764132147</v>
      </c>
      <c r="O20" s="732">
        <f t="shared" si="1"/>
        <v>0</v>
      </c>
      <c r="P20" s="732">
        <f t="shared" si="1"/>
        <v>0</v>
      </c>
      <c r="Q20" s="733">
        <f t="shared" si="1"/>
        <v>0</v>
      </c>
      <c r="R20" s="734">
        <f t="shared" si="1"/>
        <v>40511.446824565064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964.02933999999993</v>
      </c>
      <c r="D22" s="728">
        <f>+landbouw!C8</f>
        <v>32708.571428571431</v>
      </c>
      <c r="E22" s="728">
        <f>+landbouw!D8</f>
        <v>0</v>
      </c>
      <c r="F22" s="728">
        <f>+landbouw!E8</f>
        <v>8.9292435196831441</v>
      </c>
      <c r="G22" s="728">
        <f>+landbouw!F8</f>
        <v>2445.9260829808072</v>
      </c>
      <c r="H22" s="728">
        <f>+landbouw!G8</f>
        <v>0</v>
      </c>
      <c r="I22" s="728">
        <f>+landbouw!H8</f>
        <v>0</v>
      </c>
      <c r="J22" s="728">
        <f>+landbouw!I8</f>
        <v>0</v>
      </c>
      <c r="K22" s="728">
        <f>+landbouw!J8</f>
        <v>147.79645642083437</v>
      </c>
      <c r="L22" s="728">
        <f>+landbouw!K8</f>
        <v>0</v>
      </c>
      <c r="M22" s="728">
        <f>+landbouw!L8</f>
        <v>0</v>
      </c>
      <c r="N22" s="728">
        <f>+landbouw!M8</f>
        <v>0</v>
      </c>
      <c r="O22" s="728">
        <f>+landbouw!N8</f>
        <v>0</v>
      </c>
      <c r="P22" s="728">
        <f>+landbouw!O8</f>
        <v>0</v>
      </c>
      <c r="Q22" s="729">
        <f>+landbouw!P8</f>
        <v>0</v>
      </c>
      <c r="R22" s="730">
        <f>SUM(C22:Q22)</f>
        <v>36275.252551492755</v>
      </c>
      <c r="S22" s="67"/>
    </row>
    <row r="23" spans="1:19" s="475" customFormat="1" ht="17.25" thickTop="1" thickBot="1">
      <c r="A23" s="735" t="s">
        <v>116</v>
      </c>
      <c r="B23" s="865"/>
      <c r="C23" s="736">
        <f ca="1">C20+C15+C22</f>
        <v>32139.563272939165</v>
      </c>
      <c r="D23" s="736">
        <f t="shared" ref="D23:Q23" ca="1" si="2">D20+D15+D22</f>
        <v>32708.571428571431</v>
      </c>
      <c r="E23" s="736">
        <f t="shared" ca="1" si="2"/>
        <v>55980.92202017927</v>
      </c>
      <c r="F23" s="736">
        <f t="shared" si="2"/>
        <v>2455.0859618418494</v>
      </c>
      <c r="G23" s="736">
        <f t="shared" ca="1" si="2"/>
        <v>18870.071347380395</v>
      </c>
      <c r="H23" s="736">
        <f t="shared" si="2"/>
        <v>31735.031750454244</v>
      </c>
      <c r="I23" s="736">
        <f t="shared" si="2"/>
        <v>6601.8524544581105</v>
      </c>
      <c r="J23" s="736">
        <f t="shared" si="2"/>
        <v>0</v>
      </c>
      <c r="K23" s="736">
        <f t="shared" si="2"/>
        <v>335.9746748846942</v>
      </c>
      <c r="L23" s="736">
        <f t="shared" si="2"/>
        <v>0</v>
      </c>
      <c r="M23" s="736">
        <f t="shared" ca="1" si="2"/>
        <v>0</v>
      </c>
      <c r="N23" s="736">
        <f t="shared" si="2"/>
        <v>2038.5640764132147</v>
      </c>
      <c r="O23" s="736">
        <f t="shared" ca="1" si="2"/>
        <v>10502.25902857115</v>
      </c>
      <c r="P23" s="736">
        <f t="shared" si="2"/>
        <v>148.51666666666668</v>
      </c>
      <c r="Q23" s="737">
        <f t="shared" si="2"/>
        <v>381.33333333333337</v>
      </c>
      <c r="R23" s="738">
        <f ca="1">R20+R15+R22</f>
        <v>193897.74601569353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2290.5454510275144</v>
      </c>
      <c r="D36" s="719">
        <f ca="1">tertiair!C20</f>
        <v>0</v>
      </c>
      <c r="E36" s="719">
        <f ca="1">tertiair!D20</f>
        <v>1930.5211703881776</v>
      </c>
      <c r="F36" s="719">
        <f>tertiair!E20</f>
        <v>23.849023162390694</v>
      </c>
      <c r="G36" s="719">
        <f ca="1">tertiair!F20</f>
        <v>407.46478796158181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4652.380432539665</v>
      </c>
    </row>
    <row r="37" spans="1:18">
      <c r="A37" s="886" t="s">
        <v>225</v>
      </c>
      <c r="B37" s="893"/>
      <c r="C37" s="719">
        <f ca="1">huishoudens!B12</f>
        <v>4075.6256226404516</v>
      </c>
      <c r="D37" s="719">
        <f ca="1">huishoudens!C12</f>
        <v>0</v>
      </c>
      <c r="E37" s="719">
        <f>huishoudens!D12</f>
        <v>9055.1902681551019</v>
      </c>
      <c r="F37" s="719">
        <f>huishoudens!E12</f>
        <v>436.84075719365148</v>
      </c>
      <c r="G37" s="719">
        <f>huishoudens!F12</f>
        <v>3587.9832946177658</v>
      </c>
      <c r="H37" s="719">
        <f>huishoudens!G12</f>
        <v>0</v>
      </c>
      <c r="I37" s="719">
        <f>huishoudens!H12</f>
        <v>0</v>
      </c>
      <c r="J37" s="719">
        <f>huishoudens!I12</f>
        <v>0</v>
      </c>
      <c r="K37" s="719">
        <f>huishoudens!J12</f>
        <v>63.503543562445621</v>
      </c>
      <c r="L37" s="719">
        <f>huishoudens!K12</f>
        <v>0</v>
      </c>
      <c r="M37" s="719">
        <f>huishoudens!L12</f>
        <v>0</v>
      </c>
      <c r="N37" s="719">
        <f>huishoudens!M12</f>
        <v>0</v>
      </c>
      <c r="O37" s="719">
        <f>huishoudens!N12</f>
        <v>0</v>
      </c>
      <c r="P37" s="719">
        <f>huishoudens!O12</f>
        <v>0</v>
      </c>
      <c r="Q37" s="829">
        <f>huishoudens!P12</f>
        <v>0</v>
      </c>
      <c r="R37" s="918">
        <f ca="1">SUM(C37:Q37)</f>
        <v>17219.143486169414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400.58539968794287</v>
      </c>
      <c r="D39" s="719">
        <f ca="1">industrie!C22</f>
        <v>0</v>
      </c>
      <c r="E39" s="719">
        <f>industrie!D22</f>
        <v>318.91568422468606</v>
      </c>
      <c r="F39" s="719">
        <f>industrie!E22</f>
        <v>69.232577149589545</v>
      </c>
      <c r="G39" s="719">
        <f>industrie!F22</f>
        <v>389.79870301534231</v>
      </c>
      <c r="H39" s="719">
        <f>industrie!G22</f>
        <v>0</v>
      </c>
      <c r="I39" s="719">
        <f>industrie!H22</f>
        <v>0</v>
      </c>
      <c r="J39" s="719">
        <f>industrie!I22</f>
        <v>0</v>
      </c>
      <c r="K39" s="719">
        <f>industrie!J22</f>
        <v>3.1115457737607395</v>
      </c>
      <c r="L39" s="719">
        <f>industrie!K22</f>
        <v>0</v>
      </c>
      <c r="M39" s="719">
        <f>industrie!L22</f>
        <v>0</v>
      </c>
      <c r="N39" s="719">
        <f>industrie!M22</f>
        <v>0</v>
      </c>
      <c r="O39" s="719">
        <f>industrie!N22</f>
        <v>0</v>
      </c>
      <c r="P39" s="719">
        <f>industrie!O22</f>
        <v>0</v>
      </c>
      <c r="Q39" s="829">
        <f>industrie!P22</f>
        <v>0</v>
      </c>
      <c r="R39" s="919">
        <f ca="1">SUM(C39:Q39)</f>
        <v>1181.6439098513217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6766.7564733559093</v>
      </c>
      <c r="D41" s="764">
        <f t="shared" ref="D41:R41" ca="1" si="4">SUM(D35:D40)</f>
        <v>0</v>
      </c>
      <c r="E41" s="764">
        <f t="shared" ca="1" si="4"/>
        <v>11304.627122767966</v>
      </c>
      <c r="F41" s="764">
        <f t="shared" si="4"/>
        <v>529.92235750563179</v>
      </c>
      <c r="G41" s="764">
        <f t="shared" ca="1" si="4"/>
        <v>4385.2467855946898</v>
      </c>
      <c r="H41" s="764">
        <f t="shared" si="4"/>
        <v>0</v>
      </c>
      <c r="I41" s="764">
        <f t="shared" si="4"/>
        <v>0</v>
      </c>
      <c r="J41" s="764">
        <f t="shared" si="4"/>
        <v>0</v>
      </c>
      <c r="K41" s="764">
        <f t="shared" si="4"/>
        <v>66.615089336206367</v>
      </c>
      <c r="L41" s="764">
        <f t="shared" si="4"/>
        <v>0</v>
      </c>
      <c r="M41" s="764">
        <f t="shared" ca="1" si="4"/>
        <v>0</v>
      </c>
      <c r="N41" s="764">
        <f t="shared" si="4"/>
        <v>0</v>
      </c>
      <c r="O41" s="764">
        <f t="shared" ca="1" si="4"/>
        <v>0</v>
      </c>
      <c r="P41" s="764">
        <f t="shared" si="4"/>
        <v>0</v>
      </c>
      <c r="Q41" s="765">
        <f t="shared" si="4"/>
        <v>0</v>
      </c>
      <c r="R41" s="766">
        <f t="shared" ca="1" si="4"/>
        <v>23053.167828560399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128.45777768675742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128.45777768675742</v>
      </c>
    </row>
    <row r="45" spans="1:18" ht="15" thickBot="1">
      <c r="A45" s="889" t="s">
        <v>307</v>
      </c>
      <c r="B45" s="899"/>
      <c r="C45" s="728">
        <f ca="1">transport!B18</f>
        <v>1.4936869973532862</v>
      </c>
      <c r="D45" s="728">
        <f>transport!C18</f>
        <v>0</v>
      </c>
      <c r="E45" s="728">
        <f>transport!D18</f>
        <v>3.5191253082456857</v>
      </c>
      <c r="F45" s="728">
        <f>transport!E18</f>
        <v>25.355217553500076</v>
      </c>
      <c r="G45" s="728">
        <f>transport!F18</f>
        <v>0</v>
      </c>
      <c r="H45" s="728">
        <f>transport!G18</f>
        <v>8344.795699684526</v>
      </c>
      <c r="I45" s="728">
        <f>transport!H18</f>
        <v>1643.8612611600695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10019.024990703694</v>
      </c>
    </row>
    <row r="46" spans="1:18" ht="15.75" thickBot="1">
      <c r="A46" s="887" t="s">
        <v>230</v>
      </c>
      <c r="B46" s="900"/>
      <c r="C46" s="764">
        <f t="shared" ref="C46:R46" ca="1" si="5">SUM(C43:C45)</f>
        <v>1.4936869973532862</v>
      </c>
      <c r="D46" s="764">
        <f t="shared" ca="1" si="5"/>
        <v>0</v>
      </c>
      <c r="E46" s="764">
        <f t="shared" si="5"/>
        <v>3.5191253082456857</v>
      </c>
      <c r="F46" s="764">
        <f t="shared" si="5"/>
        <v>25.355217553500076</v>
      </c>
      <c r="G46" s="764">
        <f t="shared" si="5"/>
        <v>0</v>
      </c>
      <c r="H46" s="764">
        <f t="shared" si="5"/>
        <v>8473.2534773712832</v>
      </c>
      <c r="I46" s="764">
        <f t="shared" si="5"/>
        <v>1643.8612611600695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10147.482768390451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209.29206053296633</v>
      </c>
      <c r="D48" s="719">
        <f ca="1">+landbouw!C12</f>
        <v>7773.0957983193293</v>
      </c>
      <c r="E48" s="719">
        <f>+landbouw!D12</f>
        <v>0</v>
      </c>
      <c r="F48" s="719">
        <f>+landbouw!E12</f>
        <v>2.0269382789680739</v>
      </c>
      <c r="G48" s="719">
        <f>+landbouw!F12</f>
        <v>653.0622641558756</v>
      </c>
      <c r="H48" s="719">
        <f>+landbouw!G12</f>
        <v>0</v>
      </c>
      <c r="I48" s="719">
        <f>+landbouw!H12</f>
        <v>0</v>
      </c>
      <c r="J48" s="719">
        <f>+landbouw!I12</f>
        <v>0</v>
      </c>
      <c r="K48" s="719">
        <f>+landbouw!J12</f>
        <v>52.319945572975364</v>
      </c>
      <c r="L48" s="719">
        <f>+landbouw!K12</f>
        <v>0</v>
      </c>
      <c r="M48" s="719">
        <f>+landbouw!L12</f>
        <v>0</v>
      </c>
      <c r="N48" s="719">
        <f>+landbouw!M12</f>
        <v>0</v>
      </c>
      <c r="O48" s="719">
        <f>+landbouw!N12</f>
        <v>0</v>
      </c>
      <c r="P48" s="719">
        <f>+landbouw!O12</f>
        <v>0</v>
      </c>
      <c r="Q48" s="720">
        <f>+landbouw!P12</f>
        <v>0</v>
      </c>
      <c r="R48" s="762">
        <f ca="1">SUM(C48:Q48)</f>
        <v>8689.7970068601153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6977.5422208862292</v>
      </c>
      <c r="D53" s="774">
        <f t="shared" ref="D53:Q53" ca="1" si="6">D41+D46+D48</f>
        <v>7773.0957983193293</v>
      </c>
      <c r="E53" s="774">
        <f t="shared" ca="1" si="6"/>
        <v>11308.146248076211</v>
      </c>
      <c r="F53" s="774">
        <f t="shared" si="6"/>
        <v>557.30451333809992</v>
      </c>
      <c r="G53" s="774">
        <f t="shared" ca="1" si="6"/>
        <v>5038.3090497505655</v>
      </c>
      <c r="H53" s="774">
        <f t="shared" si="6"/>
        <v>8473.2534773712832</v>
      </c>
      <c r="I53" s="774">
        <f t="shared" si="6"/>
        <v>1643.8612611600695</v>
      </c>
      <c r="J53" s="774">
        <f t="shared" si="6"/>
        <v>0</v>
      </c>
      <c r="K53" s="774">
        <f t="shared" si="6"/>
        <v>118.93503490918172</v>
      </c>
      <c r="L53" s="774">
        <f t="shared" si="6"/>
        <v>0</v>
      </c>
      <c r="M53" s="774">
        <f t="shared" ca="1" si="6"/>
        <v>0</v>
      </c>
      <c r="N53" s="774">
        <f t="shared" si="6"/>
        <v>0</v>
      </c>
      <c r="O53" s="774">
        <f t="shared" ca="1" si="6"/>
        <v>0</v>
      </c>
      <c r="P53" s="774">
        <f>P41+P46+P48</f>
        <v>0</v>
      </c>
      <c r="Q53" s="775">
        <f t="shared" si="6"/>
        <v>0</v>
      </c>
      <c r="R53" s="776">
        <f ca="1">R41+R46+R48</f>
        <v>41890.447603810964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0.21710133898307113</v>
      </c>
      <c r="D55" s="837">
        <f t="shared" ca="1" si="7"/>
        <v>0.23764705882352943</v>
      </c>
      <c r="E55" s="837">
        <f t="shared" ca="1" si="7"/>
        <v>0.20199999999999999</v>
      </c>
      <c r="F55" s="837">
        <f t="shared" si="7"/>
        <v>0.22700000000000004</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2291.6394627007094</v>
      </c>
      <c r="C66" s="796">
        <f>'lokale energieproductie'!B6</f>
        <v>2291.6394627007094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22896</v>
      </c>
      <c r="C67" s="795">
        <f>B67*IFERROR(SUM(J67:L67)/SUM(D67:M67),0)</f>
        <v>0</v>
      </c>
      <c r="D67" s="827">
        <f>'lokale energieproductie'!C7</f>
        <v>26936.470588235297</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5441.1670588235302</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25187.63946270071</v>
      </c>
      <c r="C69" s="804">
        <f>SUM(C64:C68)</f>
        <v>2291.6394627007094</v>
      </c>
      <c r="D69" s="805">
        <f t="shared" ref="D69:M69" si="8">SUM(D67:D68)</f>
        <v>26936.470588235297</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5441.1670588235302</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32708.571428571431</v>
      </c>
      <c r="C78" s="818">
        <f>B78*IFERROR(SUM(I78:L78)/SUM(D78:M78),0)</f>
        <v>0</v>
      </c>
      <c r="D78" s="833">
        <f>'lokale energieproductie'!C16</f>
        <v>38480.672268907569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7773.0957983193293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32708.571428571431</v>
      </c>
      <c r="C81" s="804">
        <f>SUM(C78:C80)</f>
        <v>0</v>
      </c>
      <c r="D81" s="804">
        <f t="shared" ref="D81:P81" si="9">SUM(D78:D80)</f>
        <v>38480.672268907569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7773.0957983193293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18772.917945744481</v>
      </c>
      <c r="C4" s="479">
        <f>huishoudens!C8</f>
        <v>0</v>
      </c>
      <c r="D4" s="479">
        <f>huishoudens!D8</f>
        <v>44827.674594827236</v>
      </c>
      <c r="E4" s="479">
        <f>huishoudens!E8</f>
        <v>1924.4086219984647</v>
      </c>
      <c r="F4" s="479">
        <f>huishoudens!F8</f>
        <v>13438.139680216351</v>
      </c>
      <c r="G4" s="479">
        <f>huishoudens!G8</f>
        <v>0</v>
      </c>
      <c r="H4" s="479">
        <f>huishoudens!H8</f>
        <v>0</v>
      </c>
      <c r="I4" s="479">
        <f>huishoudens!I8</f>
        <v>0</v>
      </c>
      <c r="J4" s="479">
        <f>huishoudens!J8</f>
        <v>179.38854113685204</v>
      </c>
      <c r="K4" s="479">
        <f>huishoudens!K8</f>
        <v>0</v>
      </c>
      <c r="L4" s="479">
        <f>huishoudens!L8</f>
        <v>0</v>
      </c>
      <c r="M4" s="479">
        <f>huishoudens!M8</f>
        <v>0</v>
      </c>
      <c r="N4" s="479">
        <f>huishoudens!N8</f>
        <v>8607.7313733978335</v>
      </c>
      <c r="O4" s="479">
        <f>huishoudens!O8</f>
        <v>148.51666666666668</v>
      </c>
      <c r="P4" s="480">
        <f>huishoudens!P8</f>
        <v>381.33333333333337</v>
      </c>
      <c r="Q4" s="481">
        <f>SUM(B4:P4)</f>
        <v>88280.110757321207</v>
      </c>
    </row>
    <row r="5" spans="1:17">
      <c r="A5" s="478" t="s">
        <v>156</v>
      </c>
      <c r="B5" s="479">
        <f ca="1">tertiair!B16</f>
        <v>9938.9438699999992</v>
      </c>
      <c r="C5" s="479">
        <f ca="1">tertiair!C16</f>
        <v>0</v>
      </c>
      <c r="D5" s="479">
        <f ca="1">tertiair!D16</f>
        <v>9557.0354969711752</v>
      </c>
      <c r="E5" s="479">
        <f>tertiair!E16</f>
        <v>105.06177604577398</v>
      </c>
      <c r="F5" s="479">
        <f ca="1">tertiair!F16</f>
        <v>1526.0853481707184</v>
      </c>
      <c r="G5" s="479">
        <f>tertiair!G16</f>
        <v>0</v>
      </c>
      <c r="H5" s="479">
        <f>tertiair!H16</f>
        <v>0</v>
      </c>
      <c r="I5" s="479">
        <f>tertiair!I16</f>
        <v>0</v>
      </c>
      <c r="J5" s="479">
        <f>tertiair!J16</f>
        <v>0</v>
      </c>
      <c r="K5" s="479">
        <f>tertiair!K16</f>
        <v>0</v>
      </c>
      <c r="L5" s="479">
        <f ca="1">tertiair!L16</f>
        <v>0</v>
      </c>
      <c r="M5" s="479">
        <f>tertiair!M16</f>
        <v>0</v>
      </c>
      <c r="N5" s="479">
        <f ca="1">tertiair!N16</f>
        <v>1328.5711360995767</v>
      </c>
      <c r="O5" s="479">
        <f>tertiair!O16</f>
        <v>0</v>
      </c>
      <c r="P5" s="480">
        <f>tertiair!P16</f>
        <v>0</v>
      </c>
      <c r="Q5" s="478">
        <f t="shared" ref="Q5:Q13" ca="1" si="0">SUM(B5:P5)</f>
        <v>22455.697627287245</v>
      </c>
    </row>
    <row r="6" spans="1:17">
      <c r="A6" s="478" t="s">
        <v>194</v>
      </c>
      <c r="B6" s="479">
        <f>'openbare verlichting'!B8</f>
        <v>611.63800000000003</v>
      </c>
      <c r="C6" s="479"/>
      <c r="D6" s="479"/>
      <c r="E6" s="479"/>
      <c r="F6" s="479"/>
      <c r="G6" s="479"/>
      <c r="H6" s="479"/>
      <c r="I6" s="479"/>
      <c r="J6" s="479"/>
      <c r="K6" s="479"/>
      <c r="L6" s="479"/>
      <c r="M6" s="479"/>
      <c r="N6" s="479"/>
      <c r="O6" s="479"/>
      <c r="P6" s="480"/>
      <c r="Q6" s="478">
        <f t="shared" si="0"/>
        <v>611.63800000000003</v>
      </c>
    </row>
    <row r="7" spans="1:17">
      <c r="A7" s="478" t="s">
        <v>112</v>
      </c>
      <c r="B7" s="479">
        <f>landbouw!B8</f>
        <v>964.02933999999993</v>
      </c>
      <c r="C7" s="479">
        <f>landbouw!C8</f>
        <v>32708.571428571431</v>
      </c>
      <c r="D7" s="479">
        <f>landbouw!D8</f>
        <v>0</v>
      </c>
      <c r="E7" s="479">
        <f>landbouw!E8</f>
        <v>8.9292435196831441</v>
      </c>
      <c r="F7" s="479">
        <f>landbouw!F8</f>
        <v>2445.9260829808072</v>
      </c>
      <c r="G7" s="479">
        <f>landbouw!G8</f>
        <v>0</v>
      </c>
      <c r="H7" s="479">
        <f>landbouw!H8</f>
        <v>0</v>
      </c>
      <c r="I7" s="479">
        <f>landbouw!I8</f>
        <v>0</v>
      </c>
      <c r="J7" s="479">
        <f>landbouw!J8</f>
        <v>147.79645642083437</v>
      </c>
      <c r="K7" s="479">
        <f>landbouw!K8</f>
        <v>0</v>
      </c>
      <c r="L7" s="479">
        <f>landbouw!L8</f>
        <v>0</v>
      </c>
      <c r="M7" s="479">
        <f>landbouw!M8</f>
        <v>0</v>
      </c>
      <c r="N7" s="479">
        <f>landbouw!N8</f>
        <v>0</v>
      </c>
      <c r="O7" s="479">
        <f>landbouw!O8</f>
        <v>0</v>
      </c>
      <c r="P7" s="480">
        <f>landbouw!P8</f>
        <v>0</v>
      </c>
      <c r="Q7" s="478">
        <f t="shared" si="0"/>
        <v>36275.252551492755</v>
      </c>
    </row>
    <row r="8" spans="1:17">
      <c r="A8" s="478" t="s">
        <v>650</v>
      </c>
      <c r="B8" s="479">
        <f>industrie!B18</f>
        <v>1845.15398</v>
      </c>
      <c r="C8" s="479">
        <f>industrie!C18</f>
        <v>0</v>
      </c>
      <c r="D8" s="479">
        <f>industrie!D18</f>
        <v>1578.7905159637924</v>
      </c>
      <c r="E8" s="479">
        <f>industrie!E18</f>
        <v>304.98932665017418</v>
      </c>
      <c r="F8" s="479">
        <f>industrie!F18</f>
        <v>1459.920236012518</v>
      </c>
      <c r="G8" s="479">
        <f>industrie!G18</f>
        <v>0</v>
      </c>
      <c r="H8" s="479">
        <f>industrie!H18</f>
        <v>0</v>
      </c>
      <c r="I8" s="479">
        <f>industrie!I18</f>
        <v>0</v>
      </c>
      <c r="J8" s="479">
        <f>industrie!J18</f>
        <v>8.7896773270077393</v>
      </c>
      <c r="K8" s="479">
        <f>industrie!K18</f>
        <v>0</v>
      </c>
      <c r="L8" s="479">
        <f>industrie!L18</f>
        <v>0</v>
      </c>
      <c r="M8" s="479">
        <f>industrie!M18</f>
        <v>0</v>
      </c>
      <c r="N8" s="479">
        <f>industrie!N18</f>
        <v>565.95651907373917</v>
      </c>
      <c r="O8" s="479">
        <f>industrie!O18</f>
        <v>0</v>
      </c>
      <c r="P8" s="480">
        <f>industrie!P18</f>
        <v>0</v>
      </c>
      <c r="Q8" s="478">
        <f t="shared" si="0"/>
        <v>5763.6002550272315</v>
      </c>
    </row>
    <row r="9" spans="1:17" s="484" customFormat="1">
      <c r="A9" s="482" t="s">
        <v>571</v>
      </c>
      <c r="B9" s="483">
        <f>transport!B14</f>
        <v>6.8801371946847327</v>
      </c>
      <c r="C9" s="483"/>
      <c r="D9" s="483">
        <f>transport!D14</f>
        <v>17.421412417057848</v>
      </c>
      <c r="E9" s="483">
        <f>transport!E14</f>
        <v>111.69699362775363</v>
      </c>
      <c r="F9" s="483"/>
      <c r="G9" s="483">
        <f>transport!G14</f>
        <v>31253.916478219198</v>
      </c>
      <c r="H9" s="483">
        <f>transport!H14</f>
        <v>6601.8524544581105</v>
      </c>
      <c r="I9" s="483"/>
      <c r="J9" s="483"/>
      <c r="K9" s="483"/>
      <c r="L9" s="483"/>
      <c r="M9" s="483">
        <f>transport!M14</f>
        <v>2011.1274749644326</v>
      </c>
      <c r="N9" s="483"/>
      <c r="O9" s="483"/>
      <c r="P9" s="483"/>
      <c r="Q9" s="482">
        <f>SUM(B9:P9)</f>
        <v>40002.894950881237</v>
      </c>
    </row>
    <row r="10" spans="1:17">
      <c r="A10" s="478" t="s">
        <v>561</v>
      </c>
      <c r="B10" s="479">
        <f>transport!B54</f>
        <v>0</v>
      </c>
      <c r="C10" s="479"/>
      <c r="D10" s="479">
        <f>transport!D54</f>
        <v>0</v>
      </c>
      <c r="E10" s="479"/>
      <c r="F10" s="479"/>
      <c r="G10" s="479">
        <f>transport!G54</f>
        <v>481.11527223504646</v>
      </c>
      <c r="H10" s="479"/>
      <c r="I10" s="479"/>
      <c r="J10" s="479"/>
      <c r="K10" s="479"/>
      <c r="L10" s="479"/>
      <c r="M10" s="479">
        <f>transport!M54</f>
        <v>27.436601448781992</v>
      </c>
      <c r="N10" s="479"/>
      <c r="O10" s="479"/>
      <c r="P10" s="480"/>
      <c r="Q10" s="478">
        <f t="shared" si="0"/>
        <v>508.55187368382843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32139.563272939165</v>
      </c>
      <c r="C14" s="489">
        <f t="shared" ref="C14:Q14" ca="1" si="1">SUM(C4:C13)</f>
        <v>32708.571428571431</v>
      </c>
      <c r="D14" s="489">
        <f t="shared" ca="1" si="1"/>
        <v>55980.92202017927</v>
      </c>
      <c r="E14" s="489">
        <f t="shared" si="1"/>
        <v>2455.0859618418494</v>
      </c>
      <c r="F14" s="489">
        <f t="shared" ca="1" si="1"/>
        <v>18870.071347380392</v>
      </c>
      <c r="G14" s="489">
        <f t="shared" si="1"/>
        <v>31735.031750454244</v>
      </c>
      <c r="H14" s="489">
        <f t="shared" si="1"/>
        <v>6601.8524544581105</v>
      </c>
      <c r="I14" s="489">
        <f t="shared" si="1"/>
        <v>0</v>
      </c>
      <c r="J14" s="489">
        <f t="shared" si="1"/>
        <v>335.97467488469414</v>
      </c>
      <c r="K14" s="489">
        <f t="shared" si="1"/>
        <v>0</v>
      </c>
      <c r="L14" s="489">
        <f t="shared" ca="1" si="1"/>
        <v>0</v>
      </c>
      <c r="M14" s="489">
        <f t="shared" si="1"/>
        <v>2038.5640764132147</v>
      </c>
      <c r="N14" s="489">
        <f t="shared" ca="1" si="1"/>
        <v>10502.25902857115</v>
      </c>
      <c r="O14" s="489">
        <f t="shared" si="1"/>
        <v>148.51666666666668</v>
      </c>
      <c r="P14" s="490">
        <f t="shared" si="1"/>
        <v>381.33333333333337</v>
      </c>
      <c r="Q14" s="490">
        <f t="shared" ca="1" si="1"/>
        <v>193897.74601569356</v>
      </c>
    </row>
    <row r="16" spans="1:17">
      <c r="A16" s="492" t="s">
        <v>566</v>
      </c>
      <c r="B16" s="842">
        <f ca="1">huishoudens!B10</f>
        <v>0.21710133898307113</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4075.6256226404516</v>
      </c>
      <c r="C21" s="479">
        <f t="shared" ref="C21:C28" ca="1" si="3">C4*$C$16</f>
        <v>0</v>
      </c>
      <c r="D21" s="479">
        <f t="shared" ref="D21:D30" si="4">D4*$D$16</f>
        <v>9055.1902681551019</v>
      </c>
      <c r="E21" s="479">
        <f t="shared" ref="E21:E30" si="5">E4*$E$16</f>
        <v>436.84075719365148</v>
      </c>
      <c r="F21" s="479">
        <f t="shared" ref="F21:F28" si="6">F4*$F$16</f>
        <v>3587.9832946177658</v>
      </c>
      <c r="G21" s="479">
        <f t="shared" ref="G21:G30" si="7">G4*$G$16</f>
        <v>0</v>
      </c>
      <c r="H21" s="479">
        <f t="shared" ref="H21:H30" si="8">H4*$H$16</f>
        <v>0</v>
      </c>
      <c r="I21" s="479">
        <f t="shared" ref="I21:I28" si="9">I4*$I$16</f>
        <v>0</v>
      </c>
      <c r="J21" s="479">
        <f t="shared" ref="J21:J28" si="10">J4*$J$16</f>
        <v>63.503543562445621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17219.143486169414</v>
      </c>
    </row>
    <row r="22" spans="1:17">
      <c r="A22" s="478" t="s">
        <v>156</v>
      </c>
      <c r="B22" s="479">
        <f t="shared" ca="1" si="2"/>
        <v>2157.7580222545866</v>
      </c>
      <c r="C22" s="479">
        <f t="shared" ca="1" si="3"/>
        <v>0</v>
      </c>
      <c r="D22" s="479">
        <f t="shared" ca="1" si="4"/>
        <v>1930.5211703881776</v>
      </c>
      <c r="E22" s="479">
        <f t="shared" si="5"/>
        <v>23.849023162390694</v>
      </c>
      <c r="F22" s="479">
        <f t="shared" ca="1" si="6"/>
        <v>407.46478796158181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4519.5930037667367</v>
      </c>
    </row>
    <row r="23" spans="1:17">
      <c r="A23" s="478" t="s">
        <v>194</v>
      </c>
      <c r="B23" s="479">
        <f t="shared" ca="1" si="2"/>
        <v>132.78742877292765</v>
      </c>
      <c r="C23" s="479"/>
      <c r="D23" s="479"/>
      <c r="E23" s="479"/>
      <c r="F23" s="479"/>
      <c r="G23" s="479"/>
      <c r="H23" s="479"/>
      <c r="I23" s="479"/>
      <c r="J23" s="479"/>
      <c r="K23" s="479"/>
      <c r="L23" s="479"/>
      <c r="M23" s="479"/>
      <c r="N23" s="479"/>
      <c r="O23" s="479"/>
      <c r="P23" s="480"/>
      <c r="Q23" s="478">
        <f t="shared" ca="1" si="17"/>
        <v>132.78742877292765</v>
      </c>
    </row>
    <row r="24" spans="1:17">
      <c r="A24" s="478" t="s">
        <v>112</v>
      </c>
      <c r="B24" s="479">
        <f t="shared" ca="1" si="2"/>
        <v>209.29206053296633</v>
      </c>
      <c r="C24" s="479">
        <f t="shared" ca="1" si="3"/>
        <v>7773.0957983193293</v>
      </c>
      <c r="D24" s="479">
        <f t="shared" si="4"/>
        <v>0</v>
      </c>
      <c r="E24" s="479">
        <f t="shared" si="5"/>
        <v>2.0269382789680739</v>
      </c>
      <c r="F24" s="479">
        <f t="shared" si="6"/>
        <v>653.0622641558756</v>
      </c>
      <c r="G24" s="479">
        <f t="shared" si="7"/>
        <v>0</v>
      </c>
      <c r="H24" s="479">
        <f t="shared" si="8"/>
        <v>0</v>
      </c>
      <c r="I24" s="479">
        <f t="shared" si="9"/>
        <v>0</v>
      </c>
      <c r="J24" s="479">
        <f t="shared" si="10"/>
        <v>52.319945572975364</v>
      </c>
      <c r="K24" s="479">
        <f t="shared" si="11"/>
        <v>0</v>
      </c>
      <c r="L24" s="479">
        <f t="shared" si="12"/>
        <v>0</v>
      </c>
      <c r="M24" s="479">
        <f t="shared" si="13"/>
        <v>0</v>
      </c>
      <c r="N24" s="479">
        <f t="shared" si="14"/>
        <v>0</v>
      </c>
      <c r="O24" s="479">
        <f t="shared" si="15"/>
        <v>0</v>
      </c>
      <c r="P24" s="480">
        <f t="shared" si="16"/>
        <v>0</v>
      </c>
      <c r="Q24" s="478">
        <f t="shared" ca="1" si="17"/>
        <v>8689.7970068601153</v>
      </c>
    </row>
    <row r="25" spans="1:17">
      <c r="A25" s="478" t="s">
        <v>650</v>
      </c>
      <c r="B25" s="479">
        <f t="shared" ca="1" si="2"/>
        <v>400.58539968794287</v>
      </c>
      <c r="C25" s="479">
        <f t="shared" ca="1" si="3"/>
        <v>0</v>
      </c>
      <c r="D25" s="479">
        <f t="shared" si="4"/>
        <v>318.91568422468606</v>
      </c>
      <c r="E25" s="479">
        <f t="shared" si="5"/>
        <v>69.232577149589545</v>
      </c>
      <c r="F25" s="479">
        <f t="shared" si="6"/>
        <v>389.79870301534231</v>
      </c>
      <c r="G25" s="479">
        <f t="shared" si="7"/>
        <v>0</v>
      </c>
      <c r="H25" s="479">
        <f t="shared" si="8"/>
        <v>0</v>
      </c>
      <c r="I25" s="479">
        <f t="shared" si="9"/>
        <v>0</v>
      </c>
      <c r="J25" s="479">
        <f t="shared" si="10"/>
        <v>3.1115457737607395</v>
      </c>
      <c r="K25" s="479">
        <f t="shared" si="11"/>
        <v>0</v>
      </c>
      <c r="L25" s="479">
        <f t="shared" si="12"/>
        <v>0</v>
      </c>
      <c r="M25" s="479">
        <f t="shared" si="13"/>
        <v>0</v>
      </c>
      <c r="N25" s="479">
        <f t="shared" si="14"/>
        <v>0</v>
      </c>
      <c r="O25" s="479">
        <f t="shared" si="15"/>
        <v>0</v>
      </c>
      <c r="P25" s="480">
        <f t="shared" si="16"/>
        <v>0</v>
      </c>
      <c r="Q25" s="478">
        <f t="shared" ca="1" si="17"/>
        <v>1181.6439098513217</v>
      </c>
    </row>
    <row r="26" spans="1:17" s="484" customFormat="1">
      <c r="A26" s="482" t="s">
        <v>571</v>
      </c>
      <c r="B26" s="836">
        <f t="shared" ca="1" si="2"/>
        <v>1.4936869973532862</v>
      </c>
      <c r="C26" s="483"/>
      <c r="D26" s="483">
        <f t="shared" si="4"/>
        <v>3.5191253082456857</v>
      </c>
      <c r="E26" s="483">
        <f t="shared" si="5"/>
        <v>25.355217553500076</v>
      </c>
      <c r="F26" s="483"/>
      <c r="G26" s="483">
        <f t="shared" si="7"/>
        <v>8344.795699684526</v>
      </c>
      <c r="H26" s="483">
        <f t="shared" si="8"/>
        <v>1643.8612611600695</v>
      </c>
      <c r="I26" s="483"/>
      <c r="J26" s="483"/>
      <c r="K26" s="483"/>
      <c r="L26" s="483"/>
      <c r="M26" s="483">
        <f t="shared" si="13"/>
        <v>0</v>
      </c>
      <c r="N26" s="483"/>
      <c r="O26" s="483"/>
      <c r="P26" s="494"/>
      <c r="Q26" s="482">
        <f t="shared" ca="1" si="17"/>
        <v>10019.024990703694</v>
      </c>
    </row>
    <row r="27" spans="1:17">
      <c r="A27" s="478" t="s">
        <v>561</v>
      </c>
      <c r="B27" s="479">
        <f t="shared" ca="1" si="2"/>
        <v>0</v>
      </c>
      <c r="C27" s="479"/>
      <c r="D27" s="483">
        <f t="shared" si="4"/>
        <v>0</v>
      </c>
      <c r="E27" s="479"/>
      <c r="F27" s="479"/>
      <c r="G27" s="479">
        <f t="shared" si="7"/>
        <v>128.45777768675742</v>
      </c>
      <c r="H27" s="479"/>
      <c r="I27" s="479"/>
      <c r="J27" s="479"/>
      <c r="K27" s="479"/>
      <c r="L27" s="479"/>
      <c r="M27" s="479">
        <f t="shared" si="13"/>
        <v>0</v>
      </c>
      <c r="N27" s="479"/>
      <c r="O27" s="479"/>
      <c r="P27" s="480"/>
      <c r="Q27" s="478">
        <f t="shared" ca="1" si="17"/>
        <v>128.45777768675742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6977.5422208862292</v>
      </c>
      <c r="C31" s="489">
        <f t="shared" ca="1" si="18"/>
        <v>7773.0957983193293</v>
      </c>
      <c r="D31" s="489">
        <f t="shared" ca="1" si="18"/>
        <v>11308.146248076211</v>
      </c>
      <c r="E31" s="489">
        <f t="shared" si="18"/>
        <v>557.30451333809992</v>
      </c>
      <c r="F31" s="489">
        <f t="shared" ca="1" si="18"/>
        <v>5038.3090497505655</v>
      </c>
      <c r="G31" s="489">
        <f t="shared" si="18"/>
        <v>8473.2534773712832</v>
      </c>
      <c r="H31" s="489">
        <f t="shared" si="18"/>
        <v>1643.8612611600695</v>
      </c>
      <c r="I31" s="489">
        <f t="shared" si="18"/>
        <v>0</v>
      </c>
      <c r="J31" s="489">
        <f t="shared" si="18"/>
        <v>118.93503490918172</v>
      </c>
      <c r="K31" s="489">
        <f t="shared" si="18"/>
        <v>0</v>
      </c>
      <c r="L31" s="489">
        <f t="shared" ca="1" si="18"/>
        <v>0</v>
      </c>
      <c r="M31" s="489">
        <f t="shared" si="18"/>
        <v>0</v>
      </c>
      <c r="N31" s="489">
        <f t="shared" ca="1" si="18"/>
        <v>0</v>
      </c>
      <c r="O31" s="489">
        <f t="shared" si="18"/>
        <v>0</v>
      </c>
      <c r="P31" s="490">
        <f t="shared" si="18"/>
        <v>0</v>
      </c>
      <c r="Q31" s="490">
        <f t="shared" ca="1" si="18"/>
        <v>41890.447603810964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0.21710133898307113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0.21710133898307113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0.21710133898307113</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4525</v>
      </c>
      <c r="C9" s="342">
        <v>4809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1289</v>
      </c>
    </row>
    <row r="15" spans="1:6">
      <c r="A15" s="348" t="s">
        <v>184</v>
      </c>
      <c r="B15" s="334">
        <v>15</v>
      </c>
    </row>
    <row r="16" spans="1:6">
      <c r="A16" s="348" t="s">
        <v>6</v>
      </c>
      <c r="B16" s="334">
        <v>605</v>
      </c>
    </row>
    <row r="17" spans="1:6">
      <c r="A17" s="348" t="s">
        <v>7</v>
      </c>
      <c r="B17" s="334">
        <v>77</v>
      </c>
    </row>
    <row r="18" spans="1:6">
      <c r="A18" s="348" t="s">
        <v>8</v>
      </c>
      <c r="B18" s="334">
        <v>388</v>
      </c>
    </row>
    <row r="19" spans="1:6">
      <c r="A19" s="348" t="s">
        <v>9</v>
      </c>
      <c r="B19" s="334">
        <v>401</v>
      </c>
    </row>
    <row r="20" spans="1:6">
      <c r="A20" s="348" t="s">
        <v>10</v>
      </c>
      <c r="B20" s="334">
        <v>208</v>
      </c>
    </row>
    <row r="21" spans="1:6">
      <c r="A21" s="348" t="s">
        <v>11</v>
      </c>
      <c r="B21" s="334">
        <v>649</v>
      </c>
    </row>
    <row r="22" spans="1:6">
      <c r="A22" s="348" t="s">
        <v>12</v>
      </c>
      <c r="B22" s="334">
        <v>2229</v>
      </c>
    </row>
    <row r="23" spans="1:6">
      <c r="A23" s="348" t="s">
        <v>13</v>
      </c>
      <c r="B23" s="334">
        <v>0</v>
      </c>
    </row>
    <row r="24" spans="1:6">
      <c r="A24" s="348" t="s">
        <v>14</v>
      </c>
      <c r="B24" s="334">
        <v>0</v>
      </c>
    </row>
    <row r="25" spans="1:6">
      <c r="A25" s="348" t="s">
        <v>15</v>
      </c>
      <c r="B25" s="334">
        <v>0</v>
      </c>
    </row>
    <row r="26" spans="1:6">
      <c r="A26" s="348" t="s">
        <v>16</v>
      </c>
      <c r="B26" s="334">
        <v>441</v>
      </c>
    </row>
    <row r="27" spans="1:6">
      <c r="A27" s="348" t="s">
        <v>17</v>
      </c>
      <c r="B27" s="334">
        <v>2</v>
      </c>
    </row>
    <row r="28" spans="1:6" s="356" customFormat="1">
      <c r="A28" s="355" t="s">
        <v>18</v>
      </c>
      <c r="B28" s="355">
        <v>0</v>
      </c>
    </row>
    <row r="29" spans="1:6">
      <c r="A29" s="355" t="s">
        <v>865</v>
      </c>
      <c r="B29" s="355">
        <v>108</v>
      </c>
      <c r="C29" s="356"/>
      <c r="D29" s="356"/>
      <c r="E29" s="356"/>
      <c r="F29" s="356"/>
    </row>
    <row r="30" spans="1:6">
      <c r="A30" s="341" t="s">
        <v>866</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3071</v>
      </c>
      <c r="D39" s="334">
        <v>49698087.133954801</v>
      </c>
      <c r="E39" s="334">
        <v>4449</v>
      </c>
      <c r="F39" s="334">
        <v>16960012</v>
      </c>
    </row>
    <row r="40" spans="1:6">
      <c r="A40" s="348" t="s">
        <v>30</v>
      </c>
      <c r="B40" s="348" t="s">
        <v>29</v>
      </c>
      <c r="C40" s="334">
        <v>0</v>
      </c>
      <c r="D40" s="334">
        <v>0</v>
      </c>
      <c r="E40" s="334">
        <v>0</v>
      </c>
      <c r="F40" s="334">
        <v>0</v>
      </c>
    </row>
    <row r="41" spans="1:6">
      <c r="A41" s="348" t="s">
        <v>32</v>
      </c>
      <c r="B41" s="348" t="s">
        <v>33</v>
      </c>
      <c r="C41" s="334">
        <v>22</v>
      </c>
      <c r="D41" s="334">
        <v>781758.31932751904</v>
      </c>
      <c r="E41" s="334">
        <v>78</v>
      </c>
      <c r="F41" s="334">
        <v>1002837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80276.28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471574.66157303803</v>
      </c>
      <c r="E48" s="334">
        <v>25</v>
      </c>
      <c r="F48" s="334">
        <v>478694.8</v>
      </c>
    </row>
    <row r="49" spans="1:6">
      <c r="A49" s="348" t="s">
        <v>32</v>
      </c>
      <c r="B49" s="348" t="s">
        <v>40</v>
      </c>
      <c r="C49" s="334">
        <v>0</v>
      </c>
      <c r="D49" s="334">
        <v>0</v>
      </c>
      <c r="E49" s="334">
        <v>0</v>
      </c>
      <c r="F49" s="334">
        <v>0</v>
      </c>
    </row>
    <row r="50" spans="1:6">
      <c r="A50" s="348" t="s">
        <v>32</v>
      </c>
      <c r="B50" s="348" t="s">
        <v>41</v>
      </c>
      <c r="C50" s="334">
        <v>4</v>
      </c>
      <c r="D50" s="334">
        <v>496989.09888191801</v>
      </c>
      <c r="E50" s="334">
        <v>9</v>
      </c>
      <c r="F50" s="334">
        <v>283345.90000000002</v>
      </c>
    </row>
    <row r="51" spans="1:6">
      <c r="A51" s="348" t="s">
        <v>42</v>
      </c>
      <c r="B51" s="348" t="s">
        <v>43</v>
      </c>
      <c r="C51" s="334">
        <v>5</v>
      </c>
      <c r="D51" s="334">
        <v>68200120.253700003</v>
      </c>
      <c r="E51" s="334">
        <v>41</v>
      </c>
      <c r="F51" s="334">
        <v>945198</v>
      </c>
    </row>
    <row r="52" spans="1:6">
      <c r="A52" s="348" t="s">
        <v>42</v>
      </c>
      <c r="B52" s="348" t="s">
        <v>29</v>
      </c>
      <c r="C52" s="334">
        <v>3</v>
      </c>
      <c r="D52" s="334">
        <v>71576.114718459197</v>
      </c>
      <c r="E52" s="334">
        <v>5</v>
      </c>
      <c r="F52" s="334">
        <v>18831.34</v>
      </c>
    </row>
    <row r="53" spans="1:6">
      <c r="A53" s="348" t="s">
        <v>44</v>
      </c>
      <c r="B53" s="348" t="s">
        <v>45</v>
      </c>
      <c r="C53" s="334">
        <v>74</v>
      </c>
      <c r="D53" s="334">
        <v>1803634.4723407901</v>
      </c>
      <c r="E53" s="334">
        <v>201</v>
      </c>
      <c r="F53" s="334">
        <v>688716.3</v>
      </c>
    </row>
    <row r="54" spans="1:6">
      <c r="A54" s="348" t="s">
        <v>46</v>
      </c>
      <c r="B54" s="348" t="s">
        <v>47</v>
      </c>
      <c r="C54" s="334">
        <v>0</v>
      </c>
      <c r="D54" s="334">
        <v>0</v>
      </c>
      <c r="E54" s="334">
        <v>1</v>
      </c>
      <c r="F54" s="334">
        <v>611638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583163.52759571502</v>
      </c>
      <c r="E57" s="334">
        <v>56</v>
      </c>
      <c r="F57" s="334">
        <v>1467554</v>
      </c>
    </row>
    <row r="58" spans="1:6">
      <c r="A58" s="348" t="s">
        <v>49</v>
      </c>
      <c r="B58" s="348" t="s">
        <v>51</v>
      </c>
      <c r="C58" s="334">
        <v>6</v>
      </c>
      <c r="D58" s="334">
        <v>114838.512778288</v>
      </c>
      <c r="E58" s="334">
        <v>4</v>
      </c>
      <c r="F58" s="334">
        <v>44227.07</v>
      </c>
    </row>
    <row r="59" spans="1:6">
      <c r="A59" s="348" t="s">
        <v>49</v>
      </c>
      <c r="B59" s="348" t="s">
        <v>52</v>
      </c>
      <c r="C59" s="334">
        <v>45</v>
      </c>
      <c r="D59" s="334">
        <v>1450447.31767875</v>
      </c>
      <c r="E59" s="334">
        <v>87</v>
      </c>
      <c r="F59" s="334">
        <v>2873741</v>
      </c>
    </row>
    <row r="60" spans="1:6">
      <c r="A60" s="348" t="s">
        <v>49</v>
      </c>
      <c r="B60" s="348" t="s">
        <v>53</v>
      </c>
      <c r="C60" s="334">
        <v>29</v>
      </c>
      <c r="D60" s="334">
        <v>1041837.06014574</v>
      </c>
      <c r="E60" s="334">
        <v>44</v>
      </c>
      <c r="F60" s="334">
        <v>888952.8</v>
      </c>
    </row>
    <row r="61" spans="1:6">
      <c r="A61" s="348" t="s">
        <v>49</v>
      </c>
      <c r="B61" s="348" t="s">
        <v>54</v>
      </c>
      <c r="C61" s="334">
        <v>99</v>
      </c>
      <c r="D61" s="334">
        <v>3243573.8434426798</v>
      </c>
      <c r="E61" s="334">
        <v>150</v>
      </c>
      <c r="F61" s="334">
        <v>1685726</v>
      </c>
    </row>
    <row r="62" spans="1:6">
      <c r="A62" s="348" t="s">
        <v>49</v>
      </c>
      <c r="B62" s="348" t="s">
        <v>55</v>
      </c>
      <c r="C62" s="334">
        <v>4</v>
      </c>
      <c r="D62" s="334">
        <v>140337.14884218099</v>
      </c>
      <c r="E62" s="334">
        <v>0</v>
      </c>
      <c r="F62" s="334">
        <v>0</v>
      </c>
    </row>
    <row r="63" spans="1:6">
      <c r="A63" s="348" t="s">
        <v>49</v>
      </c>
      <c r="B63" s="348" t="s">
        <v>29</v>
      </c>
      <c r="C63" s="334">
        <v>70</v>
      </c>
      <c r="D63" s="334">
        <v>4021185.6238527601</v>
      </c>
      <c r="E63" s="334">
        <v>100</v>
      </c>
      <c r="F63" s="334">
        <v>2978743</v>
      </c>
    </row>
    <row r="64" spans="1:6">
      <c r="A64" s="348" t="s">
        <v>56</v>
      </c>
      <c r="B64" s="348" t="s">
        <v>57</v>
      </c>
      <c r="C64" s="334">
        <v>0</v>
      </c>
      <c r="D64" s="334">
        <v>0</v>
      </c>
      <c r="E64" s="334">
        <v>0</v>
      </c>
      <c r="F64" s="334">
        <v>0</v>
      </c>
    </row>
    <row r="65" spans="1:6">
      <c r="A65" s="348" t="s">
        <v>56</v>
      </c>
      <c r="B65" s="348" t="s">
        <v>29</v>
      </c>
      <c r="C65" s="334">
        <v>2</v>
      </c>
      <c r="D65" s="334">
        <v>20405.823039374802</v>
      </c>
      <c r="E65" s="334">
        <v>2</v>
      </c>
      <c r="F65" s="334">
        <v>45192.88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45928.31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44016845</v>
      </c>
      <c r="E73" s="477">
        <v>39271175.270700134</v>
      </c>
    </row>
    <row r="74" spans="1:6">
      <c r="A74" s="348" t="s">
        <v>64</v>
      </c>
      <c r="B74" s="348" t="s">
        <v>714</v>
      </c>
      <c r="C74" s="1288" t="s">
        <v>716</v>
      </c>
      <c r="D74" s="477">
        <v>3179248.3989529018</v>
      </c>
      <c r="E74" s="477">
        <v>3589761.4591423152</v>
      </c>
    </row>
    <row r="75" spans="1:6">
      <c r="A75" s="348" t="s">
        <v>65</v>
      </c>
      <c r="B75" s="348" t="s">
        <v>713</v>
      </c>
      <c r="C75" s="1288" t="s">
        <v>717</v>
      </c>
      <c r="D75" s="477">
        <v>6183523</v>
      </c>
      <c r="E75" s="477">
        <v>5533174.9406044483</v>
      </c>
    </row>
    <row r="76" spans="1:6">
      <c r="A76" s="348" t="s">
        <v>65</v>
      </c>
      <c r="B76" s="348" t="s">
        <v>714</v>
      </c>
      <c r="C76" s="1288" t="s">
        <v>718</v>
      </c>
      <c r="D76" s="477">
        <v>28240.398952901684</v>
      </c>
      <c r="E76" s="477">
        <v>42375.521010337092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135897.20209419663</v>
      </c>
      <c r="C83" s="477">
        <v>134357.47544764268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1812.9059457444832</v>
      </c>
    </row>
    <row r="92" spans="1:6">
      <c r="A92" s="341" t="s">
        <v>69</v>
      </c>
      <c r="B92" s="342">
        <v>478.73351695622603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2012</v>
      </c>
    </row>
    <row r="98" spans="1:6">
      <c r="A98" s="348" t="s">
        <v>72</v>
      </c>
      <c r="B98" s="334">
        <v>4</v>
      </c>
    </row>
    <row r="99" spans="1:6">
      <c r="A99" s="348" t="s">
        <v>73</v>
      </c>
      <c r="B99" s="334">
        <v>39</v>
      </c>
    </row>
    <row r="100" spans="1:6">
      <c r="A100" s="348" t="s">
        <v>74</v>
      </c>
      <c r="B100" s="334">
        <v>182</v>
      </c>
    </row>
    <row r="101" spans="1:6">
      <c r="A101" s="348" t="s">
        <v>75</v>
      </c>
      <c r="B101" s="334">
        <v>46</v>
      </c>
    </row>
    <row r="102" spans="1:6">
      <c r="A102" s="348" t="s">
        <v>76</v>
      </c>
      <c r="B102" s="334">
        <v>34</v>
      </c>
    </row>
    <row r="103" spans="1:6">
      <c r="A103" s="348" t="s">
        <v>77</v>
      </c>
      <c r="B103" s="334">
        <v>111</v>
      </c>
    </row>
    <row r="104" spans="1:6">
      <c r="A104" s="348" t="s">
        <v>78</v>
      </c>
      <c r="B104" s="334">
        <v>1499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32139.563272939165</v>
      </c>
      <c r="C3" s="43" t="s">
        <v>170</v>
      </c>
      <c r="D3" s="43"/>
      <c r="E3" s="154"/>
      <c r="F3" s="43"/>
      <c r="G3" s="43"/>
      <c r="H3" s="43"/>
      <c r="I3" s="43"/>
      <c r="J3" s="43"/>
      <c r="K3" s="96"/>
    </row>
    <row r="4" spans="1:11">
      <c r="A4" s="384" t="s">
        <v>171</v>
      </c>
      <c r="B4" s="49">
        <f>IF(ISERROR('SEAP template'!B69),0,'SEAP template'!B69)</f>
        <v>25187.63946270071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5441.1670588235302</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0.21710133898307113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7773.0957983193293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32708.571428571431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611.63800000000003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611.63800000000003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0.21710133898307113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132.78742877292765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16960.011999999999</v>
      </c>
      <c r="C5" s="17">
        <f>IF(ISERROR('Eigen informatie GS &amp; warmtenet'!B57),0,'Eigen informatie GS &amp; warmtenet'!B57)</f>
        <v>0</v>
      </c>
      <c r="D5" s="30">
        <f>(SUM(HH_hh_gas_kWh,HH_rest_gas_kWh)/1000)*0.902</f>
        <v>44827.674594827236</v>
      </c>
      <c r="E5" s="17">
        <f>B46*B57</f>
        <v>1924.4086219984647</v>
      </c>
      <c r="F5" s="17">
        <f>B51*B62</f>
        <v>13438.139680216351</v>
      </c>
      <c r="G5" s="18"/>
      <c r="H5" s="17"/>
      <c r="I5" s="17"/>
      <c r="J5" s="17">
        <f>B50*B61+C50*C61</f>
        <v>179.38854113685204</v>
      </c>
      <c r="K5" s="17"/>
      <c r="L5" s="17"/>
      <c r="M5" s="17"/>
      <c r="N5" s="17">
        <f>B48*B59+C48*C59</f>
        <v>8607.7313733978335</v>
      </c>
      <c r="O5" s="17">
        <f>B69*B70*B71</f>
        <v>148.51666666666668</v>
      </c>
      <c r="P5" s="17">
        <f>B77*B78*B79/1000-B77*B78*B79/1000/B80</f>
        <v>381.33333333333337</v>
      </c>
    </row>
    <row r="6" spans="1:16">
      <c r="A6" s="16" t="s">
        <v>631</v>
      </c>
      <c r="B6" s="844">
        <f>kWh_PV_kleiner_dan_10kW</f>
        <v>1812.9059457444832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18772.917945744481</v>
      </c>
      <c r="C8" s="21">
        <f>C5</f>
        <v>0</v>
      </c>
      <c r="D8" s="21">
        <f>D5</f>
        <v>44827.674594827236</v>
      </c>
      <c r="E8" s="21">
        <f>E5</f>
        <v>1924.4086219984647</v>
      </c>
      <c r="F8" s="21">
        <f>F5</f>
        <v>13438.139680216351</v>
      </c>
      <c r="G8" s="21"/>
      <c r="H8" s="21"/>
      <c r="I8" s="21"/>
      <c r="J8" s="21">
        <f>J5</f>
        <v>179.38854113685204</v>
      </c>
      <c r="K8" s="21"/>
      <c r="L8" s="21">
        <f>L5</f>
        <v>0</v>
      </c>
      <c r="M8" s="21">
        <f>M5</f>
        <v>0</v>
      </c>
      <c r="N8" s="21">
        <f>N5</f>
        <v>8607.7313733978335</v>
      </c>
      <c r="O8" s="21">
        <f>O5</f>
        <v>148.51666666666668</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0.21710133898307113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4075.6256226404516</v>
      </c>
      <c r="C12" s="23">
        <f ca="1">C10*C8</f>
        <v>0</v>
      </c>
      <c r="D12" s="23">
        <f>D8*D10</f>
        <v>9055.1902681551019</v>
      </c>
      <c r="E12" s="23">
        <f>E10*E8</f>
        <v>436.84075719365148</v>
      </c>
      <c r="F12" s="23">
        <f>F10*F8</f>
        <v>3587.9832946177658</v>
      </c>
      <c r="G12" s="23"/>
      <c r="H12" s="23"/>
      <c r="I12" s="23"/>
      <c r="J12" s="23">
        <f>J10*J8</f>
        <v>63.503543562445621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2012</v>
      </c>
      <c r="C18" s="166" t="s">
        <v>111</v>
      </c>
      <c r="D18" s="228"/>
      <c r="E18" s="15"/>
    </row>
    <row r="19" spans="1:7">
      <c r="A19" s="171" t="s">
        <v>72</v>
      </c>
      <c r="B19" s="37">
        <f>aantalw2001_ander</f>
        <v>4</v>
      </c>
      <c r="C19" s="166" t="s">
        <v>111</v>
      </c>
      <c r="D19" s="229"/>
      <c r="E19" s="15"/>
    </row>
    <row r="20" spans="1:7">
      <c r="A20" s="171" t="s">
        <v>73</v>
      </c>
      <c r="B20" s="37">
        <f>aantalw2001_propaan</f>
        <v>39</v>
      </c>
      <c r="C20" s="167">
        <f>IF(ISERROR(B20/SUM($B$20,$B$21,$B$22)*100),0,B20/SUM($B$20,$B$21,$B$22)*100)</f>
        <v>14.606741573033707</v>
      </c>
      <c r="D20" s="229"/>
      <c r="E20" s="15"/>
    </row>
    <row r="21" spans="1:7">
      <c r="A21" s="171" t="s">
        <v>74</v>
      </c>
      <c r="B21" s="37">
        <f>aantalw2001_elektriciteit</f>
        <v>182</v>
      </c>
      <c r="C21" s="167">
        <f>IF(ISERROR(B21/SUM($B$20,$B$21,$B$22)*100),0,B21/SUM($B$20,$B$21,$B$22)*100)</f>
        <v>68.164794007490642</v>
      </c>
      <c r="D21" s="229"/>
      <c r="E21" s="15"/>
    </row>
    <row r="22" spans="1:7">
      <c r="A22" s="171" t="s">
        <v>75</v>
      </c>
      <c r="B22" s="37">
        <f>aantalw2001_hout</f>
        <v>46</v>
      </c>
      <c r="C22" s="167">
        <f>IF(ISERROR(B22/SUM($B$20,$B$21,$B$22)*100),0,B22/SUM($B$20,$B$21,$B$22)*100)</f>
        <v>17.228464419475657</v>
      </c>
      <c r="D22" s="229"/>
      <c r="E22" s="15"/>
    </row>
    <row r="23" spans="1:7">
      <c r="A23" s="171" t="s">
        <v>76</v>
      </c>
      <c r="B23" s="37">
        <f>aantalw2001_niet_gespec</f>
        <v>34</v>
      </c>
      <c r="C23" s="166" t="s">
        <v>111</v>
      </c>
      <c r="D23" s="228"/>
      <c r="E23" s="15"/>
    </row>
    <row r="24" spans="1:7">
      <c r="A24" s="171" t="s">
        <v>77</v>
      </c>
      <c r="B24" s="37">
        <f>aantalw2001_steenkool</f>
        <v>111</v>
      </c>
      <c r="C24" s="166" t="s">
        <v>111</v>
      </c>
      <c r="D24" s="229"/>
      <c r="E24" s="15"/>
    </row>
    <row r="25" spans="1:7">
      <c r="A25" s="171" t="s">
        <v>78</v>
      </c>
      <c r="B25" s="37">
        <f>aantalw2001_stookolie</f>
        <v>1499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4525</v>
      </c>
      <c r="C28" s="36"/>
      <c r="D28" s="228"/>
    </row>
    <row r="29" spans="1:7" s="15" customFormat="1">
      <c r="A29" s="230" t="s">
        <v>741</v>
      </c>
      <c r="B29" s="37">
        <f>SUM(HH_hh_gas_aantal,HH_rest_gas_aantal)</f>
        <v>3071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3071</v>
      </c>
      <c r="C32" s="167">
        <f>IF(ISERROR(B32/SUM($B$32,$B$34,$B$35,$B$36,$B$38,$B$39)*100),0,B32/SUM($B$32,$B$34,$B$35,$B$36,$B$38,$B$39)*100)</f>
        <v>68.168701442841311</v>
      </c>
      <c r="D32" s="233"/>
      <c r="G32" s="15"/>
    </row>
    <row r="33" spans="1:7">
      <c r="A33" s="171" t="s">
        <v>72</v>
      </c>
      <c r="B33" s="34" t="s">
        <v>111</v>
      </c>
      <c r="C33" s="167"/>
      <c r="D33" s="233"/>
      <c r="G33" s="15"/>
    </row>
    <row r="34" spans="1:7">
      <c r="A34" s="171" t="s">
        <v>73</v>
      </c>
      <c r="B34" s="33">
        <f>IF((($B$28-$B$32-$B$39-$B$77-$B$38)*C20/100)&lt;0,0,($B$28-$B$32-$B$39-$B$77-$B$38)*C20/100)</f>
        <v>128.97752808988764</v>
      </c>
      <c r="C34" s="167">
        <f>IF(ISERROR(B34/SUM($B$32,$B$34,$B$35,$B$36,$B$38,$B$39)*100),0,B34/SUM($B$32,$B$34,$B$35,$B$36,$B$38,$B$39)*100)</f>
        <v>2.8629861951140438</v>
      </c>
      <c r="D34" s="233"/>
      <c r="G34" s="15"/>
    </row>
    <row r="35" spans="1:7">
      <c r="A35" s="171" t="s">
        <v>74</v>
      </c>
      <c r="B35" s="33">
        <f>IF((($B$28-$B$32-$B$39-$B$77-$B$38)*C21/100)&lt;0,0,($B$28-$B$32-$B$39-$B$77-$B$38)*C21/100)</f>
        <v>601.89513108614233</v>
      </c>
      <c r="C35" s="167">
        <f>IF(ISERROR(B35/SUM($B$32,$B$34,$B$35,$B$36,$B$38,$B$39)*100),0,B35/SUM($B$32,$B$34,$B$35,$B$36,$B$38,$B$39)*100)</f>
        <v>13.360602243865538</v>
      </c>
      <c r="D35" s="233"/>
      <c r="G35" s="15"/>
    </row>
    <row r="36" spans="1:7">
      <c r="A36" s="171" t="s">
        <v>75</v>
      </c>
      <c r="B36" s="33">
        <f>IF((($B$28-$B$32-$B$39-$B$77-$B$38)*C22/100)&lt;0,0,($B$28-$B$32-$B$39-$B$77-$B$38)*C22/100)</f>
        <v>152.12734082397003</v>
      </c>
      <c r="C36" s="167">
        <f>IF(ISERROR(B36/SUM($B$32,$B$34,$B$35,$B$36,$B$38,$B$39)*100),0,B36/SUM($B$32,$B$34,$B$35,$B$36,$B$38,$B$39)*100)</f>
        <v>3.3768555121857946</v>
      </c>
      <c r="D36" s="233"/>
      <c r="G36" s="15"/>
    </row>
    <row r="37" spans="1:7">
      <c r="A37" s="171" t="s">
        <v>76</v>
      </c>
      <c r="B37" s="34" t="s">
        <v>111</v>
      </c>
      <c r="C37" s="167"/>
      <c r="D37" s="173"/>
      <c r="G37" s="15"/>
    </row>
    <row r="38" spans="1:7">
      <c r="A38" s="171" t="s">
        <v>77</v>
      </c>
      <c r="B38" s="33">
        <f>IF((B24-(B29-B18)*0.1)&lt;0,0,B24-(B29-B18)*0.1)</f>
        <v>5.0999999999999943</v>
      </c>
      <c r="C38" s="167">
        <f>IF(ISERROR(B38/SUM($B$32,$B$34,$B$35,$B$36,$B$38,$B$39)*100),0,B38/SUM($B$32,$B$34,$B$35,$B$36,$B$38,$B$39)*100)</f>
        <v>0.11320754716981121</v>
      </c>
      <c r="D38" s="234"/>
      <c r="G38" s="15"/>
    </row>
    <row r="39" spans="1:7">
      <c r="A39" s="171" t="s">
        <v>78</v>
      </c>
      <c r="B39" s="33">
        <f>IF((B25-(B29-B18))&lt;0,0,B25-(B29-B18)*0.9)</f>
        <v>545.9</v>
      </c>
      <c r="C39" s="167">
        <f>IF(ISERROR(B39/SUM($B$32,$B$34,$B$35,$B$36,$B$38,$B$39)*100),0,B39/SUM($B$32,$B$34,$B$35,$B$36,$B$38,$B$39)*100)</f>
        <v>12.117647058823531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3071</v>
      </c>
      <c r="C44" s="34" t="s">
        <v>111</v>
      </c>
      <c r="D44" s="174"/>
    </row>
    <row r="45" spans="1:7">
      <c r="A45" s="171" t="s">
        <v>72</v>
      </c>
      <c r="B45" s="33" t="str">
        <f t="shared" si="0"/>
        <v>-</v>
      </c>
      <c r="C45" s="34" t="s">
        <v>111</v>
      </c>
      <c r="D45" s="174"/>
    </row>
    <row r="46" spans="1:7">
      <c r="A46" s="171" t="s">
        <v>73</v>
      </c>
      <c r="B46" s="33">
        <f t="shared" si="0"/>
        <v>128.97752808988764</v>
      </c>
      <c r="C46" s="34" t="s">
        <v>111</v>
      </c>
      <c r="D46" s="174"/>
    </row>
    <row r="47" spans="1:7">
      <c r="A47" s="171" t="s">
        <v>74</v>
      </c>
      <c r="B47" s="33">
        <f t="shared" si="0"/>
        <v>601.89513108614233</v>
      </c>
      <c r="C47" s="34" t="s">
        <v>111</v>
      </c>
      <c r="D47" s="174"/>
    </row>
    <row r="48" spans="1:7">
      <c r="A48" s="171" t="s">
        <v>75</v>
      </c>
      <c r="B48" s="33">
        <f t="shared" si="0"/>
        <v>152.12734082397003</v>
      </c>
      <c r="C48" s="33">
        <f>B48*10</f>
        <v>1521.2734082397003</v>
      </c>
      <c r="D48" s="234"/>
    </row>
    <row r="49" spans="1:6">
      <c r="A49" s="171" t="s">
        <v>76</v>
      </c>
      <c r="B49" s="33" t="str">
        <f t="shared" si="0"/>
        <v>-</v>
      </c>
      <c r="C49" s="34" t="s">
        <v>111</v>
      </c>
      <c r="D49" s="234"/>
    </row>
    <row r="50" spans="1:6">
      <c r="A50" s="171" t="s">
        <v>77</v>
      </c>
      <c r="B50" s="33">
        <f t="shared" si="0"/>
        <v>5.0999999999999943</v>
      </c>
      <c r="C50" s="33">
        <f>B50*2</f>
        <v>10.199999999999989</v>
      </c>
      <c r="D50" s="234"/>
    </row>
    <row r="51" spans="1:6">
      <c r="A51" s="171" t="s">
        <v>78</v>
      </c>
      <c r="B51" s="33">
        <f t="shared" si="0"/>
        <v>545.9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9938.9438699999992</v>
      </c>
      <c r="C5" s="17">
        <f>IF(ISERROR('Eigen informatie GS &amp; warmtenet'!B58),0,'Eigen informatie GS &amp; warmtenet'!B58)</f>
        <v>0</v>
      </c>
      <c r="D5" s="30">
        <f>SUM(D6:D12)</f>
        <v>9557.0354969711752</v>
      </c>
      <c r="E5" s="17">
        <f>SUM(E6:E12)</f>
        <v>105.06177604577398</v>
      </c>
      <c r="F5" s="17">
        <f>SUM(F6:F12)</f>
        <v>1526.0853481707184</v>
      </c>
      <c r="G5" s="18"/>
      <c r="H5" s="17"/>
      <c r="I5" s="17"/>
      <c r="J5" s="17">
        <f>SUM(J6:J12)</f>
        <v>0</v>
      </c>
      <c r="K5" s="17"/>
      <c r="L5" s="17"/>
      <c r="M5" s="17"/>
      <c r="N5" s="17">
        <f>SUM(N6:N12)</f>
        <v>1328.5711360995767</v>
      </c>
      <c r="O5" s="17">
        <f>B38*B39*B40</f>
        <v>0</v>
      </c>
      <c r="P5" s="17">
        <f>B46*B47*B48/1000-B46*B47*B48/1000/B49</f>
        <v>0</v>
      </c>
      <c r="R5" s="32"/>
    </row>
    <row r="6" spans="1:18">
      <c r="A6" s="32" t="s">
        <v>54</v>
      </c>
      <c r="B6" s="37">
        <f>B26</f>
        <v>1685.7260000000001</v>
      </c>
      <c r="C6" s="33"/>
      <c r="D6" s="37">
        <f>IF(ISERROR(TER_kantoor_gas_kWh/1000),0,TER_kantoor_gas_kWh/1000)*0.902</f>
        <v>2925.7036067852973</v>
      </c>
      <c r="E6" s="33">
        <f>$C$26*'E Balans VL '!I12/100/3.6*1000000</f>
        <v>4.8837955530739166</v>
      </c>
      <c r="F6" s="33">
        <f>$C$26*('E Balans VL '!L12+'E Balans VL '!N12)/100/3.6*1000000</f>
        <v>190.7870437767134</v>
      </c>
      <c r="G6" s="34"/>
      <c r="H6" s="33"/>
      <c r="I6" s="33"/>
      <c r="J6" s="33">
        <f>$C$26*('E Balans VL '!D12+'E Balans VL '!E12)/100/3.6*1000000</f>
        <v>0</v>
      </c>
      <c r="K6" s="33"/>
      <c r="L6" s="33"/>
      <c r="M6" s="33"/>
      <c r="N6" s="33">
        <f>$C$26*'E Balans VL '!Y12/100/3.6*1000000</f>
        <v>16.872875161625039</v>
      </c>
      <c r="O6" s="33"/>
      <c r="P6" s="33"/>
      <c r="R6" s="32"/>
    </row>
    <row r="7" spans="1:18">
      <c r="A7" s="32" t="s">
        <v>53</v>
      </c>
      <c r="B7" s="37">
        <f t="shared" ref="B7:B12" si="0">B27</f>
        <v>888.95280000000002</v>
      </c>
      <c r="C7" s="33"/>
      <c r="D7" s="37">
        <f>IF(ISERROR(TER_horeca_gas_kWh/1000),0,TER_horeca_gas_kWh/1000)*0.902</f>
        <v>939.73702825145756</v>
      </c>
      <c r="E7" s="33">
        <f>$C$27*'E Balans VL '!I9/100/3.6*1000000</f>
        <v>37.315754858963942</v>
      </c>
      <c r="F7" s="33">
        <f>$C$27*('E Balans VL '!L9+'E Balans VL '!N9)/100/3.6*1000000</f>
        <v>191.00973877409035</v>
      </c>
      <c r="G7" s="34"/>
      <c r="H7" s="33"/>
      <c r="I7" s="33"/>
      <c r="J7" s="33">
        <f>$C$27*('E Balans VL '!D9+'E Balans VL '!E9)/100/3.6*1000000</f>
        <v>0</v>
      </c>
      <c r="K7" s="33"/>
      <c r="L7" s="33"/>
      <c r="M7" s="33"/>
      <c r="N7" s="33">
        <f>$C$27*'E Balans VL '!Y9/100/3.6*1000000</f>
        <v>0.22907536238573789</v>
      </c>
      <c r="O7" s="33"/>
      <c r="P7" s="33"/>
      <c r="R7" s="32"/>
    </row>
    <row r="8" spans="1:18">
      <c r="A8" s="6" t="s">
        <v>52</v>
      </c>
      <c r="B8" s="37">
        <f t="shared" si="0"/>
        <v>2873.741</v>
      </c>
      <c r="C8" s="33"/>
      <c r="D8" s="37">
        <f>IF(ISERROR(TER_handel_gas_kWh/1000),0,TER_handel_gas_kWh/1000)*0.902</f>
        <v>1308.3034805462325</v>
      </c>
      <c r="E8" s="33">
        <f>$C$28*'E Balans VL '!I13/100/3.6*1000000</f>
        <v>30.866370086645098</v>
      </c>
      <c r="F8" s="33">
        <f>$C$28*('E Balans VL '!L13+'E Balans VL '!N13)/100/3.6*1000000</f>
        <v>372.02950331397113</v>
      </c>
      <c r="G8" s="34"/>
      <c r="H8" s="33"/>
      <c r="I8" s="33"/>
      <c r="J8" s="33">
        <f>$C$28*('E Balans VL '!D13+'E Balans VL '!E13)/100/3.6*1000000</f>
        <v>0</v>
      </c>
      <c r="K8" s="33"/>
      <c r="L8" s="33"/>
      <c r="M8" s="33"/>
      <c r="N8" s="33">
        <f>$C$28*'E Balans VL '!Y13/100/3.6*1000000</f>
        <v>23.311943905081108</v>
      </c>
      <c r="O8" s="33"/>
      <c r="P8" s="33"/>
      <c r="R8" s="32"/>
    </row>
    <row r="9" spans="1:18">
      <c r="A9" s="32" t="s">
        <v>51</v>
      </c>
      <c r="B9" s="37">
        <f t="shared" si="0"/>
        <v>44.227069999999998</v>
      </c>
      <c r="C9" s="33"/>
      <c r="D9" s="37">
        <f>IF(ISERROR(TER_gezond_gas_kWh/1000),0,TER_gezond_gas_kWh/1000)*0.902</f>
        <v>103.58433852601578</v>
      </c>
      <c r="E9" s="33">
        <f>$C$29*'E Balans VL '!I10/100/3.6*1000000</f>
        <v>3.5207608250251723E-2</v>
      </c>
      <c r="F9" s="33">
        <f>$C$29*('E Balans VL '!L10+'E Balans VL '!N10)/100/3.6*1000000</f>
        <v>5.3764394972289837</v>
      </c>
      <c r="G9" s="34"/>
      <c r="H9" s="33"/>
      <c r="I9" s="33"/>
      <c r="J9" s="33">
        <f>$C$29*('E Balans VL '!D10+'E Balans VL '!E10)/100/3.6*1000000</f>
        <v>0</v>
      </c>
      <c r="K9" s="33"/>
      <c r="L9" s="33"/>
      <c r="M9" s="33"/>
      <c r="N9" s="33">
        <f>$C$29*'E Balans VL '!Y10/100/3.6*1000000</f>
        <v>0.35725455426766645</v>
      </c>
      <c r="O9" s="33"/>
      <c r="P9" s="33"/>
      <c r="R9" s="32"/>
    </row>
    <row r="10" spans="1:18">
      <c r="A10" s="32" t="s">
        <v>50</v>
      </c>
      <c r="B10" s="37">
        <f t="shared" si="0"/>
        <v>1467.5540000000001</v>
      </c>
      <c r="C10" s="33"/>
      <c r="D10" s="37">
        <f>IF(ISERROR(TER_ander_gas_kWh/1000),0,TER_ander_gas_kWh/1000)*0.902</f>
        <v>526.01350189133495</v>
      </c>
      <c r="E10" s="33">
        <f>$C$30*'E Balans VL '!I14/100/3.6*1000000</f>
        <v>5.0293846534046125</v>
      </c>
      <c r="F10" s="33">
        <f>$C$30*('E Balans VL '!L14+'E Balans VL '!N14)/100/3.6*1000000</f>
        <v>327.79192923016018</v>
      </c>
      <c r="G10" s="34"/>
      <c r="H10" s="33"/>
      <c r="I10" s="33"/>
      <c r="J10" s="33">
        <f>$C$30*('E Balans VL '!D14+'E Balans VL '!E14)/100/3.6*1000000</f>
        <v>0</v>
      </c>
      <c r="K10" s="33"/>
      <c r="L10" s="33"/>
      <c r="M10" s="33"/>
      <c r="N10" s="33">
        <f>$C$30*'E Balans VL '!Y14/100/3.6*1000000</f>
        <v>1033.7530546907897</v>
      </c>
      <c r="O10" s="33"/>
      <c r="P10" s="33"/>
      <c r="R10" s="32"/>
    </row>
    <row r="11" spans="1:18">
      <c r="A11" s="32" t="s">
        <v>55</v>
      </c>
      <c r="B11" s="37">
        <f t="shared" si="0"/>
        <v>0</v>
      </c>
      <c r="C11" s="33"/>
      <c r="D11" s="37">
        <f>IF(ISERROR(TER_onderwijs_gas_kWh/1000),0,TER_onderwijs_gas_kWh/1000)*0.902</f>
        <v>126.58410825564727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2978.7429999999999</v>
      </c>
      <c r="C12" s="33"/>
      <c r="D12" s="37">
        <f>IF(ISERROR(TER_rest_gas_kWh/1000),0,TER_rest_gas_kWh/1000)*0.902</f>
        <v>3627.10943271519</v>
      </c>
      <c r="E12" s="33">
        <f>$C$32*'E Balans VL '!I8/100/3.6*1000000</f>
        <v>26.931263285436177</v>
      </c>
      <c r="F12" s="33">
        <f>$C$32*('E Balans VL '!L8+'E Balans VL '!N8)/100/3.6*1000000</f>
        <v>439.09069357855424</v>
      </c>
      <c r="G12" s="34"/>
      <c r="H12" s="33"/>
      <c r="I12" s="33"/>
      <c r="J12" s="33">
        <f>$C$32*('E Balans VL '!D8+'E Balans VL '!E8)/100/3.6*1000000</f>
        <v>0</v>
      </c>
      <c r="K12" s="33"/>
      <c r="L12" s="33"/>
      <c r="M12" s="33"/>
      <c r="N12" s="33">
        <f>$C$32*'E Balans VL '!Y8/100/3.6*1000000</f>
        <v>254.04693242542757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9938.9438699999992</v>
      </c>
      <c r="C16" s="21">
        <f t="shared" ca="1" si="1"/>
        <v>0</v>
      </c>
      <c r="D16" s="21">
        <f t="shared" ca="1" si="1"/>
        <v>9557.0354969711752</v>
      </c>
      <c r="E16" s="21">
        <f t="shared" si="1"/>
        <v>105.06177604577398</v>
      </c>
      <c r="F16" s="21">
        <f t="shared" ca="1" si="1"/>
        <v>1526.0853481707184</v>
      </c>
      <c r="G16" s="21">
        <f t="shared" si="1"/>
        <v>0</v>
      </c>
      <c r="H16" s="21">
        <f t="shared" si="1"/>
        <v>0</v>
      </c>
      <c r="I16" s="21">
        <f t="shared" si="1"/>
        <v>0</v>
      </c>
      <c r="J16" s="21">
        <f t="shared" si="1"/>
        <v>0</v>
      </c>
      <c r="K16" s="21">
        <f t="shared" si="1"/>
        <v>0</v>
      </c>
      <c r="L16" s="21">
        <f t="shared" ca="1" si="1"/>
        <v>0</v>
      </c>
      <c r="M16" s="21">
        <f t="shared" si="1"/>
        <v>0</v>
      </c>
      <c r="N16" s="21">
        <f t="shared" ca="1" si="1"/>
        <v>1328.5711360995767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0.21710133898307113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2157.7580222545866</v>
      </c>
      <c r="C20" s="23">
        <f t="shared" ref="C20:P20" ca="1" si="2">C16*C18</f>
        <v>0</v>
      </c>
      <c r="D20" s="23">
        <f t="shared" ca="1" si="2"/>
        <v>1930.5211703881776</v>
      </c>
      <c r="E20" s="23">
        <f t="shared" si="2"/>
        <v>23.849023162390694</v>
      </c>
      <c r="F20" s="23">
        <f t="shared" ca="1" si="2"/>
        <v>407.46478796158181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1685.7260000000001</v>
      </c>
      <c r="C26" s="39">
        <f>IF(ISERROR(B26*3.6/1000000/'E Balans VL '!Z12*100),0,B26*3.6/1000000/'E Balans VL '!Z12*100)</f>
        <v>3.7028920484412919E-2</v>
      </c>
      <c r="D26" s="237" t="s">
        <v>692</v>
      </c>
      <c r="F26" s="6"/>
    </row>
    <row r="27" spans="1:18">
      <c r="A27" s="231" t="s">
        <v>53</v>
      </c>
      <c r="B27" s="33">
        <f>IF(ISERROR(TER_horeca_ele_kWh/1000),0,TER_horeca_ele_kWh/1000)</f>
        <v>888.95280000000002</v>
      </c>
      <c r="C27" s="39">
        <f>IF(ISERROR(B27*3.6/1000000/'E Balans VL '!Z9*100),0,B27*3.6/1000000/'E Balans VL '!Z9*100)</f>
        <v>7.1436218666170587E-2</v>
      </c>
      <c r="D27" s="237" t="s">
        <v>692</v>
      </c>
      <c r="F27" s="6"/>
    </row>
    <row r="28" spans="1:18">
      <c r="A28" s="171" t="s">
        <v>52</v>
      </c>
      <c r="B28" s="33">
        <f>IF(ISERROR(TER_handel_ele_kWh/1000),0,TER_handel_ele_kWh/1000)</f>
        <v>2873.741</v>
      </c>
      <c r="C28" s="39">
        <f>IF(ISERROR(B28*3.6/1000000/'E Balans VL '!Z13*100),0,B28*3.6/1000000/'E Balans VL '!Z13*100)</f>
        <v>8.4974513732383891E-2</v>
      </c>
      <c r="D28" s="237" t="s">
        <v>692</v>
      </c>
      <c r="F28" s="6"/>
    </row>
    <row r="29" spans="1:18">
      <c r="A29" s="231" t="s">
        <v>51</v>
      </c>
      <c r="B29" s="33">
        <f>IF(ISERROR(TER_gezond_ele_kWh/1000),0,TER_gezond_ele_kWh/1000)</f>
        <v>44.227069999999998</v>
      </c>
      <c r="C29" s="39">
        <f>IF(ISERROR(B29*3.6/1000000/'E Balans VL '!Z10*100),0,B29*3.6/1000000/'E Balans VL '!Z10*100)</f>
        <v>4.9832489467062525E-3</v>
      </c>
      <c r="D29" s="237" t="s">
        <v>692</v>
      </c>
      <c r="F29" s="6"/>
    </row>
    <row r="30" spans="1:18">
      <c r="A30" s="231" t="s">
        <v>50</v>
      </c>
      <c r="B30" s="33">
        <f>IF(ISERROR(TER_ander_ele_kWh/1000),0,TER_ander_ele_kWh/1000)</f>
        <v>1467.5540000000001</v>
      </c>
      <c r="C30" s="39">
        <f>IF(ISERROR(B30*3.6/1000000/'E Balans VL '!Z14*100),0,B30*3.6/1000000/'E Balans VL '!Z14*100)</f>
        <v>0.1109886003497538</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2978.7429999999999</v>
      </c>
      <c r="C32" s="39">
        <f>IF(ISERROR(B32*3.6/1000000/'E Balans VL '!Z8*100),0,B32*3.6/1000000/'E Balans VL '!Z8*100)</f>
        <v>2.5094157439835306E-2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1845.15398</v>
      </c>
      <c r="C5" s="17">
        <f>IF(ISERROR('Eigen informatie GS &amp; warmtenet'!B59),0,'Eigen informatie GS &amp; warmtenet'!B59)</f>
        <v>0</v>
      </c>
      <c r="D5" s="30">
        <f>SUM(D6:D15)</f>
        <v>1578.7905159637924</v>
      </c>
      <c r="E5" s="17">
        <f>SUM(E6:E15)</f>
        <v>304.98932665017418</v>
      </c>
      <c r="F5" s="17">
        <f>SUM(F6:F15)</f>
        <v>1459.920236012518</v>
      </c>
      <c r="G5" s="18"/>
      <c r="H5" s="17"/>
      <c r="I5" s="17"/>
      <c r="J5" s="17">
        <f>SUM(J6:J15)</f>
        <v>8.7896773270077393</v>
      </c>
      <c r="K5" s="17"/>
      <c r="L5" s="17"/>
      <c r="M5" s="17"/>
      <c r="N5" s="17">
        <f>SUM(N6:N15)</f>
        <v>565.95651907373917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80.27628</v>
      </c>
      <c r="C8" s="33"/>
      <c r="D8" s="37">
        <f>IF( ISERROR(IND_metaal_Gas_kWH/1000),0,IND_metaal_Gas_kWH/1000)*0.902</f>
        <v>0</v>
      </c>
      <c r="E8" s="33">
        <f>C30*'E Balans VL '!I18/100/3.6*1000000</f>
        <v>2.009034327439196</v>
      </c>
      <c r="F8" s="33">
        <f>C30*'E Balans VL '!L18/100/3.6*1000000+C30*'E Balans VL '!N18/100/3.6*1000000</f>
        <v>25.158985466752661</v>
      </c>
      <c r="G8" s="34"/>
      <c r="H8" s="33"/>
      <c r="I8" s="33"/>
      <c r="J8" s="40">
        <f>C30*'E Balans VL '!D18/100/3.6*1000000+C30*'E Balans VL '!E18/100/3.6*1000000</f>
        <v>0</v>
      </c>
      <c r="K8" s="33"/>
      <c r="L8" s="33"/>
      <c r="M8" s="33"/>
      <c r="N8" s="33">
        <f>C30*'E Balans VL '!Y18/100/3.6*1000000</f>
        <v>2.0167484887135623</v>
      </c>
      <c r="O8" s="33"/>
      <c r="P8" s="33"/>
      <c r="R8" s="32"/>
    </row>
    <row r="9" spans="1:18">
      <c r="A9" s="6" t="s">
        <v>33</v>
      </c>
      <c r="B9" s="37">
        <f t="shared" si="0"/>
        <v>1002.837</v>
      </c>
      <c r="C9" s="33"/>
      <c r="D9" s="37">
        <f>IF( ISERROR(IND_andere_gas_kWh/1000),0,IND_andere_gas_kWh/1000)*0.902</f>
        <v>705.14600403342217</v>
      </c>
      <c r="E9" s="33">
        <f>C31*'E Balans VL '!I19/100/3.6*1000000</f>
        <v>275.73904358469315</v>
      </c>
      <c r="F9" s="33">
        <f>C31*'E Balans VL '!L19/100/3.6*1000000+C31*'E Balans VL '!N19/100/3.6*1000000</f>
        <v>790.41006216718699</v>
      </c>
      <c r="G9" s="34"/>
      <c r="H9" s="33"/>
      <c r="I9" s="33"/>
      <c r="J9" s="40">
        <f>C31*'E Balans VL '!D19/100/3.6*1000000+C31*'E Balans VL '!E19/100/3.6*1000000</f>
        <v>0</v>
      </c>
      <c r="K9" s="33"/>
      <c r="L9" s="33"/>
      <c r="M9" s="33"/>
      <c r="N9" s="33">
        <f>C31*'E Balans VL '!Y19/100/3.6*1000000</f>
        <v>324.64480736725466</v>
      </c>
      <c r="O9" s="33"/>
      <c r="P9" s="33"/>
      <c r="R9" s="32"/>
    </row>
    <row r="10" spans="1:18">
      <c r="A10" s="6" t="s">
        <v>41</v>
      </c>
      <c r="B10" s="37">
        <f t="shared" si="0"/>
        <v>283.34590000000003</v>
      </c>
      <c r="C10" s="33"/>
      <c r="D10" s="37">
        <f>IF( ISERROR(IND_voed_gas_kWh/1000),0,IND_voed_gas_kWh/1000)*0.902</f>
        <v>448.28416719149004</v>
      </c>
      <c r="E10" s="33">
        <f>C32*'E Balans VL '!I20/100/3.6*1000000</f>
        <v>2.8885553543530018</v>
      </c>
      <c r="F10" s="33">
        <f>C32*'E Balans VL '!L20/100/3.6*1000000+C32*'E Balans VL '!N20/100/3.6*1000000</f>
        <v>535.23863294246371</v>
      </c>
      <c r="G10" s="34"/>
      <c r="H10" s="33"/>
      <c r="I10" s="33"/>
      <c r="J10" s="40">
        <f>C32*'E Balans VL '!D20/100/3.6*1000000+C32*'E Balans VL '!E20/100/3.6*1000000</f>
        <v>6.7813944989822064</v>
      </c>
      <c r="K10" s="33"/>
      <c r="L10" s="33"/>
      <c r="M10" s="33"/>
      <c r="N10" s="33">
        <f>C32*'E Balans VL '!Y20/100/3.6*1000000</f>
        <v>149.35592674556003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478.69479999999999</v>
      </c>
      <c r="C15" s="33"/>
      <c r="D15" s="37">
        <f>IF( ISERROR(IND_rest_gas_kWh/1000),0,IND_rest_gas_kWh/1000)*0.902</f>
        <v>425.36034473888031</v>
      </c>
      <c r="E15" s="33">
        <f>C37*'E Balans VL '!I15/100/3.6*1000000</f>
        <v>24.352693383688795</v>
      </c>
      <c r="F15" s="33">
        <f>C37*'E Balans VL '!L15/100/3.6*1000000+C37*'E Balans VL '!N15/100/3.6*1000000</f>
        <v>109.11255543611452</v>
      </c>
      <c r="G15" s="34"/>
      <c r="H15" s="33"/>
      <c r="I15" s="33"/>
      <c r="J15" s="40">
        <f>C37*'E Balans VL '!D15/100/3.6*1000000+C37*'E Balans VL '!E15/100/3.6*1000000</f>
        <v>2.0082828280255334</v>
      </c>
      <c r="K15" s="33"/>
      <c r="L15" s="33"/>
      <c r="M15" s="33"/>
      <c r="N15" s="33">
        <f>C37*'E Balans VL '!Y15/100/3.6*1000000</f>
        <v>89.93903647221093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1845.15398</v>
      </c>
      <c r="C18" s="21">
        <f>C5+C16</f>
        <v>0</v>
      </c>
      <c r="D18" s="21">
        <f>MAX((D5+D16),0)</f>
        <v>1578.7905159637924</v>
      </c>
      <c r="E18" s="21">
        <f>MAX((E5+E16),0)</f>
        <v>304.98932665017418</v>
      </c>
      <c r="F18" s="21">
        <f>MAX((F5+F16),0)</f>
        <v>1459.920236012518</v>
      </c>
      <c r="G18" s="21"/>
      <c r="H18" s="21"/>
      <c r="I18" s="21"/>
      <c r="J18" s="21">
        <f>MAX((J5+J16),0)</f>
        <v>8.7896773270077393</v>
      </c>
      <c r="K18" s="21"/>
      <c r="L18" s="21">
        <f>MAX((L5+L16),0)</f>
        <v>0</v>
      </c>
      <c r="M18" s="21"/>
      <c r="N18" s="21">
        <f>MAX((N5+N16),0)</f>
        <v>565.95651907373917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0.21710133898307113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400.58539968794287</v>
      </c>
      <c r="C22" s="23">
        <f ca="1">C18*C20</f>
        <v>0</v>
      </c>
      <c r="D22" s="23">
        <f>D18*D20</f>
        <v>318.91568422468606</v>
      </c>
      <c r="E22" s="23">
        <f>E18*E20</f>
        <v>69.232577149589545</v>
      </c>
      <c r="F22" s="23">
        <f>F18*F20</f>
        <v>389.79870301534231</v>
      </c>
      <c r="G22" s="23"/>
      <c r="H22" s="23"/>
      <c r="I22" s="23"/>
      <c r="J22" s="23">
        <f>J18*J20</f>
        <v>3.1115457737607395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80.27628</v>
      </c>
      <c r="C30" s="39">
        <f>IF(ISERROR(B30*3.6/1000000/'E Balans VL '!Z18*100),0,B30*3.6/1000000/'E Balans VL '!Z18*100)</f>
        <v>1.1236003963414846E-2</v>
      </c>
      <c r="D30" s="237" t="s">
        <v>692</v>
      </c>
    </row>
    <row r="31" spans="1:18">
      <c r="A31" s="6" t="s">
        <v>33</v>
      </c>
      <c r="B31" s="37">
        <f>IF( ISERROR(IND_ander_ele_kWh/1000),0,IND_ander_ele_kWh/1000)</f>
        <v>1002.837</v>
      </c>
      <c r="C31" s="39">
        <f>IF(ISERROR(B31*3.6/1000000/'E Balans VL '!Z19*100),0,B31*3.6/1000000/'E Balans VL '!Z19*100)</f>
        <v>4.3894012806725488E-2</v>
      </c>
      <c r="D31" s="237" t="s">
        <v>692</v>
      </c>
    </row>
    <row r="32" spans="1:18">
      <c r="A32" s="171" t="s">
        <v>41</v>
      </c>
      <c r="B32" s="37">
        <f>IF( ISERROR(IND_voed_ele_kWh/1000),0,IND_voed_ele_kWh/1000)</f>
        <v>283.34590000000003</v>
      </c>
      <c r="C32" s="39">
        <f>IF(ISERROR(B32*3.6/1000000/'E Balans VL '!Z20*100),0,B32*3.6/1000000/'E Balans VL '!Z20*100)</f>
        <v>7.0147035386786807E-2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478.69479999999999</v>
      </c>
      <c r="C37" s="39">
        <f>IF(ISERROR(B37*3.6/1000000/'E Balans VL '!Z15*100),0,B37*3.6/1000000/'E Balans VL '!Z15*100)</f>
        <v>3.5494399859821524E-3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964.02933999999993</v>
      </c>
      <c r="C5" s="17">
        <f>'Eigen informatie GS &amp; warmtenet'!B60</f>
        <v>0</v>
      </c>
      <c r="D5" s="30">
        <f>IF(ISERROR(SUM(LB_lb_gas_kWh,LB_rest_gas_kWh,onbekend_gas_kWh)/1000),0,SUM(LB_lb_gas_kWh,LB_rest_gas_kWh,onbekend_gas_kWh)/1000)*0.902</f>
        <v>63207.948418364838</v>
      </c>
      <c r="E5" s="17">
        <f>B17*'E Balans VL '!I25/3.6*1000000/100</f>
        <v>8.9292435196831441</v>
      </c>
      <c r="F5" s="17">
        <f>B17*('E Balans VL '!L25/3.6*1000000+'E Balans VL '!N25/3.6*1000000)/100</f>
        <v>2445.9260829808072</v>
      </c>
      <c r="G5" s="18"/>
      <c r="H5" s="17"/>
      <c r="I5" s="17"/>
      <c r="J5" s="17">
        <f>('E Balans VL '!D25+'E Balans VL '!E25)/3.6*1000000*landbouw!B17/100</f>
        <v>147.79645642083437</v>
      </c>
      <c r="K5" s="17"/>
      <c r="L5" s="17">
        <f>L6*(-1)</f>
        <v>0</v>
      </c>
      <c r="M5" s="17"/>
      <c r="N5" s="17">
        <f>N6*(-1)</f>
        <v>0</v>
      </c>
      <c r="O5" s="17"/>
      <c r="P5" s="17"/>
      <c r="R5" s="32"/>
    </row>
    <row r="6" spans="1:18">
      <c r="A6" s="16" t="s">
        <v>494</v>
      </c>
      <c r="B6" s="17" t="s">
        <v>211</v>
      </c>
      <c r="C6" s="17">
        <f>'lokale energieproductie'!O91+'lokale energieproductie'!O60</f>
        <v>32708.571428571431</v>
      </c>
      <c r="D6" s="310">
        <f>('lokale energieproductie'!P60+'lokale energieproductie'!P91)*(-1)</f>
        <v>-65417.14285714287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964.02933999999993</v>
      </c>
      <c r="C8" s="21">
        <f>C5+C6</f>
        <v>32708.571428571431</v>
      </c>
      <c r="D8" s="21">
        <f>MAX((D5+D6),0)</f>
        <v>0</v>
      </c>
      <c r="E8" s="21">
        <f>MAX((E5+E6),0)</f>
        <v>8.9292435196831441</v>
      </c>
      <c r="F8" s="21">
        <f>MAX((F5+F6),0)</f>
        <v>2445.9260829808072</v>
      </c>
      <c r="G8" s="21"/>
      <c r="H8" s="21"/>
      <c r="I8" s="21"/>
      <c r="J8" s="21">
        <f>MAX((J5+J6),0)</f>
        <v>147.79645642083437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0.21710133898307113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209.29206053296633</v>
      </c>
      <c r="C12" s="23">
        <f ca="1">C8*C10</f>
        <v>7773.0957983193293</v>
      </c>
      <c r="D12" s="23">
        <f>D8*D10</f>
        <v>0</v>
      </c>
      <c r="E12" s="23">
        <f>E8*E10</f>
        <v>2.0269382789680739</v>
      </c>
      <c r="F12" s="23">
        <f>F8*F10</f>
        <v>653.0622641558756</v>
      </c>
      <c r="G12" s="23"/>
      <c r="H12" s="23"/>
      <c r="I12" s="23"/>
      <c r="J12" s="23">
        <f>J8*J10</f>
        <v>52.319945572975364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0.13706453119279188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145.92631248083592</v>
      </c>
      <c r="C26" s="247">
        <f>B26*'GWP N2O_CH4'!B5</f>
        <v>3064.4525620975542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39.57155978330961</v>
      </c>
      <c r="C27" s="247">
        <f>B27*'GWP N2O_CH4'!B5</f>
        <v>831.00275544950182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1.6487221984806733</v>
      </c>
      <c r="C28" s="247">
        <f>B28*'GWP N2O_CH4'!B4</f>
        <v>511.10388152900873</v>
      </c>
      <c r="D28" s="50"/>
    </row>
    <row r="29" spans="1:4">
      <c r="A29" s="41" t="s">
        <v>277</v>
      </c>
      <c r="B29" s="247">
        <f>B34*'ha_N2O bodem landbouw'!B4</f>
        <v>8.5329056332427076</v>
      </c>
      <c r="C29" s="247">
        <f>B29*'GWP N2O_CH4'!B4</f>
        <v>2645.2007463052391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1.9137804066894717E-3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2.4768493900865035E-5</v>
      </c>
      <c r="C5" s="464" t="s">
        <v>211</v>
      </c>
      <c r="D5" s="449">
        <f>SUM(D6:D11)</f>
        <v>6.2717084701408244E-5</v>
      </c>
      <c r="E5" s="449">
        <f>SUM(E6:E11)</f>
        <v>4.0210917705991306E-4</v>
      </c>
      <c r="F5" s="462" t="s">
        <v>211</v>
      </c>
      <c r="G5" s="449">
        <f>SUM(G6:G11)</f>
        <v>0.11251409932158911</v>
      </c>
      <c r="H5" s="449">
        <f>SUM(H6:H11)</f>
        <v>2.37666688360492E-2</v>
      </c>
      <c r="I5" s="464" t="s">
        <v>211</v>
      </c>
      <c r="J5" s="464" t="s">
        <v>211</v>
      </c>
      <c r="K5" s="464" t="s">
        <v>211</v>
      </c>
      <c r="L5" s="464" t="s">
        <v>211</v>
      </c>
      <c r="M5" s="449">
        <f>SUM(M6:M11)</f>
        <v>7.240058909871957E-3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2.1717588941137275E-5</v>
      </c>
      <c r="C6" s="450"/>
      <c r="D6" s="963">
        <f>vkm_2011_GW_PW*SUMIFS(TableVerdeelsleutelVkm[CNG],TableVerdeelsleutelVkm[Voertuigtype],"Lichte voertuigen")*SUMIFS(TableECFTransport[EnergieConsumptieFactor (PJ per km)],TableECFTransport[Index],CONCATENATE($A6,"_CNG_CNG"))</f>
        <v>5.023517422834619E-5</v>
      </c>
      <c r="E6" s="963">
        <f>vkm_2011_GW_PW*SUMIFS(TableVerdeelsleutelVkm[LPG],TableVerdeelsleutelVkm[Voertuigtype],"Lichte voertuigen")*SUMIFS(TableECFTransport[EnergieConsumptieFactor (PJ per km)],TableECFTransport[Index],CONCATENATE($A6,"_LPG_LPG"))</f>
        <v>3.2710111840301097E-4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6.7952837365863161E-2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1.9154500566096334E-2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4.5204192801692857E-3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2.9658713844629835E-2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1.0142741507529492E-5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1.7159247091311101E-3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3.0509049597277582E-6</v>
      </c>
      <c r="C8" s="450"/>
      <c r="D8" s="452">
        <f>vkm_2011_NGW_PW*SUMIFS(TableVerdeelsleutelVkm[CNG],TableVerdeelsleutelVkm[Voertuigtype],"Lichte voertuigen")*SUMIFS(TableECFTransport[EnergieConsumptieFactor (PJ per km)],TableECFTransport[Index],CONCATENATE($A8,"_CNG_CNG"))</f>
        <v>1.2481910473062055E-5</v>
      </c>
      <c r="E8" s="452">
        <f>vkm_2011_NGW_PW*SUMIFS(TableVerdeelsleutelVkm[LPG],TableVerdeelsleutelVkm[Voertuigtype],"Lichte voertuigen")*SUMIFS(TableECFTransport[EnergieConsumptieFactor (PJ per km)],TableECFTransport[Index],CONCATENATE($A8,"_LPG_LPG"))</f>
        <v>7.50080586569021E-5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1.4566454799492399E-2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4.6019167725647459E-3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9.8427020774472375E-4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3.3609331160371449E-4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1.087558805899371E-7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1.9444712826836873E-5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6.8801371946847327</v>
      </c>
      <c r="C14" s="21"/>
      <c r="D14" s="21">
        <f t="shared" ref="D14:M14" si="0">((D5)*10^9/3600)+D12</f>
        <v>17.421412417057848</v>
      </c>
      <c r="E14" s="21">
        <f t="shared" si="0"/>
        <v>111.69699362775363</v>
      </c>
      <c r="F14" s="21"/>
      <c r="G14" s="21">
        <f t="shared" si="0"/>
        <v>31253.916478219198</v>
      </c>
      <c r="H14" s="21">
        <f t="shared" si="0"/>
        <v>6601.8524544581105</v>
      </c>
      <c r="I14" s="21"/>
      <c r="J14" s="21"/>
      <c r="K14" s="21"/>
      <c r="L14" s="21"/>
      <c r="M14" s="21">
        <f t="shared" si="0"/>
        <v>2011.1274749644326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0.21710133898307113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1.4936869973532862</v>
      </c>
      <c r="C18" s="23"/>
      <c r="D18" s="23">
        <f t="shared" ref="D18:M18" si="1">D14*D16</f>
        <v>3.5191253082456857</v>
      </c>
      <c r="E18" s="23">
        <f t="shared" si="1"/>
        <v>25.355217553500076</v>
      </c>
      <c r="F18" s="23"/>
      <c r="G18" s="23">
        <f t="shared" si="1"/>
        <v>8344.795699684526</v>
      </c>
      <c r="H18" s="23">
        <f t="shared" si="1"/>
        <v>1643.8612611600695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1.7320149800461673E-3</v>
      </c>
      <c r="H50" s="321">
        <f t="shared" si="2"/>
        <v>0</v>
      </c>
      <c r="I50" s="321">
        <f t="shared" si="2"/>
        <v>0</v>
      </c>
      <c r="J50" s="321">
        <f t="shared" si="2"/>
        <v>0</v>
      </c>
      <c r="K50" s="321">
        <f t="shared" si="2"/>
        <v>0</v>
      </c>
      <c r="L50" s="321">
        <f t="shared" si="2"/>
        <v>0</v>
      </c>
      <c r="M50" s="321">
        <f t="shared" si="2"/>
        <v>9.8771765215615177E-5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1.7320149800461673E-3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9.8771765215615177E-5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481.11527223504646</v>
      </c>
      <c r="H54" s="21">
        <f t="shared" si="3"/>
        <v>0</v>
      </c>
      <c r="I54" s="21">
        <f t="shared" si="3"/>
        <v>0</v>
      </c>
      <c r="J54" s="21">
        <f t="shared" si="3"/>
        <v>0</v>
      </c>
      <c r="K54" s="21">
        <f t="shared" si="3"/>
        <v>0</v>
      </c>
      <c r="L54" s="21">
        <f t="shared" si="3"/>
        <v>0</v>
      </c>
      <c r="M54" s="21">
        <f t="shared" si="3"/>
        <v>27.436601448781992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0.21710133898307113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128.45777768675742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2291.6394627007094</v>
      </c>
      <c r="C6" s="1223"/>
      <c r="D6" s="1226"/>
      <c r="E6" s="1226"/>
      <c r="F6" s="1229"/>
      <c r="G6" s="1232"/>
      <c r="H6" s="1220"/>
      <c r="I6" s="1226"/>
      <c r="J6" s="1226"/>
      <c r="K6" s="1226"/>
      <c r="L6" s="1256"/>
      <c r="M6" s="576"/>
      <c r="N6" s="1268"/>
      <c r="O6" s="1269"/>
      <c r="Q6" s="574"/>
      <c r="R6" s="1253"/>
      <c r="S6" s="1253"/>
    </row>
    <row r="7" spans="1:19" s="564" customFormat="1">
      <c r="A7" s="577" t="s">
        <v>252</v>
      </c>
      <c r="B7" s="578">
        <f>N57</f>
        <v>22896</v>
      </c>
      <c r="C7" s="579">
        <f>B100</f>
        <v>26936.470588235297</v>
      </c>
      <c r="D7" s="580"/>
      <c r="E7" s="580">
        <f>E100</f>
        <v>0</v>
      </c>
      <c r="F7" s="581"/>
      <c r="G7" s="582"/>
      <c r="H7" s="580">
        <f>I100</f>
        <v>0</v>
      </c>
      <c r="I7" s="580">
        <f>G100+F100</f>
        <v>0</v>
      </c>
      <c r="J7" s="580">
        <f>H100+D100+C100</f>
        <v>0</v>
      </c>
      <c r="K7" s="580"/>
      <c r="L7" s="583"/>
      <c r="M7" s="584">
        <f>C7*$C$11+D7*$D$11+E7*$E$11+F7*$F$11+G7*$G$11+H7*$H$11+I7*$I$11+J7*$J$11</f>
        <v>5441.1670588235302</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25187.63946270071</v>
      </c>
      <c r="C9" s="595">
        <f t="shared" ref="C9:L9" si="0">SUM(C7:C8)</f>
        <v>26936.470588235297</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5441.1670588235302</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32708.571428571431</v>
      </c>
      <c r="C16" s="611">
        <f>B101</f>
        <v>38480.672268907569</v>
      </c>
      <c r="D16" s="612"/>
      <c r="E16" s="612">
        <f>E101</f>
        <v>0</v>
      </c>
      <c r="F16" s="613"/>
      <c r="G16" s="614"/>
      <c r="H16" s="611">
        <f>I101</f>
        <v>0</v>
      </c>
      <c r="I16" s="612">
        <f>G101+F101</f>
        <v>0</v>
      </c>
      <c r="J16" s="612">
        <f>H101+D101+C101</f>
        <v>0</v>
      </c>
      <c r="K16" s="612"/>
      <c r="L16" s="615"/>
      <c r="M16" s="616">
        <f>C16*$C$21+E16*$E$21+H16*$H$21+I16*$I$21+J16*$J$21+D16*$D$21+F16*$F$21+G16*$G$21+K16*$K$21+L16*$L$21</f>
        <v>7773.0957983193293</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32708.571428571431</v>
      </c>
      <c r="C19" s="594">
        <f>SUM(C16:C18)</f>
        <v>38480.672268907569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7773.0957983193293</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12002</v>
      </c>
      <c r="C27" s="852">
        <v>2590</v>
      </c>
      <c r="D27" s="673" t="s">
        <v>871</v>
      </c>
      <c r="E27" s="672" t="s">
        <v>872</v>
      </c>
      <c r="F27" s="672" t="s">
        <v>873</v>
      </c>
      <c r="G27" s="672" t="s">
        <v>874</v>
      </c>
      <c r="H27" s="672" t="s">
        <v>875</v>
      </c>
      <c r="I27" s="672" t="s">
        <v>872</v>
      </c>
      <c r="J27" s="851">
        <v>39370</v>
      </c>
      <c r="K27" s="851">
        <v>39444</v>
      </c>
      <c r="L27" s="672" t="s">
        <v>876</v>
      </c>
      <c r="M27" s="672">
        <v>1532</v>
      </c>
      <c r="N27" s="672">
        <v>6894</v>
      </c>
      <c r="O27" s="672">
        <v>9848.5714285714294</v>
      </c>
      <c r="P27" s="672">
        <v>19697.142857142859</v>
      </c>
      <c r="Q27" s="672">
        <v>0</v>
      </c>
      <c r="R27" s="672">
        <v>0</v>
      </c>
      <c r="S27" s="672">
        <v>0</v>
      </c>
      <c r="T27" s="672">
        <v>0</v>
      </c>
      <c r="U27" s="672">
        <v>0</v>
      </c>
      <c r="V27" s="672">
        <v>0</v>
      </c>
      <c r="W27" s="672">
        <v>0</v>
      </c>
      <c r="X27" s="672">
        <v>10</v>
      </c>
      <c r="Y27" s="672" t="s">
        <v>112</v>
      </c>
      <c r="Z27" s="674" t="s">
        <v>112</v>
      </c>
    </row>
    <row r="28" spans="1:26" s="626" customFormat="1" ht="25.5">
      <c r="A28" s="625"/>
      <c r="B28" s="852">
        <v>12002</v>
      </c>
      <c r="C28" s="852">
        <v>2590</v>
      </c>
      <c r="D28" s="673" t="s">
        <v>877</v>
      </c>
      <c r="E28" s="672" t="s">
        <v>878</v>
      </c>
      <c r="F28" s="672" t="s">
        <v>879</v>
      </c>
      <c r="G28" s="672" t="s">
        <v>874</v>
      </c>
      <c r="H28" s="672" t="s">
        <v>875</v>
      </c>
      <c r="I28" s="672" t="s">
        <v>878</v>
      </c>
      <c r="J28" s="851">
        <v>39736</v>
      </c>
      <c r="K28" s="851">
        <v>39772</v>
      </c>
      <c r="L28" s="672" t="s">
        <v>876</v>
      </c>
      <c r="M28" s="672">
        <v>1558</v>
      </c>
      <c r="N28" s="672">
        <v>7011</v>
      </c>
      <c r="O28" s="672">
        <v>10015.714285714286</v>
      </c>
      <c r="P28" s="672">
        <v>20031.428571428572</v>
      </c>
      <c r="Q28" s="672">
        <v>0</v>
      </c>
      <c r="R28" s="672">
        <v>0</v>
      </c>
      <c r="S28" s="672">
        <v>0</v>
      </c>
      <c r="T28" s="672">
        <v>0</v>
      </c>
      <c r="U28" s="672">
        <v>0</v>
      </c>
      <c r="V28" s="672">
        <v>0</v>
      </c>
      <c r="W28" s="672">
        <v>0</v>
      </c>
      <c r="X28" s="672">
        <v>10</v>
      </c>
      <c r="Y28" s="672" t="s">
        <v>112</v>
      </c>
      <c r="Z28" s="674" t="s">
        <v>112</v>
      </c>
    </row>
    <row r="29" spans="1:26" s="626" customFormat="1" ht="25.5">
      <c r="A29" s="625"/>
      <c r="B29" s="852">
        <v>12002</v>
      </c>
      <c r="C29" s="852">
        <v>2590</v>
      </c>
      <c r="D29" s="673" t="s">
        <v>880</v>
      </c>
      <c r="E29" s="672" t="s">
        <v>881</v>
      </c>
      <c r="F29" s="672" t="s">
        <v>882</v>
      </c>
      <c r="G29" s="672" t="s">
        <v>874</v>
      </c>
      <c r="H29" s="672" t="s">
        <v>875</v>
      </c>
      <c r="I29" s="672" t="s">
        <v>881</v>
      </c>
      <c r="J29" s="851">
        <v>40294</v>
      </c>
      <c r="K29" s="851">
        <v>40347</v>
      </c>
      <c r="L29" s="672" t="s">
        <v>876</v>
      </c>
      <c r="M29" s="672">
        <v>1998</v>
      </c>
      <c r="N29" s="672">
        <v>8991</v>
      </c>
      <c r="O29" s="672">
        <v>12844.285714285714</v>
      </c>
      <c r="P29" s="672">
        <v>25688.571428571431</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5088</v>
      </c>
      <c r="N57" s="630">
        <f>SUM(N27:N56)</f>
        <v>22896</v>
      </c>
      <c r="O57" s="630">
        <f t="shared" ref="O57:W57" si="2">SUM(O27:O56)</f>
        <v>32708.571428571431</v>
      </c>
      <c r="P57" s="630">
        <f t="shared" si="2"/>
        <v>65417.14285714287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5088</v>
      </c>
      <c r="N60" s="635">
        <f t="shared" ref="N60:W60" si="4">SUMIF($Z$27:$Z$56,"landbouw",N27:N56)</f>
        <v>22896</v>
      </c>
      <c r="O60" s="635">
        <f t="shared" si="4"/>
        <v>32708.571428571431</v>
      </c>
      <c r="P60" s="635">
        <f t="shared" si="4"/>
        <v>65417.14285714287</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26936.470588235297</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38480.672268907569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2019-01-01T21:30:08Z</dcterms:modified>
</cp:coreProperties>
</file>