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E8" i="48"/>
  <c r="E25" s="1"/>
  <c r="E31" s="1"/>
  <c r="N22" i="16"/>
  <c r="O39" i="14" s="1"/>
  <c r="O41" s="1"/>
  <c r="J69"/>
  <c r="N25" i="48"/>
  <c r="N14"/>
  <c r="N31"/>
  <c r="K41" i="14"/>
  <c r="K53" s="1"/>
  <c r="K55" s="1"/>
  <c r="K15"/>
  <c r="K23" s="1"/>
  <c r="H55"/>
  <c r="E55"/>
  <c r="C78"/>
  <c r="C81" s="1"/>
  <c r="J14" i="48"/>
  <c r="J31"/>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E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<sst xmlns="http://schemas.openxmlformats.org/spreadsheetml/2006/main" count="2137" uniqueCount="871">
  <si>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</si>
  <si>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</si>
  <si>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</si>
  <si>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</si>
  <si>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</si>
  <si>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</si>
  <si>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</si>
  <si>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</si>
  <si>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</si>
  <si>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</si>
  <si>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</si>
  <si>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</si>
  <si>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</si>
  <si>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</si>
  <si>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</si>
  <si>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</si>
  <si>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</si>
  <si>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</si>
  <si>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</si>
  <si>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</si>
  <si>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</si>
  <si>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</si>
  <si>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</si>
  <si>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</si>
  <si>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</si>
  <si>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</si>
  <si>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</si>
  <si>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</si>
  <si>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</si>
  <si>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</si>
  <si>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</si>
  <si>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</si>
  <si>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</si>
  <si>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</si>
  <si>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</si>
  <si>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</si>
  <si>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</si>
  <si>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</si>
  <si>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</si>
  <si>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</si>
  <si>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</si>
  <si>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</si>
  <si>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</si>
  <si>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</si>
  <si>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</si>
  <si>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</si>
  <si>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</si>
  <si>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</si>
  <si>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</si>
  <si>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</si>
  <si>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</si>
  <si>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</si>
  <si>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</si>
  <si>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</si>
  <si>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</si>
  <si>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</si>
  <si>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</si>
  <si>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</si>
  <si>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</si>
  <si>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</si>
  <si>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</si>
  <si>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</si>
  <si>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</si>
  <si>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</si>
  <si>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</si>
  <si>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</si>
  <si>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</si>
  <si>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</si>
  <si>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</si>
  <si>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</si>
  <si>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</si>
  <si>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</si>
  <si>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</si>
  <si>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</si>
  <si>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</si>
  <si>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</si>
  <si>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</si>
  <si>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</si>
  <si>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</si>
  <si>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</si>
  <si>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</si>
  <si>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</si>
  <si>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</si>
  <si>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</si>
  <si>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</si>
  <si>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</si>
  <si>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</si>
  <si>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</si>
  <si>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</si>
  <si>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</si>
  <si>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</si>
  <si>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</si>
  <si>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</si>
  <si>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</si>
  <si>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</si>
  <si>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</si>
  <si>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</si>
  <si>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</si>
  <si>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</si>
  <si>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</si>
  <si>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</si>
  <si>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</si>
  <si>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</si>
  <si>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</si>
  <si>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</si>
  <si>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</si>
  <si>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</si>
  <si>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</si>
  <si>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</si>
  <si>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</si>
  <si>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</si>
  <si>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</si>
  <si>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</si>
  <si>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</si>
  <si>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</si>
  <si>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</si>
  <si>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</si>
  <si>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</si>
  <si>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</si>
  <si>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</si>
  <si>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</si>
  <si>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</si>
  <si>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</si>
  <si>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</si>
  <si>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</si>
  <si>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</si>
  <si>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</si>
  <si>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</si>
  <si>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</si>
  <si>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</si>
  <si>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</si>
  <si>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</si>
  <si>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</si>
  <si>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</si>
  <si>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</si>
  <si>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</si>
  <si>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</si>
  <si>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</si>
  <si>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</si>
  <si>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</si>
  <si>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</si>
  <si>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</si>
  <si>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</si>
  <si>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</si>
  <si>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</si>
  <si>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</si>
  <si>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</si>
  <si>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</si>
  <si>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</si>
  <si>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</si>
  <si>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</si>
  <si>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</si>
  <si>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</si>
  <si>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</si>
  <si>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</si>
  <si>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</si>
  <si>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</si>
  <si>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</si>
  <si>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</si>
  <si>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</si>
  <si>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</si>
  <si>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</si>
  <si>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</si>
  <si>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</si>
  <si>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</si>
  <si>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</si>
  <si>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</si>
  <si>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</si>
  <si>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</si>
  <si>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</si>
  <si>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</si>
  <si>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</si>
  <si>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</si>
  <si>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</si>
  <si>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</si>
  <si>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</si>
  <si>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</si>
  <si>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</si>
  <si>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</si>
  <si>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</si>
  <si>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</si>
  <si>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</si>
  <si>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</si>
  <si>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</si>
  <si>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</si>
  <si>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</si>
  <si>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</si>
  <si>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</si>
  <si>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</si>
  <si>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</si>
  <si>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</si>
  <si>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</si>
  <si>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</si>
  <si>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</si>
  <si>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</si>
  <si>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</si>
  <si>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</si>
  <si>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</si>
  <si>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</si>
  <si>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</si>
  <si>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</si>
  <si>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</si>
  <si>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</si>
  <si>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</si>
  <si>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</si>
  <si>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</si>
  <si>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</si>
  <si>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</si>
  <si>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</si>
  <si>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</si>
  <si>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</si>
  <si>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</si>
  <si>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</si>
  <si>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</si>
  <si>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</si>
  <si>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</si>
  <si>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</si>
  <si>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</si>
  <si>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</si>
  <si>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</si>
  <si>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</si>
  <si>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</si>
  <si>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</si>
  <si>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</si>
  <si>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</si>
  <si>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</si>
  <si>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</si>
  <si>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</si>
  <si>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</si>
  <si>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</si>
  <si>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</si>
  <si>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</si>
  <si>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</si>
  <si>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</si>
  <si>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</si>
  <si>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</si>
  <si>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</si>
  <si>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</si>
  <si>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</si>
  <si>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</si>
  <si>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</si>
  <si>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</si>
  <si>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</si>
  <si>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</si>
  <si>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</si>
  <si>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</si>
  <si>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</si>
  <si>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</si>
  <si>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</si>
  <si>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</si>
  <si>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</si>
  <si>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</si>
  <si>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</si>
  <si>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</si>
  <si>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</si>
  <si>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</si>
  <si>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</si>
  <si>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</si>
  <si>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</si>
  <si>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</si>
  <si>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</si>
  <si>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</si>
  <si>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</si>
  <si>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</si>
  <si>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</si>
  <si>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</si>
  <si>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</si>
  <si>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</si>
  <si>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</si>
  <si>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</si>
  <si>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</si>
  <si>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</si>
  <si>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</si>
  <si>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</si>
  <si>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</si>
  <si>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</si>
  <si>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</si>
  <si>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</si>
  <si>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</si>
  <si>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</si>
  <si>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</si>
  <si>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</si>
  <si>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</si>
  <si>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</si>
  <si>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</si>
  <si>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</si>
  <si>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</si>
  <si>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</si>
  <si>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</si>
  <si>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</si>
  <si>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</si>
  <si>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</si>
  <si>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</si>
  <si>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</si>
  <si>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</si>
  <si>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</si>
  <si>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</si>
  <si>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</si>
  <si>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</si>
  <si>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</si>
  <si>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</si>
  <si>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</si>
  <si>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</si>
  <si>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</si>
  <si>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</si>
  <si>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</si>
  <si>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</si>
  <si>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</si>
  <si>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</si>
  <si>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</si>
  <si>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</si>
  <si>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</si>
  <si>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</si>
  <si>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</si>
  <si>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</si>
  <si>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</si>
  <si>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</si>
  <si>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</si>
  <si>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</si>
  <si>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</si>
  <si>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</si>
  <si>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</si>
  <si>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</si>
  <si>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</si>
  <si>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</si>
  <si>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</si>
  <si>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</si>
  <si>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</si>
  <si>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</si>
  <si>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</si>
  <si>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</si>
  <si>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</si>
  <si>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</si>
  <si>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</si>
  <si>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</si>
  <si>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</si>
  <si>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</si>
  <si>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</si>
  <si>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</si>
  <si>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</si>
  <si>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</si>
  <si>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</si>
  <si>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</si>
  <si>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</si>
  <si>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</si>
  <si>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</si>
  <si>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</si>
  <si>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</si>
  <si>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</si>
  <si>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</si>
  <si>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</si>
  <si>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</si>
  <si>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</si>
  <si>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</si>
  <si>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</si>
  <si>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</si>
  <si>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</si>
  <si>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</si>
  <si>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</si>
  <si>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</si>
  <si>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</si>
  <si>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</si>
  <si>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</si>
  <si>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</si>
  <si>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</si>
  <si>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</si>
  <si>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</si>
  <si>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</si>
  <si>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</si>
  <si>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</si>
  <si>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</si>
  <si>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</si>
  <si>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</si>
  <si>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</si>
  <si>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</si>
  <si>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</si>
  <si>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</si>
  <si>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</si>
  <si>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</si>
  <si>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</si>
  <si>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</si>
  <si>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</si>
  <si>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</si>
  <si>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</si>
  <si>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</si>
  <si>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</si>
  <si>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</si>
  <si>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</si>
  <si>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</si>
  <si>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</si>
  <si>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</si>
  <si>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</si>
  <si>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</si>
  <si>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</si>
  <si>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</si>
  <si>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</si>
  <si>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</si>
  <si>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</si>
  <si>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</si>
  <si>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</si>
  <si>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</si>
  <si>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</si>
  <si>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</si>
  <si>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</si>
  <si>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</si>
  <si>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</si>
  <si>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</si>
  <si>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</si>
  <si>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</si>
  <si>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</si>
  <si>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</si>
  <si>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</si>
  <si>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</si>
  <si>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</si>
  <si>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</si>
  <si>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</si>
  <si>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</si>
  <si>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</si>
  <si>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</si>
  <si>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</si>
  <si>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</si>
  <si>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</si>
  <si>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</si>
  <si>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</si>
  <si>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</si>
  <si>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</si>
  <si>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</si>
  <si>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</si>
  <si>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</si>
  <si>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</si>
  <si>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</si>
  <si>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</si>
  <si>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</si>
  <si>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</si>
  <si>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</si>
  <si>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</si>
  <si>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</si>
  <si>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</si>
  <si>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</si>
  <si>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</si>
  <si>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</si>
  <si>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</si>
  <si>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</si>
  <si>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</si>
  <si>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</si>
  <si>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</si>
  <si>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</si>
  <si>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</si>
  <si>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</si>
  <si>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</si>
  <si>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</si>
  <si>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</si>
  <si>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</si>
  <si>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</si>
  <si>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</si>
  <si>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</si>
  <si>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</si>
  <si>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</si>
  <si>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</si>
  <si>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</si>
  <si>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</si>
  <si>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</si>
  <si>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</si>
  <si>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</si>
  <si>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</si>
  <si>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</si>
  <si>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</si>
  <si>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</si>
  <si>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</si>
  <si>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</si>
  <si>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</si>
  <si>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</si>
  <si>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</si>
  <si>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</si>
  <si>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</si>
  <si>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</si>
  <si>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</si>
  <si>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</si>
  <si>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</si>
  <si>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</si>
  <si>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</si>
  <si>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</si>
  <si>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</si>
  <si>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</si>
  <si>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</si>
  <si>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</si>
  <si>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</si>
  <si>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</si>
  <si>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</si>
  <si>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</si>
  <si>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</si>
  <si>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</si>
  <si>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</si>
  <si>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</si>
  <si>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</si>
  <si>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</si>
  <si>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</si>
  <si>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</si>
  <si>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</si>
  <si>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</si>
  <si>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</si>
  <si>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</si>
  <si>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</si>
  <si>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</si>
  <si>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</si>
  <si>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</si>
  <si>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</si>
  <si>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</si>
  <si>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</si>
  <si>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</si>
  <si>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</si>
  <si>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</si>
  <si>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</si>
  <si>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</si>
  <si>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</si>
  <si>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</si>
  <si>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</si>
  <si>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</si>
  <si>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</si>
  <si>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</si>
  <si>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</si>
  <si>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</si>
  <si>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</si>
  <si>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</si>
  <si>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</si>
  <si>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</si>
  <si>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</si>
  <si>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</si>
  <si>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</si>
  <si>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</si>
  <si>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</si>
  <si>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</si>
  <si>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</si>
  <si>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</si>
  <si>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</si>
  <si>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</si>
  <si>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</si>
  <si>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</si>
  <si>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</si>
  <si>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</si>
  <si>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</si>
  <si>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</si>
  <si>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</si>
  <si>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</si>
  <si>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</si>
  <si>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</si>
  <si>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</si>
  <si>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</si>
  <si>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</si>
  <si>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</si>
  <si>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</si>
  <si>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</si>
  <si>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</si>
  <si>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</si>
  <si>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</si>
  <si>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</si>
  <si>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</si>
  <si>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</si>
  <si>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</si>
  <si>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</si>
  <si>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</si>
  <si>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</si>
  <si>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</si>
  <si>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</si>
  <si>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</si>
  <si>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</si>
  <si>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</si>
  <si>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</si>
  <si>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</si>
  <si>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</si>
  <si>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</si>
  <si>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</si>
  <si>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</si>
  <si>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</si>
  <si>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</si>
  <si>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</si>
  <si>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</si>
  <si>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</si>
  <si>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</si>
  <si>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</si>
  <si>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</si>
  <si>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</si>
  <si>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</si>
  <si>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</si>
  <si>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</si>
  <si>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</si>
  <si>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</si>
  <si>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</si>
  <si>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</si>
  <si>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</si>
  <si>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</si>
  <si>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</si>
  <si>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</si>
  <si>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</si>
  <si>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</si>
  <si>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</si>
  <si>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</si>
  <si>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</si>
  <si>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</si>
  <si>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</si>
  <si>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</si>
  <si>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</si>
  <si>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</si>
  <si>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</si>
  <si>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</si>
  <si>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</si>
  <si>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</si>
  <si>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</si>
  <si>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</si>
  <si>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</si>
  <si>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</si>
  <si>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</si>
  <si>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</si>
  <si>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</si>
  <si>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</si>
  <si>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</si>
  <si>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</si>
  <si>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</si>
  <si>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</si>
  <si>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</si>
  <si>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</si>
  <si>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</si>
  <si>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</si>
  <si>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</si>
  <si>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</si>
  <si>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</si>
  <si>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</si>
  <si>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</si>
  <si>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</si>
  <si>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</si>
  <si>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</si>
  <si>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</si>
  <si>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</si>
  <si>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</si>
  <si>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</si>
  <si>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</si>
  <si>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</si>
  <si>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</si>
  <si>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</si>
  <si>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</si>
  <si>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</si>
  <si>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</si>
  <si>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</si>
  <si>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</si>
  <si>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</si>
  <si>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</si>
  <si>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</si>
  <si>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</si>
  <si>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</si>
  <si>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</si>
  <si>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</si>
  <si>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</si>
  <si>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</si>
  <si>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</si>
  <si>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</si>
  <si>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</si>
  <si>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</si>
  <si>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</si>
  <si>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</si>
  <si>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</si>
  <si>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</si>
  <si>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</si>
  <si>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</si>
  <si>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</si>
  <si>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</si>
  <si>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</si>
  <si>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</si>
  <si>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</si>
  <si>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</si>
  <si>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</si>
  <si>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</si>
  <si>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</si>
  <si>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</si>
  <si>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</si>
  <si>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</si>
  <si>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</si>
  <si>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</si>
  <si>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</si>
  <si>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</si>
  <si>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</si>
  <si>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</si>
  <si>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</si>
  <si>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</si>
  <si>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</si>
  <si>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</si>
  <si>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</si>
  <si>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</si>
  <si>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</si>
  <si>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</si>
  <si>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</si>
  <si>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</si>
  <si>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</si>
  <si>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</si>
  <si>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</si>
  <si>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</si>
  <si>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</si>
  <si>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</si>
  <si>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</si>
  <si>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</si>
  <si>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</si>
  <si>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</si>
  <si>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</si>
  <si>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</si>
  <si>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</si>
  <si>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</si>
  <si>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</si>
  <si>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</si>
  <si>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</si>
  <si>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</si>
  <si>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</si>
  <si>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</si>
  <si>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</si>
  <si>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</si>
  <si>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</si>
  <si>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</si>
  <si>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</si>
  <si>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</si>
  <si>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</si>
  <si>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</si>
  <si>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</si>
  <si>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</si>
  <si>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</si>
  <si>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</si>
  <si>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</si>
  <si>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</si>
  <si>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</si>
  <si>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</si>
  <si>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</si>
  <si>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</si>
  <si>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</si>
  <si>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</si>
  <si>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</si>
  <si>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</si>
  <si>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</si>
  <si>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</si>
  <si>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</si>
  <si>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</si>
  <si>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</si>
  <si>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</si>
  <si>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</si>
  <si>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</si>
  <si>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</si>
  <si>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</si>
  <si>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</si>
  <si>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</si>
  <si>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</si>
  <si>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</si>
  <si>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</si>
  <si>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</si>
  <si>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</si>
  <si>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</si>
  <si>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</si>
  <si>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</si>
  <si>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</si>
  <si>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</si>
  <si>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</si>
  <si>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</si>
  <si>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</si>
  <si>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</si>
  <si>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</si>
  <si>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</si>
  <si>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</si>
  <si>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</si>
  <si>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</si>
  <si>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</si>
  <si>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</si>
  <si>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</si>
  <si>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</si>
  <si>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</si>
  <si>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</si>
  <si>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</si>
  <si>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</si>
  <si>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</si>
  <si>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</si>
  <si>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</si>
  <si>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</si>
  <si>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</si>
  <si>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</si>
  <si>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</si>
  <si>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</si>
  <si>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</si>
  <si>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</si>
  <si>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</si>
  <si>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</si>
  <si>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</si>
  <si>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</si>
  <si>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</si>
  <si>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</si>
  <si>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</si>
  <si>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</si>
  <si>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</si>
  <si>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</si>
  <si>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</si>
  <si>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</si>
  <si>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</si>
  <si>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</si>
  <si>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</si>
  <si>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</si>
  <si>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</si>
  <si>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</si>
  <si>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</si>
  <si>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</si>
  <si>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</si>
  <si>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</si>
  <si>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</si>
  <si>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</si>
  <si>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</si>
  <si>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</si>
  <si>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</si>
  <si>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</si>
  <si>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</si>
  <si>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</si>
  <si>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</si>
  <si>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</si>
  <si>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</si>
  <si>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</si>
  <si>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</si>
  <si>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</si>
  <si>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</si>
  <si>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</si>
  <si>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</si>
  <si>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</si>
  <si>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</si>
  <si>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</si>
  <si>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</si>
  <si>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</si>
  <si>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</si>
  <si>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</si>
  <si>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</si>
  <si>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</si>
  <si>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</si>
  <si>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</si>
  <si>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</si>
  <si>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</si>
  <si>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</si>
  <si>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</si>
  <si>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</si>
  <si>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</si>
  <si>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</si>
  <si>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</si>
  <si>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</si>
  <si>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</si>
  <si>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</si>
  <si>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</si>
  <si>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</si>
  <si>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</si>
  <si>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</si>
  <si>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</si>
  <si>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</si>
  <si>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</si>
  <si>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</si>
  <si>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</si>
  <si>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</si>
  <si>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</si>
  <si>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</si>
  <si>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</si>
  <si>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</si>
  <si>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</si>
  <si>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</si>
  <si>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</si>
  <si>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</si>
  <si>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</si>
  <si>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</si>
  <si>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11025</t>
  </si>
  <si>
    <t>LINT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</si>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</sst>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57636.730599161179</c:v>
                </c:pt>
                <c:pt idx="1">
                  <c:v>20189.392050347888</c:v>
                </c:pt>
                <c:pt idx="2">
                  <c:v>627.30899999999997</c:v>
                </c:pt>
                <c:pt idx="3">
                  <c:v>1771.1639588443345</c:v>
                </c:pt>
                <c:pt idx="4">
                  <c:v>3249.3013386035709</c:v>
                </c:pt>
                <c:pt idx="5">
                  <c:v>7403.7935014275563</c:v>
                </c:pt>
                <c:pt idx="6">
                  <c:v>535.46181950785717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54816"/>
        <c:axId val="183977088"/>
      </c:barChart>
      <c:catAx>
        <c:axId val="183954816"/>
        <c:scaling>
          <c:orientation val="minMax"/>
        </c:scaling>
        <c:axPos val="b"/>
        <c:numFmt formatCode="General" sourceLinked="0"/>
        <c:tickLblPos val="nextTo"/>
        <c:crossAx val="183977088"/>
        <c:crosses val="autoZero"/>
        <c:auto val="1"/>
        <c:lblAlgn val="ctr"/>
        <c:lblOffset val="100"/>
      </c:catAx>
      <c:valAx>
        <c:axId val="183977088"/>
        <c:scaling>
          <c:orientation val="minMax"/>
        </c:scaling>
        <c:axPos val="l"/>
        <c:majorGridlines/>
        <c:numFmt formatCode="#,##0" sourceLinked="1"/>
        <c:tickLblPos val="nextTo"/>
        <c:crossAx val="18395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57636.730599161179</c:v>
                </c:pt>
                <c:pt idx="1">
                  <c:v>20189.392050347888</c:v>
                </c:pt>
                <c:pt idx="2">
                  <c:v>627.30899999999997</c:v>
                </c:pt>
                <c:pt idx="3">
                  <c:v>1771.1639588443345</c:v>
                </c:pt>
                <c:pt idx="4">
                  <c:v>3249.3013386035709</c:v>
                </c:pt>
                <c:pt idx="5">
                  <c:v>7403.7935014275563</c:v>
                </c:pt>
                <c:pt idx="6">
                  <c:v>535.46181950785717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11022.185441606027</c:v>
                </c:pt>
                <c:pt idx="1">
                  <c:v>4070.9816001513336</c:v>
                </c:pt>
                <c:pt idx="2">
                  <c:v>127.44634268407073</c:v>
                </c:pt>
                <c:pt idx="3">
                  <c:v>369.9805041993456</c:v>
                </c:pt>
                <c:pt idx="4">
                  <c:v>647.72443249535229</c:v>
                </c:pt>
                <c:pt idx="5">
                  <c:v>1853.9145201003651</c:v>
                </c:pt>
                <c:pt idx="6">
                  <c:v>135.25510165134256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55072"/>
        <c:axId val="184410112"/>
      </c:barChart>
      <c:catAx>
        <c:axId val="184355072"/>
        <c:scaling>
          <c:orientation val="minMax"/>
        </c:scaling>
        <c:axPos val="b"/>
        <c:numFmt formatCode="General" sourceLinked="0"/>
        <c:tickLblPos val="nextTo"/>
        <c:crossAx val="184410112"/>
        <c:crosses val="autoZero"/>
        <c:auto val="1"/>
        <c:lblAlgn val="ctr"/>
        <c:lblOffset val="100"/>
      </c:catAx>
      <c:valAx>
        <c:axId val="184410112"/>
        <c:scaling>
          <c:orientation val="minMax"/>
        </c:scaling>
        <c:axPos val="l"/>
        <c:majorGridlines/>
        <c:numFmt formatCode="#,##0" sourceLinked="1"/>
        <c:tickLblPos val="nextTo"/>
        <c:crossAx val="184355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11022.185441606027</c:v>
                </c:pt>
                <c:pt idx="1">
                  <c:v>4070.9816001513336</c:v>
                </c:pt>
                <c:pt idx="2">
                  <c:v>127.44634268407073</c:v>
                </c:pt>
                <c:pt idx="3">
                  <c:v>369.9805041993456</c:v>
                </c:pt>
                <c:pt idx="4">
                  <c:v>647.72443249535229</c:v>
                </c:pt>
                <c:pt idx="5">
                  <c:v>1853.9145201003651</c:v>
                </c:pt>
                <c:pt idx="6">
                  <c:v>135.25510165134256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11025</v>
      </c>
      <c r="B6" s="416"/>
      <c r="C6" s="417"/>
    </row>
    <row r="7" spans="1:7" s="414" customFormat="1" ht="15.75" customHeight="1">
      <c r="A7" s="418" t="str">
        <f>txtMunicipality</f>
        <v>LINT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3389</v>
      </c>
      <c r="C9" s="342">
        <v>3344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123</v>
      </c>
    </row>
    <row r="15" spans="1:6">
      <c r="A15" s="348" t="s">
        <v>184</v>
      </c>
      <c r="B15" s="334">
        <v>0</v>
      </c>
    </row>
    <row r="16" spans="1:6">
      <c r="A16" s="348" t="s">
        <v>6</v>
      </c>
      <c r="B16" s="334">
        <v>0</v>
      </c>
    </row>
    <row r="17" spans="1:6">
      <c r="A17" s="348" t="s">
        <v>7</v>
      </c>
      <c r="B17" s="334">
        <v>42</v>
      </c>
    </row>
    <row r="18" spans="1:6">
      <c r="A18" s="348" t="s">
        <v>8</v>
      </c>
      <c r="B18" s="334">
        <v>37</v>
      </c>
    </row>
    <row r="19" spans="1:6">
      <c r="A19" s="348" t="s">
        <v>9</v>
      </c>
      <c r="B19" s="334">
        <v>28</v>
      </c>
    </row>
    <row r="20" spans="1:6">
      <c r="A20" s="348" t="s">
        <v>10</v>
      </c>
      <c r="B20" s="334">
        <v>25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15</v>
      </c>
      <c r="C29" s="356"/>
      <c r="D29" s="356"/>
      <c r="E29" s="356"/>
      <c r="F29" s="356"/>
    </row>
    <row r="30" spans="1:6">
      <c r="A30" s="341" t="s">
        <v>866</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116086.06281675</v>
      </c>
      <c r="E38" s="334">
        <v>0</v>
      </c>
      <c r="F38" s="334">
        <v>0</v>
      </c>
    </row>
    <row r="39" spans="1:6">
      <c r="A39" s="348" t="s">
        <v>30</v>
      </c>
      <c r="B39" s="348" t="s">
        <v>31</v>
      </c>
      <c r="C39" s="334">
        <v>2831</v>
      </c>
      <c r="D39" s="334">
        <v>43050829.838024199</v>
      </c>
      <c r="E39" s="334">
        <v>3392</v>
      </c>
      <c r="F39" s="334">
        <v>13795508</v>
      </c>
    </row>
    <row r="40" spans="1:6">
      <c r="A40" s="348" t="s">
        <v>30</v>
      </c>
      <c r="B40" s="348" t="s">
        <v>29</v>
      </c>
      <c r="C40" s="334">
        <v>0</v>
      </c>
      <c r="D40" s="334">
        <v>0</v>
      </c>
      <c r="E40" s="334">
        <v>0</v>
      </c>
      <c r="F40" s="334">
        <v>0</v>
      </c>
    </row>
    <row r="41" spans="1:6">
      <c r="A41" s="348" t="s">
        <v>32</v>
      </c>
      <c r="B41" s="348" t="s">
        <v>33</v>
      </c>
      <c r="C41" s="334">
        <v>27</v>
      </c>
      <c r="D41" s="334">
        <v>545530.52127639798</v>
      </c>
      <c r="E41" s="334">
        <v>51</v>
      </c>
      <c r="F41" s="334">
        <v>387410.9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72670.34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541167.25368645205</v>
      </c>
      <c r="E48" s="334">
        <v>21</v>
      </c>
      <c r="F48" s="334">
        <v>521560.5</v>
      </c>
    </row>
    <row r="49" spans="1:6">
      <c r="A49" s="348" t="s">
        <v>32</v>
      </c>
      <c r="B49" s="348" t="s">
        <v>40</v>
      </c>
      <c r="C49" s="334">
        <v>0</v>
      </c>
      <c r="D49" s="334">
        <v>0</v>
      </c>
      <c r="E49" s="334">
        <v>0</v>
      </c>
      <c r="F49" s="334">
        <v>0</v>
      </c>
    </row>
    <row r="50" spans="1:6">
      <c r="A50" s="348" t="s">
        <v>32</v>
      </c>
      <c r="B50" s="348" t="s">
        <v>41</v>
      </c>
      <c r="C50" s="334">
        <v>0</v>
      </c>
      <c r="D50" s="334">
        <v>0</v>
      </c>
      <c r="E50" s="334">
        <v>3</v>
      </c>
      <c r="F50" s="334">
        <v>138586.6</v>
      </c>
    </row>
    <row r="51" spans="1:6">
      <c r="A51" s="348" t="s">
        <v>42</v>
      </c>
      <c r="B51" s="348" t="s">
        <v>43</v>
      </c>
      <c r="C51" s="334">
        <v>0</v>
      </c>
      <c r="D51" s="334">
        <v>0</v>
      </c>
      <c r="E51" s="334">
        <v>6</v>
      </c>
      <c r="F51" s="334">
        <v>47854.11</v>
      </c>
    </row>
    <row r="52" spans="1:6">
      <c r="A52" s="348" t="s">
        <v>42</v>
      </c>
      <c r="B52" s="348" t="s">
        <v>29</v>
      </c>
      <c r="C52" s="334">
        <v>4</v>
      </c>
      <c r="D52" s="334">
        <v>536903.50782746996</v>
      </c>
      <c r="E52" s="334">
        <v>1</v>
      </c>
      <c r="F52" s="334">
        <v>16514.91</v>
      </c>
    </row>
    <row r="53" spans="1:6">
      <c r="A53" s="348" t="s">
        <v>44</v>
      </c>
      <c r="B53" s="348" t="s">
        <v>45</v>
      </c>
      <c r="C53" s="334">
        <v>61</v>
      </c>
      <c r="D53" s="334">
        <v>1162668.30023105</v>
      </c>
      <c r="E53" s="334">
        <v>128</v>
      </c>
      <c r="F53" s="334">
        <v>360922.7</v>
      </c>
    </row>
    <row r="54" spans="1:6">
      <c r="A54" s="348" t="s">
        <v>46</v>
      </c>
      <c r="B54" s="348" t="s">
        <v>47</v>
      </c>
      <c r="C54" s="334">
        <v>0</v>
      </c>
      <c r="D54" s="334">
        <v>0</v>
      </c>
      <c r="E54" s="334">
        <v>1</v>
      </c>
      <c r="F54" s="334">
        <v>627309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228385.098625944</v>
      </c>
      <c r="E57" s="334">
        <v>17</v>
      </c>
      <c r="F57" s="334">
        <v>82897.45</v>
      </c>
    </row>
    <row r="58" spans="1:6">
      <c r="A58" s="348" t="s">
        <v>49</v>
      </c>
      <c r="B58" s="348" t="s">
        <v>51</v>
      </c>
      <c r="C58" s="334">
        <v>3</v>
      </c>
      <c r="D58" s="334">
        <v>790846.73823815002</v>
      </c>
      <c r="E58" s="334">
        <v>6</v>
      </c>
      <c r="F58" s="334">
        <v>155870.70000000001</v>
      </c>
    </row>
    <row r="59" spans="1:6">
      <c r="A59" s="348" t="s">
        <v>49</v>
      </c>
      <c r="B59" s="348" t="s">
        <v>52</v>
      </c>
      <c r="C59" s="334">
        <v>17</v>
      </c>
      <c r="D59" s="334">
        <v>440054.51582756097</v>
      </c>
      <c r="E59" s="334">
        <v>30</v>
      </c>
      <c r="F59" s="334">
        <v>361988</v>
      </c>
    </row>
    <row r="60" spans="1:6">
      <c r="A60" s="348" t="s">
        <v>49</v>
      </c>
      <c r="B60" s="348" t="s">
        <v>53</v>
      </c>
      <c r="C60" s="334">
        <v>21</v>
      </c>
      <c r="D60" s="334">
        <v>1693904.25653661</v>
      </c>
      <c r="E60" s="334">
        <v>12</v>
      </c>
      <c r="F60" s="334">
        <v>175492.3</v>
      </c>
    </row>
    <row r="61" spans="1:6">
      <c r="A61" s="348" t="s">
        <v>49</v>
      </c>
      <c r="B61" s="348" t="s">
        <v>54</v>
      </c>
      <c r="C61" s="334">
        <v>84</v>
      </c>
      <c r="D61" s="334">
        <v>2864793.9944994398</v>
      </c>
      <c r="E61" s="334">
        <v>167</v>
      </c>
      <c r="F61" s="334">
        <v>2314057</v>
      </c>
    </row>
    <row r="62" spans="1:6">
      <c r="A62" s="348" t="s">
        <v>49</v>
      </c>
      <c r="B62" s="348" t="s">
        <v>55</v>
      </c>
      <c r="C62" s="334">
        <v>0</v>
      </c>
      <c r="D62" s="334">
        <v>0</v>
      </c>
      <c r="E62" s="334">
        <v>0</v>
      </c>
      <c r="F62" s="334">
        <v>0</v>
      </c>
    </row>
    <row r="63" spans="1:6">
      <c r="A63" s="348" t="s">
        <v>49</v>
      </c>
      <c r="B63" s="348" t="s">
        <v>29</v>
      </c>
      <c r="C63" s="334">
        <v>74</v>
      </c>
      <c r="D63" s="334">
        <v>8227046.5013576001</v>
      </c>
      <c r="E63" s="334">
        <v>78</v>
      </c>
      <c r="F63" s="334">
        <v>3029606</v>
      </c>
    </row>
    <row r="64" spans="1:6">
      <c r="A64" s="348" t="s">
        <v>56</v>
      </c>
      <c r="B64" s="348" t="s">
        <v>57</v>
      </c>
      <c r="C64" s="334">
        <v>0</v>
      </c>
      <c r="D64" s="334">
        <v>0</v>
      </c>
      <c r="E64" s="334">
        <v>0</v>
      </c>
      <c r="F64" s="334">
        <v>0</v>
      </c>
    </row>
    <row r="65" spans="1:6">
      <c r="A65" s="348" t="s">
        <v>56</v>
      </c>
      <c r="B65" s="348" t="s">
        <v>29</v>
      </c>
      <c r="C65" s="334">
        <v>2</v>
      </c>
      <c r="D65" s="334">
        <v>29177.599652798701</v>
      </c>
      <c r="E65" s="334">
        <v>3</v>
      </c>
      <c r="F65" s="334">
        <v>23650.02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9418810</v>
      </c>
      <c r="E73" s="477">
        <v>7862572.6421471648</v>
      </c>
    </row>
    <row r="74" spans="1:6">
      <c r="A74" s="348" t="s">
        <v>64</v>
      </c>
      <c r="B74" s="348" t="s">
        <v>714</v>
      </c>
      <c r="C74" s="1288" t="s">
        <v>716</v>
      </c>
      <c r="D74" s="477">
        <v>517850.90895942121</v>
      </c>
      <c r="E74" s="477">
        <v>440289.37459872215</v>
      </c>
    </row>
    <row r="75" spans="1:6">
      <c r="A75" s="348" t="s">
        <v>65</v>
      </c>
      <c r="B75" s="348" t="s">
        <v>713</v>
      </c>
      <c r="C75" s="1288" t="s">
        <v>717</v>
      </c>
      <c r="D75" s="477">
        <v>564502</v>
      </c>
      <c r="E75" s="477">
        <v>530600.52183606301</v>
      </c>
    </row>
    <row r="76" spans="1:6">
      <c r="A76" s="348" t="s">
        <v>65</v>
      </c>
      <c r="B76" s="348" t="s">
        <v>714</v>
      </c>
      <c r="C76" s="1288" t="s">
        <v>718</v>
      </c>
      <c r="D76" s="477">
        <v>115.4</v>
      </c>
      <c r="E76" s="477">
        <v>105.79776499552372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143088.1820811576</v>
      </c>
      <c r="C83" s="477">
        <v>141466.98103093574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1401.7885367462948</v>
      </c>
    </row>
    <row r="92" spans="1:6">
      <c r="A92" s="341" t="s">
        <v>69</v>
      </c>
      <c r="B92" s="342">
        <v>465.02134897366915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2094</v>
      </c>
    </row>
    <row r="98" spans="1:6">
      <c r="A98" s="348" t="s">
        <v>72</v>
      </c>
      <c r="B98" s="334">
        <v>0</v>
      </c>
    </row>
    <row r="99" spans="1:6">
      <c r="A99" s="348" t="s">
        <v>73</v>
      </c>
      <c r="B99" s="334">
        <v>15</v>
      </c>
    </row>
    <row r="100" spans="1:6">
      <c r="A100" s="348" t="s">
        <v>74</v>
      </c>
      <c r="B100" s="334">
        <v>262</v>
      </c>
    </row>
    <row r="101" spans="1:6">
      <c r="A101" s="348" t="s">
        <v>75</v>
      </c>
      <c r="B101" s="334">
        <v>28</v>
      </c>
    </row>
    <row r="102" spans="1:6">
      <c r="A102" s="348" t="s">
        <v>76</v>
      </c>
      <c r="B102" s="334">
        <v>30</v>
      </c>
    </row>
    <row r="103" spans="1:6">
      <c r="A103" s="348" t="s">
        <v>77</v>
      </c>
      <c r="B103" s="334">
        <v>29</v>
      </c>
    </row>
    <row r="104" spans="1:6">
      <c r="A104" s="348" t="s">
        <v>78</v>
      </c>
      <c r="B104" s="334">
        <v>310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23130.482594808087</v>
      </c>
      <c r="C3" s="43" t="s">
        <v>170</v>
      </c>
      <c r="D3" s="43"/>
      <c r="E3" s="154"/>
      <c r="F3" s="43"/>
      <c r="G3" s="43"/>
      <c r="H3" s="43"/>
      <c r="I3" s="43"/>
      <c r="J3" s="43"/>
      <c r="K3" s="96"/>
    </row>
    <row r="4" spans="1:11">
      <c r="A4" s="384" t="s">
        <v>171</v>
      </c>
      <c r="B4" s="49">
        <f>IF(ISERROR('SEAP template'!B69),0,'SEAP template'!B69)</f>
        <v>1866.8098857199639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0.20316358076174698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627.30899999999997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627.30899999999997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0.20316358076174698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127.44634268407073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13795.508</v>
      </c>
      <c r="C5" s="17">
        <f>IF(ISERROR('Eigen informatie GS &amp; warmtenet'!B57),0,'Eigen informatie GS &amp; warmtenet'!B57)</f>
        <v>0</v>
      </c>
      <c r="D5" s="30">
        <f>(SUM(HH_hh_gas_kWh,HH_rest_gas_kWh)/1000)*0.902</f>
        <v>38831.848513897829</v>
      </c>
      <c r="E5" s="17">
        <f>B46*B57</f>
        <v>399.18440306251762</v>
      </c>
      <c r="F5" s="17">
        <f>B51*B62</f>
        <v>0</v>
      </c>
      <c r="G5" s="18"/>
      <c r="H5" s="17"/>
      <c r="I5" s="17"/>
      <c r="J5" s="17">
        <f>B50*B61+C50*C61</f>
        <v>0</v>
      </c>
      <c r="K5" s="17"/>
      <c r="L5" s="17"/>
      <c r="M5" s="17"/>
      <c r="N5" s="17">
        <f>B48*B59+C48*C59</f>
        <v>2825.7811454545372</v>
      </c>
      <c r="O5" s="17">
        <f>B69*B70*B71</f>
        <v>115.68666666666667</v>
      </c>
      <c r="P5" s="17">
        <f>B77*B78*B79/1000-B77*B78*B79/1000/B80</f>
        <v>266.93333333333334</v>
      </c>
    </row>
    <row r="6" spans="1:16">
      <c r="A6" s="16" t="s">
        <v>631</v>
      </c>
      <c r="B6" s="844">
        <f>kWh_PV_kleiner_dan_10kW</f>
        <v>1401.7885367462948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15197.296536746295</v>
      </c>
      <c r="C8" s="21">
        <f>C5</f>
        <v>0</v>
      </c>
      <c r="D8" s="21">
        <f>D5</f>
        <v>38831.848513897829</v>
      </c>
      <c r="E8" s="21">
        <f>E5</f>
        <v>399.18440306251762</v>
      </c>
      <c r="F8" s="21">
        <f>F5</f>
        <v>0</v>
      </c>
      <c r="G8" s="21"/>
      <c r="H8" s="21"/>
      <c r="I8" s="21"/>
      <c r="J8" s="21">
        <f>J5</f>
        <v>0</v>
      </c>
      <c r="K8" s="21"/>
      <c r="L8" s="21">
        <f>L5</f>
        <v>0</v>
      </c>
      <c r="M8" s="21">
        <f>M5</f>
        <v>0</v>
      </c>
      <c r="N8" s="21">
        <f>N5</f>
        <v>2825.7811454545372</v>
      </c>
      <c r="O8" s="21">
        <f>O5</f>
        <v>115.68666666666667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0.20316358076174698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3087.5371823034734</v>
      </c>
      <c r="C12" s="23">
        <f ca="1">C10*C8</f>
        <v>0</v>
      </c>
      <c r="D12" s="23">
        <f>D8*D10</f>
        <v>7844.033399807362</v>
      </c>
      <c r="E12" s="23">
        <f>E10*E8</f>
        <v>90.614859495191496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2094</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4.918032786885246</v>
      </c>
      <c r="D20" s="229"/>
      <c r="E20" s="15"/>
    </row>
    <row r="21" spans="1:7">
      <c r="A21" s="171" t="s">
        <v>74</v>
      </c>
      <c r="B21" s="37">
        <f>aantalw2001_elektriciteit</f>
        <v>262</v>
      </c>
      <c r="C21" s="167">
        <f>IF(ISERROR(B21/SUM($B$20,$B$21,$B$22)*100),0,B21/SUM($B$20,$B$21,$B$22)*100)</f>
        <v>85.901639344262293</v>
      </c>
      <c r="D21" s="229"/>
      <c r="E21" s="15"/>
    </row>
    <row r="22" spans="1:7">
      <c r="A22" s="171" t="s">
        <v>75</v>
      </c>
      <c r="B22" s="37">
        <f>aantalw2001_hout</f>
        <v>28</v>
      </c>
      <c r="C22" s="167">
        <f>IF(ISERROR(B22/SUM($B$20,$B$21,$B$22)*100),0,B22/SUM($B$20,$B$21,$B$22)*100)</f>
        <v>9.1803278688524586</v>
      </c>
      <c r="D22" s="229"/>
      <c r="E22" s="15"/>
    </row>
    <row r="23" spans="1:7">
      <c r="A23" s="171" t="s">
        <v>76</v>
      </c>
      <c r="B23" s="37">
        <f>aantalw2001_niet_gespec</f>
        <v>30</v>
      </c>
      <c r="C23" s="166" t="s">
        <v>111</v>
      </c>
      <c r="D23" s="228"/>
      <c r="E23" s="15"/>
    </row>
    <row r="24" spans="1:7">
      <c r="A24" s="171" t="s">
        <v>77</v>
      </c>
      <c r="B24" s="37">
        <f>aantalw2001_steenkool</f>
        <v>29</v>
      </c>
      <c r="C24" s="166" t="s">
        <v>111</v>
      </c>
      <c r="D24" s="229"/>
      <c r="E24" s="15"/>
    </row>
    <row r="25" spans="1:7">
      <c r="A25" s="171" t="s">
        <v>78</v>
      </c>
      <c r="B25" s="37">
        <f>aantalw2001_stookolie</f>
        <v>310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3389</v>
      </c>
      <c r="C28" s="36"/>
      <c r="D28" s="228"/>
    </row>
    <row r="29" spans="1:7" s="15" customFormat="1">
      <c r="A29" s="230" t="s">
        <v>741</v>
      </c>
      <c r="B29" s="37">
        <f>SUM(HH_hh_gas_aantal,HH_rest_gas_aantal)</f>
        <v>2831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2831</v>
      </c>
      <c r="C32" s="167">
        <f>IF(ISERROR(B32/SUM($B$32,$B$34,$B$35,$B$36,$B$38,$B$39)*100),0,B32/SUM($B$32,$B$34,$B$35,$B$36,$B$38,$B$39)*100)</f>
        <v>83.881481481481472</v>
      </c>
      <c r="D32" s="233"/>
      <c r="G32" s="15"/>
    </row>
    <row r="33" spans="1:7">
      <c r="A33" s="171" t="s">
        <v>72</v>
      </c>
      <c r="B33" s="34" t="s">
        <v>111</v>
      </c>
      <c r="C33" s="167"/>
      <c r="D33" s="233"/>
      <c r="G33" s="15"/>
    </row>
    <row r="34" spans="1:7">
      <c r="A34" s="171" t="s">
        <v>73</v>
      </c>
      <c r="B34" s="33">
        <f>IF((($B$28-$B$32-$B$39-$B$77-$B$38)*C20/100)&lt;0,0,($B$28-$B$32-$B$39-$B$77-$B$38)*C20/100)</f>
        <v>26.754098360655739</v>
      </c>
      <c r="C34" s="167">
        <f>IF(ISERROR(B34/SUM($B$32,$B$34,$B$35,$B$36,$B$38,$B$39)*100),0,B34/SUM($B$32,$B$34,$B$35,$B$36,$B$38,$B$39)*100)</f>
        <v>0.79271402550091064</v>
      </c>
      <c r="D34" s="233"/>
      <c r="G34" s="15"/>
    </row>
    <row r="35" spans="1:7">
      <c r="A35" s="171" t="s">
        <v>74</v>
      </c>
      <c r="B35" s="33">
        <f>IF((($B$28-$B$32-$B$39-$B$77-$B$38)*C21/100)&lt;0,0,($B$28-$B$32-$B$39-$B$77-$B$38)*C21/100)</f>
        <v>467.30491803278687</v>
      </c>
      <c r="C35" s="167">
        <f>IF(ISERROR(B35/SUM($B$32,$B$34,$B$35,$B$36,$B$38,$B$39)*100),0,B35/SUM($B$32,$B$34,$B$35,$B$36,$B$38,$B$39)*100)</f>
        <v>13.846071645415906</v>
      </c>
      <c r="D35" s="233"/>
      <c r="G35" s="15"/>
    </row>
    <row r="36" spans="1:7">
      <c r="A36" s="171" t="s">
        <v>75</v>
      </c>
      <c r="B36" s="33">
        <f>IF((($B$28-$B$32-$B$39-$B$77-$B$38)*C22/100)&lt;0,0,($B$28-$B$32-$B$39-$B$77-$B$38)*C22/100)</f>
        <v>49.940983606557374</v>
      </c>
      <c r="C36" s="167">
        <f>IF(ISERROR(B36/SUM($B$32,$B$34,$B$35,$B$36,$B$38,$B$39)*100),0,B36/SUM($B$32,$B$34,$B$35,$B$36,$B$38,$B$39)*100)</f>
        <v>1.4797328476016998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2831</v>
      </c>
      <c r="C44" s="34" t="s">
        <v>111</v>
      </c>
      <c r="D44" s="174"/>
    </row>
    <row r="45" spans="1:7">
      <c r="A45" s="171" t="s">
        <v>72</v>
      </c>
      <c r="B45" s="33" t="str">
        <f t="shared" si="0"/>
        <v>-</v>
      </c>
      <c r="C45" s="34" t="s">
        <v>111</v>
      </c>
      <c r="D45" s="174"/>
    </row>
    <row r="46" spans="1:7">
      <c r="A46" s="171" t="s">
        <v>73</v>
      </c>
      <c r="B46" s="33">
        <f t="shared" si="0"/>
        <v>26.754098360655739</v>
      </c>
      <c r="C46" s="34" t="s">
        <v>111</v>
      </c>
      <c r="D46" s="174"/>
    </row>
    <row r="47" spans="1:7">
      <c r="A47" s="171" t="s">
        <v>74</v>
      </c>
      <c r="B47" s="33">
        <f t="shared" si="0"/>
        <v>467.30491803278687</v>
      </c>
      <c r="C47" s="34" t="s">
        <v>111</v>
      </c>
      <c r="D47" s="174"/>
    </row>
    <row r="48" spans="1:7">
      <c r="A48" s="171" t="s">
        <v>75</v>
      </c>
      <c r="B48" s="33">
        <f t="shared" si="0"/>
        <v>49.940983606557374</v>
      </c>
      <c r="C48" s="33">
        <f>B48*10</f>
        <v>499.40983606557376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6119.9114499999996</v>
      </c>
      <c r="C5" s="17">
        <f>IF(ISERROR('Eigen informatie GS &amp; warmtenet'!B58),0,'Eigen informatie GS &amp; warmtenet'!B58)</f>
        <v>0</v>
      </c>
      <c r="D5" s="30">
        <f>SUM(D6:D12)</f>
        <v>12849.018056786947</v>
      </c>
      <c r="E5" s="17">
        <f>SUM(E6:E12)</f>
        <v>45.758191871375566</v>
      </c>
      <c r="F5" s="17">
        <f>SUM(F6:F12)</f>
        <v>830.5232921301606</v>
      </c>
      <c r="G5" s="18"/>
      <c r="H5" s="17"/>
      <c r="I5" s="17"/>
      <c r="J5" s="17">
        <f>SUM(J6:J12)</f>
        <v>0</v>
      </c>
      <c r="K5" s="17"/>
      <c r="L5" s="17"/>
      <c r="M5" s="17"/>
      <c r="N5" s="17">
        <f>SUM(N6:N12)</f>
        <v>344.18105955940371</v>
      </c>
      <c r="O5" s="17">
        <f>B38*B39*B40</f>
        <v>0</v>
      </c>
      <c r="P5" s="17">
        <f>B46*B47*B48/1000-B46*B47*B48/1000/B49</f>
        <v>0</v>
      </c>
      <c r="R5" s="32"/>
    </row>
    <row r="6" spans="1:18">
      <c r="A6" s="32" t="s">
        <v>54</v>
      </c>
      <c r="B6" s="37">
        <f>B26</f>
        <v>2314.0569999999998</v>
      </c>
      <c r="C6" s="33"/>
      <c r="D6" s="37">
        <f>IF(ISERROR(TER_kantoor_gas_kWh/1000),0,TER_kantoor_gas_kWh/1000)*0.902</f>
        <v>2584.0441830384948</v>
      </c>
      <c r="E6" s="33">
        <f>$C$26*'E Balans VL '!I12/100/3.6*1000000</f>
        <v>6.7041626493033641</v>
      </c>
      <c r="F6" s="33">
        <f>$C$26*('E Balans VL '!L12+'E Balans VL '!N12)/100/3.6*1000000</f>
        <v>261.90026977148722</v>
      </c>
      <c r="G6" s="34"/>
      <c r="H6" s="33"/>
      <c r="I6" s="33"/>
      <c r="J6" s="33">
        <f>$C$26*('E Balans VL '!D12+'E Balans VL '!E12)/100/3.6*1000000</f>
        <v>0</v>
      </c>
      <c r="K6" s="33"/>
      <c r="L6" s="33"/>
      <c r="M6" s="33"/>
      <c r="N6" s="33">
        <f>$C$26*'E Balans VL '!Y12/100/3.6*1000000</f>
        <v>23.162005496672975</v>
      </c>
      <c r="O6" s="33"/>
      <c r="P6" s="33"/>
      <c r="R6" s="32"/>
    </row>
    <row r="7" spans="1:18">
      <c r="A7" s="32" t="s">
        <v>53</v>
      </c>
      <c r="B7" s="37">
        <f t="shared" ref="B7:B12" si="0">B27</f>
        <v>175.4923</v>
      </c>
      <c r="C7" s="33"/>
      <c r="D7" s="37">
        <f>IF(ISERROR(TER_horeca_gas_kWh/1000),0,TER_horeca_gas_kWh/1000)*0.902</f>
        <v>1527.9016393960221</v>
      </c>
      <c r="E7" s="33">
        <f>$C$27*'E Balans VL '!I9/100/3.6*1000000</f>
        <v>7.3666764382043191</v>
      </c>
      <c r="F7" s="33">
        <f>$C$27*('E Balans VL '!L9+'E Balans VL '!N9)/100/3.6*1000000</f>
        <v>37.708119463557892</v>
      </c>
      <c r="G7" s="34"/>
      <c r="H7" s="33"/>
      <c r="I7" s="33"/>
      <c r="J7" s="33">
        <f>$C$27*('E Balans VL '!D9+'E Balans VL '!E9)/100/3.6*1000000</f>
        <v>0</v>
      </c>
      <c r="K7" s="33"/>
      <c r="L7" s="33"/>
      <c r="M7" s="33"/>
      <c r="N7" s="33">
        <f>$C$27*'E Balans VL '!Y9/100/3.6*1000000</f>
        <v>4.5222830974160411E-2</v>
      </c>
      <c r="O7" s="33"/>
      <c r="P7" s="33"/>
      <c r="R7" s="32"/>
    </row>
    <row r="8" spans="1:18">
      <c r="A8" s="6" t="s">
        <v>52</v>
      </c>
      <c r="B8" s="37">
        <f t="shared" si="0"/>
        <v>361.988</v>
      </c>
      <c r="C8" s="33"/>
      <c r="D8" s="37">
        <f>IF(ISERROR(TER_handel_gas_kWh/1000),0,TER_handel_gas_kWh/1000)*0.902</f>
        <v>396.92917327646001</v>
      </c>
      <c r="E8" s="33">
        <f>$C$28*'E Balans VL '!I13/100/3.6*1000000</f>
        <v>3.8880523940482061</v>
      </c>
      <c r="F8" s="33">
        <f>$C$28*('E Balans VL '!L13+'E Balans VL '!N13)/100/3.6*1000000</f>
        <v>46.862335835281542</v>
      </c>
      <c r="G8" s="34"/>
      <c r="H8" s="33"/>
      <c r="I8" s="33"/>
      <c r="J8" s="33">
        <f>$C$28*('E Balans VL '!D13+'E Balans VL '!E13)/100/3.6*1000000</f>
        <v>0</v>
      </c>
      <c r="K8" s="33"/>
      <c r="L8" s="33"/>
      <c r="M8" s="33"/>
      <c r="N8" s="33">
        <f>$C$28*'E Balans VL '!Y13/100/3.6*1000000</f>
        <v>2.9364664214041905</v>
      </c>
      <c r="O8" s="33"/>
      <c r="P8" s="33"/>
      <c r="R8" s="32"/>
    </row>
    <row r="9" spans="1:18">
      <c r="A9" s="32" t="s">
        <v>51</v>
      </c>
      <c r="B9" s="37">
        <f t="shared" si="0"/>
        <v>155.8707</v>
      </c>
      <c r="C9" s="33"/>
      <c r="D9" s="37">
        <f>IF(ISERROR(TER_gezond_gas_kWh/1000),0,TER_gezond_gas_kWh/1000)*0.902</f>
        <v>713.34375789081128</v>
      </c>
      <c r="E9" s="33">
        <f>$C$29*'E Balans VL '!I10/100/3.6*1000000</f>
        <v>0.12408315864678608</v>
      </c>
      <c r="F9" s="33">
        <f>$C$29*('E Balans VL '!L10+'E Balans VL '!N10)/100/3.6*1000000</f>
        <v>18.948336119501697</v>
      </c>
      <c r="G9" s="34"/>
      <c r="H9" s="33"/>
      <c r="I9" s="33"/>
      <c r="J9" s="33">
        <f>$C$29*('E Balans VL '!D10+'E Balans VL '!E10)/100/3.6*1000000</f>
        <v>0</v>
      </c>
      <c r="K9" s="33"/>
      <c r="L9" s="33"/>
      <c r="M9" s="33"/>
      <c r="N9" s="33">
        <f>$C$29*'E Balans VL '!Y10/100/3.6*1000000</f>
        <v>1.2590822193712847</v>
      </c>
      <c r="O9" s="33"/>
      <c r="P9" s="33"/>
      <c r="R9" s="32"/>
    </row>
    <row r="10" spans="1:18">
      <c r="A10" s="32" t="s">
        <v>50</v>
      </c>
      <c r="B10" s="37">
        <f t="shared" si="0"/>
        <v>82.897449999999992</v>
      </c>
      <c r="C10" s="33"/>
      <c r="D10" s="37">
        <f>IF(ISERROR(TER_ander_gas_kWh/1000),0,TER_ander_gas_kWh/1000)*0.902</f>
        <v>206.00335896060147</v>
      </c>
      <c r="E10" s="33">
        <f>$C$30*'E Balans VL '!I14/100/3.6*1000000</f>
        <v>0.28409391602378942</v>
      </c>
      <c r="F10" s="33">
        <f>$C$30*('E Balans VL '!L14+'E Balans VL '!N14)/100/3.6*1000000</f>
        <v>18.515921774436062</v>
      </c>
      <c r="G10" s="34"/>
      <c r="H10" s="33"/>
      <c r="I10" s="33"/>
      <c r="J10" s="33">
        <f>$C$30*('E Balans VL '!D14+'E Balans VL '!E14)/100/3.6*1000000</f>
        <v>0</v>
      </c>
      <c r="K10" s="33"/>
      <c r="L10" s="33"/>
      <c r="M10" s="33"/>
      <c r="N10" s="33">
        <f>$C$30*'E Balans VL '!Y14/100/3.6*1000000</f>
        <v>58.393416639917177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3029.6060000000002</v>
      </c>
      <c r="C12" s="33"/>
      <c r="D12" s="37">
        <f>IF(ISERROR(TER_rest_gas_kWh/1000),0,TER_rest_gas_kWh/1000)*0.902</f>
        <v>7420.7959442245547</v>
      </c>
      <c r="E12" s="33">
        <f>$C$32*'E Balans VL '!I8/100/3.6*1000000</f>
        <v>27.391123315149102</v>
      </c>
      <c r="F12" s="33">
        <f>$C$32*('E Balans VL '!L8+'E Balans VL '!N8)/100/3.6*1000000</f>
        <v>446.58830916589625</v>
      </c>
      <c r="G12" s="34"/>
      <c r="H12" s="33"/>
      <c r="I12" s="33"/>
      <c r="J12" s="33">
        <f>$C$32*('E Balans VL '!D8+'E Balans VL '!E8)/100/3.6*1000000</f>
        <v>0</v>
      </c>
      <c r="K12" s="33"/>
      <c r="L12" s="33"/>
      <c r="M12" s="33"/>
      <c r="N12" s="33">
        <f>$C$32*'E Balans VL '!Y8/100/3.6*1000000</f>
        <v>258.38486595106389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6119.9114499999996</v>
      </c>
      <c r="C16" s="21">
        <f t="shared" ca="1" si="1"/>
        <v>0</v>
      </c>
      <c r="D16" s="21">
        <f t="shared" ca="1" si="1"/>
        <v>12849.018056786947</v>
      </c>
      <c r="E16" s="21">
        <f t="shared" si="1"/>
        <v>45.758191871375566</v>
      </c>
      <c r="F16" s="21">
        <f t="shared" ca="1" si="1"/>
        <v>830.5232921301606</v>
      </c>
      <c r="G16" s="21">
        <f t="shared" si="1"/>
        <v>0</v>
      </c>
      <c r="H16" s="21">
        <f t="shared" si="1"/>
        <v>0</v>
      </c>
      <c r="I16" s="21">
        <f t="shared" si="1"/>
        <v>0</v>
      </c>
      <c r="J16" s="21">
        <f t="shared" si="1"/>
        <v>0</v>
      </c>
      <c r="K16" s="21">
        <f t="shared" si="1"/>
        <v>0</v>
      </c>
      <c r="L16" s="21">
        <f t="shared" ca="1" si="1"/>
        <v>0</v>
      </c>
      <c r="M16" s="21">
        <f t="shared" si="1"/>
        <v>0</v>
      </c>
      <c r="N16" s="21">
        <f t="shared" ca="1" si="1"/>
        <v>344.18105955940371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0.20316358076174698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1243.3431241268149</v>
      </c>
      <c r="C20" s="23">
        <f t="shared" ref="C20:P20" ca="1" si="2">C16*C18</f>
        <v>0</v>
      </c>
      <c r="D20" s="23">
        <f t="shared" ca="1" si="2"/>
        <v>2595.5016474709632</v>
      </c>
      <c r="E20" s="23">
        <f t="shared" si="2"/>
        <v>10.387109554802255</v>
      </c>
      <c r="F20" s="23">
        <f t="shared" ca="1" si="2"/>
        <v>221.74971899875288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2314.0569999999998</v>
      </c>
      <c r="C26" s="39">
        <f>IF(ISERROR(B26*3.6/1000000/'E Balans VL '!Z12*100),0,B26*3.6/1000000/'E Balans VL '!Z12*100)</f>
        <v>5.0830937322790946E-2</v>
      </c>
      <c r="D26" s="237" t="s">
        <v>692</v>
      </c>
      <c r="F26" s="6"/>
    </row>
    <row r="27" spans="1:18">
      <c r="A27" s="231" t="s">
        <v>53</v>
      </c>
      <c r="B27" s="33">
        <f>IF(ISERROR(TER_horeca_ele_kWh/1000),0,TER_horeca_ele_kWh/1000)</f>
        <v>175.4923</v>
      </c>
      <c r="C27" s="39">
        <f>IF(ISERROR(B27*3.6/1000000/'E Balans VL '!Z9*100),0,B27*3.6/1000000/'E Balans VL '!Z9*100)</f>
        <v>1.410255563290785E-2</v>
      </c>
      <c r="D27" s="237" t="s">
        <v>692</v>
      </c>
      <c r="F27" s="6"/>
    </row>
    <row r="28" spans="1:18">
      <c r="A28" s="171" t="s">
        <v>52</v>
      </c>
      <c r="B28" s="33">
        <f>IF(ISERROR(TER_handel_ele_kWh/1000),0,TER_handel_ele_kWh/1000)</f>
        <v>361.988</v>
      </c>
      <c r="C28" s="39">
        <f>IF(ISERROR(B28*3.6/1000000/'E Balans VL '!Z13*100),0,B28*3.6/1000000/'E Balans VL '!Z13*100)</f>
        <v>1.0703732269873374E-2</v>
      </c>
      <c r="D28" s="237" t="s">
        <v>692</v>
      </c>
      <c r="F28" s="6"/>
    </row>
    <row r="29" spans="1:18">
      <c r="A29" s="231" t="s">
        <v>51</v>
      </c>
      <c r="B29" s="33">
        <f>IF(ISERROR(TER_gezond_ele_kWh/1000),0,TER_gezond_ele_kWh/1000)</f>
        <v>155.8707</v>
      </c>
      <c r="C29" s="39">
        <f>IF(ISERROR(B29*3.6/1000000/'E Balans VL '!Z10*100),0,B29*3.6/1000000/'E Balans VL '!Z10*100)</f>
        <v>1.7562603663262486E-2</v>
      </c>
      <c r="D29" s="237" t="s">
        <v>692</v>
      </c>
      <c r="F29" s="6"/>
    </row>
    <row r="30" spans="1:18">
      <c r="A30" s="231" t="s">
        <v>50</v>
      </c>
      <c r="B30" s="33">
        <f>IF(ISERROR(TER_ander_ele_kWh/1000),0,TER_ander_ele_kWh/1000)</f>
        <v>82.897449999999992</v>
      </c>
      <c r="C30" s="39">
        <f>IF(ISERROR(B30*3.6/1000000/'E Balans VL '!Z14*100),0,B30*3.6/1000000/'E Balans VL '!Z14*100)</f>
        <v>6.2693924367101302E-3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3029.6060000000002</v>
      </c>
      <c r="C32" s="39">
        <f>IF(ISERROR(B32*3.6/1000000/'E Balans VL '!Z8*100),0,B32*3.6/1000000/'E Balans VL '!Z8*100)</f>
        <v>2.5522648293145697E-2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1120.2283400000001</v>
      </c>
      <c r="C5" s="17">
        <f>IF(ISERROR('Eigen informatie GS &amp; warmtenet'!B59),0,'Eigen informatie GS &amp; warmtenet'!B59)</f>
        <v>0</v>
      </c>
      <c r="D5" s="30">
        <f>SUM(D6:D15)</f>
        <v>980.20139301649067</v>
      </c>
      <c r="E5" s="17">
        <f>SUM(E6:E15)</f>
        <v>136.28701099902173</v>
      </c>
      <c r="F5" s="17">
        <f>SUM(F6:F15)</f>
        <v>708.7949314525921</v>
      </c>
      <c r="G5" s="18"/>
      <c r="H5" s="17"/>
      <c r="I5" s="17"/>
      <c r="J5" s="17">
        <f>SUM(J6:J15)</f>
        <v>5.5049493960832079</v>
      </c>
      <c r="K5" s="17"/>
      <c r="L5" s="17"/>
      <c r="M5" s="17"/>
      <c r="N5" s="17">
        <f>SUM(N6:N15)</f>
        <v>298.2847137393826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72.670339999999996</v>
      </c>
      <c r="C8" s="33"/>
      <c r="D8" s="37">
        <f>IF( ISERROR(IND_metaal_Gas_kWH/1000),0,IND_metaal_Gas_kWH/1000)*0.902</f>
        <v>0</v>
      </c>
      <c r="E8" s="33">
        <f>C30*'E Balans VL '!I18/100/3.6*1000000</f>
        <v>1.8186842694588949</v>
      </c>
      <c r="F8" s="33">
        <f>C30*'E Balans VL '!L18/100/3.6*1000000+C30*'E Balans VL '!N18/100/3.6*1000000</f>
        <v>22.775246036861382</v>
      </c>
      <c r="G8" s="34"/>
      <c r="H8" s="33"/>
      <c r="I8" s="33"/>
      <c r="J8" s="40">
        <f>C30*'E Balans VL '!D18/100/3.6*1000000+C30*'E Balans VL '!E18/100/3.6*1000000</f>
        <v>0</v>
      </c>
      <c r="K8" s="33"/>
      <c r="L8" s="33"/>
      <c r="M8" s="33"/>
      <c r="N8" s="33">
        <f>C30*'E Balans VL '!Y18/100/3.6*1000000</f>
        <v>1.8256675367779958</v>
      </c>
      <c r="O8" s="33"/>
      <c r="P8" s="33"/>
      <c r="R8" s="32"/>
    </row>
    <row r="9" spans="1:18">
      <c r="A9" s="6" t="s">
        <v>33</v>
      </c>
      <c r="B9" s="37">
        <f t="shared" si="0"/>
        <v>387.41090000000003</v>
      </c>
      <c r="C9" s="33"/>
      <c r="D9" s="37">
        <f>IF( ISERROR(IND_andere_gas_kWh/1000),0,IND_andere_gas_kWh/1000)*0.902</f>
        <v>492.06853019131097</v>
      </c>
      <c r="E9" s="33">
        <f>C31*'E Balans VL '!I19/100/3.6*1000000</f>
        <v>106.52210782039872</v>
      </c>
      <c r="F9" s="33">
        <f>C31*'E Balans VL '!L19/100/3.6*1000000+C31*'E Balans VL '!N19/100/3.6*1000000</f>
        <v>305.34720353681189</v>
      </c>
      <c r="G9" s="34"/>
      <c r="H9" s="33"/>
      <c r="I9" s="33"/>
      <c r="J9" s="40">
        <f>C31*'E Balans VL '!D19/100/3.6*1000000+C31*'E Balans VL '!E19/100/3.6*1000000</f>
        <v>0</v>
      </c>
      <c r="K9" s="33"/>
      <c r="L9" s="33"/>
      <c r="M9" s="33"/>
      <c r="N9" s="33">
        <f>C31*'E Balans VL '!Y19/100/3.6*1000000</f>
        <v>125.41513426656051</v>
      </c>
      <c r="O9" s="33"/>
      <c r="P9" s="33"/>
      <c r="R9" s="32"/>
    </row>
    <row r="10" spans="1:18">
      <c r="A10" s="6" t="s">
        <v>41</v>
      </c>
      <c r="B10" s="37">
        <f t="shared" si="0"/>
        <v>138.5866</v>
      </c>
      <c r="C10" s="33"/>
      <c r="D10" s="37">
        <f>IF( ISERROR(IND_voed_gas_kWh/1000),0,IND_voed_gas_kWh/1000)*0.902</f>
        <v>0</v>
      </c>
      <c r="E10" s="33">
        <f>C32*'E Balans VL '!I20/100/3.6*1000000</f>
        <v>1.4128140392064177</v>
      </c>
      <c r="F10" s="33">
        <f>C32*'E Balans VL '!L20/100/3.6*1000000+C32*'E Balans VL '!N20/100/3.6*1000000</f>
        <v>261.78922062448771</v>
      </c>
      <c r="G10" s="34"/>
      <c r="H10" s="33"/>
      <c r="I10" s="33"/>
      <c r="J10" s="40">
        <f>C32*'E Balans VL '!D20/100/3.6*1000000+C32*'E Balans VL '!E20/100/3.6*1000000</f>
        <v>3.3168307954081819</v>
      </c>
      <c r="K10" s="33"/>
      <c r="L10" s="33"/>
      <c r="M10" s="33"/>
      <c r="N10" s="33">
        <f>C32*'E Balans VL '!Y20/100/3.6*1000000</f>
        <v>73.051101418853193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521.56050000000005</v>
      </c>
      <c r="C15" s="33"/>
      <c r="D15" s="37">
        <f>IF( ISERROR(IND_rest_gas_kWh/1000),0,IND_rest_gas_kWh/1000)*0.902</f>
        <v>488.1328628251797</v>
      </c>
      <c r="E15" s="33">
        <f>C37*'E Balans VL '!I15/100/3.6*1000000</f>
        <v>26.533404869957689</v>
      </c>
      <c r="F15" s="33">
        <f>C37*'E Balans VL '!L15/100/3.6*1000000+C37*'E Balans VL '!N15/100/3.6*1000000</f>
        <v>118.88326125443105</v>
      </c>
      <c r="G15" s="34"/>
      <c r="H15" s="33"/>
      <c r="I15" s="33"/>
      <c r="J15" s="40">
        <f>C37*'E Balans VL '!D15/100/3.6*1000000+C37*'E Balans VL '!E15/100/3.6*1000000</f>
        <v>2.1881186006750259</v>
      </c>
      <c r="K15" s="33"/>
      <c r="L15" s="33"/>
      <c r="M15" s="33"/>
      <c r="N15" s="33">
        <f>C37*'E Balans VL '!Y15/100/3.6*1000000</f>
        <v>97.992810517190861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1120.2283400000001</v>
      </c>
      <c r="C18" s="21">
        <f>C5+C16</f>
        <v>0</v>
      </c>
      <c r="D18" s="21">
        <f>MAX((D5+D16),0)</f>
        <v>980.20139301649067</v>
      </c>
      <c r="E18" s="21">
        <f>MAX((E5+E16),0)</f>
        <v>136.28701099902173</v>
      </c>
      <c r="F18" s="21">
        <f>MAX((F5+F16),0)</f>
        <v>708.7949314525921</v>
      </c>
      <c r="G18" s="21"/>
      <c r="H18" s="21"/>
      <c r="I18" s="21"/>
      <c r="J18" s="21">
        <f>MAX((J5+J16),0)</f>
        <v>5.5049493960832079</v>
      </c>
      <c r="K18" s="21"/>
      <c r="L18" s="21">
        <f>MAX((L5+L16),0)</f>
        <v>0</v>
      </c>
      <c r="M18" s="21"/>
      <c r="N18" s="21">
        <f>MAX((N5+N16),0)</f>
        <v>298.2847137393826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0.20316358076174698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227.58960082518777</v>
      </c>
      <c r="C22" s="23">
        <f ca="1">C18*C20</f>
        <v>0</v>
      </c>
      <c r="D22" s="23">
        <f>D18*D20</f>
        <v>198.00068138933113</v>
      </c>
      <c r="E22" s="23">
        <f>E18*E20</f>
        <v>30.937151496777933</v>
      </c>
      <c r="F22" s="23">
        <f>F18*F20</f>
        <v>189.24824669784209</v>
      </c>
      <c r="G22" s="23"/>
      <c r="H22" s="23"/>
      <c r="I22" s="23"/>
      <c r="J22" s="23">
        <f>J18*J20</f>
        <v>1.9487520862134555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72.670339999999996</v>
      </c>
      <c r="C30" s="39">
        <f>IF(ISERROR(B30*3.6/1000000/'E Balans VL '!Z18*100),0,B30*3.6/1000000/'E Balans VL '!Z18*100)</f>
        <v>1.0171425834165512E-2</v>
      </c>
      <c r="D30" s="237" t="s">
        <v>692</v>
      </c>
    </row>
    <row r="31" spans="1:18">
      <c r="A31" s="6" t="s">
        <v>33</v>
      </c>
      <c r="B31" s="37">
        <f>IF( ISERROR(IND_ander_ele_kWh/1000),0,IND_ander_ele_kWh/1000)</f>
        <v>387.41090000000003</v>
      </c>
      <c r="C31" s="39">
        <f>IF(ISERROR(B31*3.6/1000000/'E Balans VL '!Z19*100),0,B31*3.6/1000000/'E Balans VL '!Z19*100)</f>
        <v>1.6956912246023078E-2</v>
      </c>
      <c r="D31" s="237" t="s">
        <v>692</v>
      </c>
    </row>
    <row r="32" spans="1:18">
      <c r="A32" s="171" t="s">
        <v>41</v>
      </c>
      <c r="B32" s="37">
        <f>IF( ISERROR(IND_voed_ele_kWh/1000),0,IND_voed_ele_kWh/1000)</f>
        <v>138.5866</v>
      </c>
      <c r="C32" s="39">
        <f>IF(ISERROR(B32*3.6/1000000/'E Balans VL '!Z20*100),0,B32*3.6/1000000/'E Balans VL '!Z20*100)</f>
        <v>3.4309439926021403E-2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521.56050000000005</v>
      </c>
      <c r="C37" s="39">
        <f>IF(ISERROR(B37*3.6/1000000/'E Balans VL '!Z15*100),0,B37*3.6/1000000/'E Balans VL '!Z15*100)</f>
        <v>3.8672818125637561E-3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64.369020000000006</v>
      </c>
      <c r="C5" s="17">
        <f>'Eigen informatie GS &amp; warmtenet'!B60</f>
        <v>0</v>
      </c>
      <c r="D5" s="30">
        <f>IF(ISERROR(SUM(LB_lb_gas_kWh,LB_rest_gas_kWh,onbekend_gas_kWh)/1000),0,SUM(LB_lb_gas_kWh,LB_rest_gas_kWh,onbekend_gas_kWh)/1000)*0.902</f>
        <v>1533.0137708687848</v>
      </c>
      <c r="E5" s="17">
        <f>B17*'E Balans VL '!I25/3.6*1000000/100</f>
        <v>0.59621282346381166</v>
      </c>
      <c r="F5" s="17">
        <f>B17*('E Balans VL '!L25/3.6*1000000+'E Balans VL '!N25/3.6*1000000)/100</f>
        <v>163.31646602572621</v>
      </c>
      <c r="G5" s="18"/>
      <c r="H5" s="17"/>
      <c r="I5" s="17"/>
      <c r="J5" s="17">
        <f>('E Balans VL '!D25+'E Balans VL '!E25)/3.6*1000000*landbouw!B17/100</f>
        <v>9.8684891263598047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64.369020000000006</v>
      </c>
      <c r="C8" s="21">
        <f>C5+C6</f>
        <v>0</v>
      </c>
      <c r="D8" s="21">
        <f>MAX((D5+D6),0)</f>
        <v>1533.0137708687848</v>
      </c>
      <c r="E8" s="21">
        <f>MAX((E5+E6),0)</f>
        <v>0.59621282346381166</v>
      </c>
      <c r="F8" s="21">
        <f>MAX((F5+F6),0)</f>
        <v>163.31646602572621</v>
      </c>
      <c r="G8" s="21"/>
      <c r="H8" s="21"/>
      <c r="I8" s="21"/>
      <c r="J8" s="21">
        <f>MAX((J5+J6),0)</f>
        <v>9.8684891263598047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0.20316358076174698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13.077440593324507</v>
      </c>
      <c r="C12" s="23">
        <f ca="1">C8*C10</f>
        <v>0</v>
      </c>
      <c r="D12" s="23">
        <f>D8*D10</f>
        <v>309.66878171549456</v>
      </c>
      <c r="E12" s="23">
        <f>E8*E10</f>
        <v>0.13534031092628526</v>
      </c>
      <c r="F12" s="23">
        <f>F8*F10</f>
        <v>43.605496428868904</v>
      </c>
      <c r="G12" s="23"/>
      <c r="H12" s="23"/>
      <c r="I12" s="23"/>
      <c r="J12" s="23">
        <f>J8*J10</f>
        <v>3.4934451507313709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9.1519097848613683E-3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7.8585935134689482</v>
      </c>
      <c r="C26" s="247">
        <f>B26*'GWP N2O_CH4'!B5</f>
        <v>165.0304637828479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0.54792121816696504</v>
      </c>
      <c r="C27" s="247">
        <f>B27*'GWP N2O_CH4'!B5</f>
        <v>11.506345581506267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0.12129455312843636</v>
      </c>
      <c r="C28" s="247">
        <f>B28*'GWP N2O_CH4'!B4</f>
        <v>37.601311469815272</v>
      </c>
      <c r="D28" s="50"/>
    </row>
    <row r="29" spans="1:4">
      <c r="A29" s="41" t="s">
        <v>277</v>
      </c>
      <c r="B29" s="247">
        <f>B34*'ha_N2O bodem landbouw'!B4</f>
        <v>0.81423381915349347</v>
      </c>
      <c r="C29" s="247">
        <f>B29*'GWP N2O_CH4'!B4</f>
        <v>252.41248393758298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1.8261830102622576E-4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4.9256930224581758E-6</v>
      </c>
      <c r="C5" s="464" t="s">
        <v>211</v>
      </c>
      <c r="D5" s="449">
        <f>SUM(D6:D11)</f>
        <v>1.1888910297772022E-5</v>
      </c>
      <c r="E5" s="449">
        <f>SUM(E6:E11)</f>
        <v>7.6841317706240227E-5</v>
      </c>
      <c r="F5" s="462" t="s">
        <v>211</v>
      </c>
      <c r="G5" s="449">
        <f>SUM(G6:G11)</f>
        <v>2.0702795066404111E-2</v>
      </c>
      <c r="H5" s="449">
        <f>SUM(H6:H11)</f>
        <v>4.520484856223991E-3</v>
      </c>
      <c r="I5" s="464" t="s">
        <v>211</v>
      </c>
      <c r="J5" s="464" t="s">
        <v>211</v>
      </c>
      <c r="K5" s="464" t="s">
        <v>211</v>
      </c>
      <c r="L5" s="464" t="s">
        <v>211</v>
      </c>
      <c r="M5" s="449">
        <f>SUM(M6:M11)</f>
        <v>1.3367207614846297E-3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4.6471718701027569E-6</v>
      </c>
      <c r="C6" s="450"/>
      <c r="D6" s="963">
        <f>vkm_2011_GW_PW*SUMIFS(TableVerdeelsleutelVkm[CNG],TableVerdeelsleutelVkm[Voertuigtype],"Lichte voertuigen")*SUMIFS(TableECFTransport[EnergieConsumptieFactor (PJ per km)],TableECFTransport[Index],CONCATENATE($A6,"_CNG_CNG"))</f>
        <v>1.0749420167976358E-5</v>
      </c>
      <c r="E6" s="963">
        <f>vkm_2011_GW_PW*SUMIFS(TableVerdeelsleutelVkm[LPG],TableVerdeelsleutelVkm[Voertuigtype],"Lichte voertuigen")*SUMIFS(TableECFTransport[EnergieConsumptieFactor (PJ per km)],TableECFTransport[Index],CONCATENATE($A6,"_LPG_LPG"))</f>
        <v>6.9993732740850992E-5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1.4540680144384852E-2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4.09871724056901E-3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9.6728809891420578E-4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4.8309505882168282E-3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1.6520973670206156E-6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2.7949787459895795E-4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2.7852115235541924E-7</v>
      </c>
      <c r="C8" s="450"/>
      <c r="D8" s="452">
        <f>vkm_2011_NGW_PW*SUMIFS(TableVerdeelsleutelVkm[CNG],TableVerdeelsleutelVkm[Voertuigtype],"Lichte voertuigen")*SUMIFS(TableECFTransport[EnergieConsumptieFactor (PJ per km)],TableECFTransport[Index],CONCATENATE($A8,"_CNG_CNG"))</f>
        <v>1.1394901297956641E-6</v>
      </c>
      <c r="E8" s="452">
        <f>vkm_2011_NGW_PW*SUMIFS(TableVerdeelsleutelVkm[LPG],TableVerdeelsleutelVkm[Voertuigtype],"Lichte voertuigen")*SUMIFS(TableECFTransport[EnergieConsumptieFactor (PJ per km)],TableECFTransport[Index],CONCATENATE($A8,"_LPG_LPG"))</f>
        <v>6.8475849653892369E-6</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1.3297909407344419E-3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4.2011507387396222E-4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8.9855330175421373E-5</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1.3733930679858013E-6</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4.4441399857735342E-10</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7.9457796044570884E-8</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1.3682480617939377</v>
      </c>
      <c r="C14" s="21"/>
      <c r="D14" s="21">
        <f t="shared" ref="D14:M14" si="0">((D5)*10^9/3600)+D12</f>
        <v>3.3024750827144502</v>
      </c>
      <c r="E14" s="21">
        <f t="shared" si="0"/>
        <v>21.344810473955619</v>
      </c>
      <c r="F14" s="21"/>
      <c r="G14" s="21">
        <f t="shared" si="0"/>
        <v>5750.7764073344752</v>
      </c>
      <c r="H14" s="21">
        <f t="shared" si="0"/>
        <v>1255.6902378399975</v>
      </c>
      <c r="I14" s="21"/>
      <c r="J14" s="21"/>
      <c r="K14" s="21"/>
      <c r="L14" s="21"/>
      <c r="M14" s="21">
        <f t="shared" si="0"/>
        <v>371.31132263461939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0.20316358076174698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0.27797817560437643</v>
      </c>
      <c r="C18" s="23"/>
      <c r="D18" s="23">
        <f t="shared" ref="D18:M18" si="1">D14*D16</f>
        <v>0.66709996670831895</v>
      </c>
      <c r="E18" s="23">
        <f t="shared" si="1"/>
        <v>4.8452719775879256</v>
      </c>
      <c r="F18" s="23"/>
      <c r="G18" s="23">
        <f t="shared" si="1"/>
        <v>1535.4573007583049</v>
      </c>
      <c r="H18" s="23">
        <f t="shared" si="1"/>
        <v>312.66686922215939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1.8236642919282143E-3</v>
      </c>
      <c r="H50" s="321">
        <f t="shared" si="2"/>
        <v>0</v>
      </c>
      <c r="I50" s="321">
        <f t="shared" si="2"/>
        <v>0</v>
      </c>
      <c r="J50" s="321">
        <f t="shared" si="2"/>
        <v>0</v>
      </c>
      <c r="K50" s="321">
        <f t="shared" si="2"/>
        <v>0</v>
      </c>
      <c r="L50" s="321">
        <f t="shared" si="2"/>
        <v>0</v>
      </c>
      <c r="M50" s="321">
        <f t="shared" si="2"/>
        <v>1.039982583000716E-4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1.8236642919282143E-3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1.039982583000716E-4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506.57341442450394</v>
      </c>
      <c r="H54" s="21">
        <f t="shared" si="3"/>
        <v>0</v>
      </c>
      <c r="I54" s="21">
        <f t="shared" si="3"/>
        <v>0</v>
      </c>
      <c r="J54" s="21">
        <f t="shared" si="3"/>
        <v>0</v>
      </c>
      <c r="K54" s="21">
        <f t="shared" si="3"/>
        <v>0</v>
      </c>
      <c r="L54" s="21">
        <f t="shared" si="3"/>
        <v>0</v>
      </c>
      <c r="M54" s="21">
        <f t="shared" si="3"/>
        <v>28.88840508335322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0.20316358076174698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135.25510165134256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1866.8098857199639</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1866.8098857199639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6747.2204499999998</v>
      </c>
      <c r="D10" s="719">
        <f ca="1">tertiair!C16</f>
        <v>0</v>
      </c>
      <c r="E10" s="719">
        <f ca="1">tertiair!D16</f>
        <v>12849.018056786947</v>
      </c>
      <c r="F10" s="719">
        <f>tertiair!E16</f>
        <v>45.758191871375566</v>
      </c>
      <c r="G10" s="719">
        <f ca="1">tertiair!F16</f>
        <v>830.5232921301606</v>
      </c>
      <c r="H10" s="719">
        <f>tertiair!G16</f>
        <v>0</v>
      </c>
      <c r="I10" s="719">
        <f>tertiair!H16</f>
        <v>0</v>
      </c>
      <c r="J10" s="719">
        <f>tertiair!I16</f>
        <v>0</v>
      </c>
      <c r="K10" s="719">
        <f>tertiair!J16</f>
        <v>0</v>
      </c>
      <c r="L10" s="719">
        <f>tertiair!K16</f>
        <v>0</v>
      </c>
      <c r="M10" s="719">
        <f ca="1">tertiair!L16</f>
        <v>0</v>
      </c>
      <c r="N10" s="719">
        <f>tertiair!M16</f>
        <v>0</v>
      </c>
      <c r="O10" s="719">
        <f ca="1">tertiair!N16</f>
        <v>344.18105955940371</v>
      </c>
      <c r="P10" s="719">
        <f>tertiair!O16</f>
        <v>0</v>
      </c>
      <c r="Q10" s="720">
        <f>tertiair!P16</f>
        <v>0</v>
      </c>
      <c r="R10" s="722">
        <f ca="1">SUM(C10:Q10)</f>
        <v>20816.701050347889</v>
      </c>
      <c r="S10" s="67"/>
    </row>
    <row r="11" spans="1:19" s="475" customFormat="1">
      <c r="A11" s="871" t="s">
        <v>225</v>
      </c>
      <c r="B11" s="876"/>
      <c r="C11" s="719">
        <f>huishoudens!B8</f>
        <v>15197.296536746295</v>
      </c>
      <c r="D11" s="719">
        <f>huishoudens!C8</f>
        <v>0</v>
      </c>
      <c r="E11" s="719">
        <f>huishoudens!D8</f>
        <v>38831.848513897829</v>
      </c>
      <c r="F11" s="719">
        <f>huishoudens!E8</f>
        <v>399.18440306251762</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2825.7811454545372</v>
      </c>
      <c r="P11" s="719">
        <f>huishoudens!O8</f>
        <v>115.68666666666667</v>
      </c>
      <c r="Q11" s="720">
        <f>huishoudens!P8</f>
        <v>266.93333333333334</v>
      </c>
      <c r="R11" s="722">
        <f>SUM(C11:Q11)</f>
        <v>57636.730599161179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1120.2283400000001</v>
      </c>
      <c r="D13" s="719">
        <f>industrie!C18</f>
        <v>0</v>
      </c>
      <c r="E13" s="719">
        <f>industrie!D18</f>
        <v>980.20139301649067</v>
      </c>
      <c r="F13" s="719">
        <f>industrie!E18</f>
        <v>136.28701099902173</v>
      </c>
      <c r="G13" s="719">
        <f>industrie!F18</f>
        <v>708.7949314525921</v>
      </c>
      <c r="H13" s="719">
        <f>industrie!G18</f>
        <v>0</v>
      </c>
      <c r="I13" s="719">
        <f>industrie!H18</f>
        <v>0</v>
      </c>
      <c r="J13" s="719">
        <f>industrie!I18</f>
        <v>0</v>
      </c>
      <c r="K13" s="719">
        <f>industrie!J18</f>
        <v>5.5049493960832079</v>
      </c>
      <c r="L13" s="719">
        <f>industrie!K18</f>
        <v>0</v>
      </c>
      <c r="M13" s="719">
        <f>industrie!L18</f>
        <v>0</v>
      </c>
      <c r="N13" s="719">
        <f>industrie!M18</f>
        <v>0</v>
      </c>
      <c r="O13" s="719">
        <f>industrie!N18</f>
        <v>298.2847137393826</v>
      </c>
      <c r="P13" s="719">
        <f>industrie!O18</f>
        <v>0</v>
      </c>
      <c r="Q13" s="720">
        <f>industrie!P18</f>
        <v>0</v>
      </c>
      <c r="R13" s="722">
        <f>SUM(C13:Q13)</f>
        <v>3249.3013386035709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23064.745326746295</v>
      </c>
      <c r="D15" s="724">
        <f t="shared" ref="D15:Q15" ca="1" si="0">SUM(D9:D14)</f>
        <v>0</v>
      </c>
      <c r="E15" s="724">
        <f t="shared" ca="1" si="0"/>
        <v>52661.067963701265</v>
      </c>
      <c r="F15" s="724">
        <f t="shared" si="0"/>
        <v>581.22960593291486</v>
      </c>
      <c r="G15" s="724">
        <f t="shared" ca="1" si="0"/>
        <v>1539.3182235827526</v>
      </c>
      <c r="H15" s="724">
        <f t="shared" si="0"/>
        <v>0</v>
      </c>
      <c r="I15" s="724">
        <f t="shared" si="0"/>
        <v>0</v>
      </c>
      <c r="J15" s="724">
        <f t="shared" si="0"/>
        <v>0</v>
      </c>
      <c r="K15" s="724">
        <f t="shared" si="0"/>
        <v>5.5049493960832079</v>
      </c>
      <c r="L15" s="724">
        <f t="shared" si="0"/>
        <v>0</v>
      </c>
      <c r="M15" s="724">
        <f t="shared" ca="1" si="0"/>
        <v>0</v>
      </c>
      <c r="N15" s="724">
        <f t="shared" si="0"/>
        <v>0</v>
      </c>
      <c r="O15" s="724">
        <f t="shared" ca="1" si="0"/>
        <v>3468.2469187533234</v>
      </c>
      <c r="P15" s="724">
        <f t="shared" si="0"/>
        <v>115.68666666666667</v>
      </c>
      <c r="Q15" s="725">
        <f t="shared" si="0"/>
        <v>266.93333333333334</v>
      </c>
      <c r="R15" s="726">
        <f ca="1">SUM(R9:R14)</f>
        <v>81702.732988112635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506.57341442450394</v>
      </c>
      <c r="I18" s="719">
        <f>transport!H54</f>
        <v>0</v>
      </c>
      <c r="J18" s="719">
        <f>transport!I54</f>
        <v>0</v>
      </c>
      <c r="K18" s="719">
        <f>transport!J54</f>
        <v>0</v>
      </c>
      <c r="L18" s="719">
        <f>transport!K54</f>
        <v>0</v>
      </c>
      <c r="M18" s="719">
        <f>transport!L54</f>
        <v>0</v>
      </c>
      <c r="N18" s="719">
        <f>transport!M54</f>
        <v>28.88840508335322</v>
      </c>
      <c r="O18" s="719">
        <f>transport!N54</f>
        <v>0</v>
      </c>
      <c r="P18" s="719">
        <f>transport!O54</f>
        <v>0</v>
      </c>
      <c r="Q18" s="720">
        <f>transport!P54</f>
        <v>0</v>
      </c>
      <c r="R18" s="722">
        <f>SUM(C18:Q18)</f>
        <v>535.46181950785717</v>
      </c>
      <c r="S18" s="67"/>
    </row>
    <row r="19" spans="1:19" s="475" customFormat="1" ht="15" thickBot="1">
      <c r="A19" s="871" t="s">
        <v>307</v>
      </c>
      <c r="B19" s="876"/>
      <c r="C19" s="728">
        <f>transport!B14</f>
        <v>1.3682480617939377</v>
      </c>
      <c r="D19" s="728">
        <f>transport!C14</f>
        <v>0</v>
      </c>
      <c r="E19" s="728">
        <f>transport!D14</f>
        <v>3.3024750827144502</v>
      </c>
      <c r="F19" s="728">
        <f>transport!E14</f>
        <v>21.344810473955619</v>
      </c>
      <c r="G19" s="728">
        <f>transport!F14</f>
        <v>0</v>
      </c>
      <c r="H19" s="728">
        <f>transport!G14</f>
        <v>5750.7764073344752</v>
      </c>
      <c r="I19" s="728">
        <f>transport!H14</f>
        <v>1255.6902378399975</v>
      </c>
      <c r="J19" s="728">
        <f>transport!I14</f>
        <v>0</v>
      </c>
      <c r="K19" s="728">
        <f>transport!J14</f>
        <v>0</v>
      </c>
      <c r="L19" s="728">
        <f>transport!K14</f>
        <v>0</v>
      </c>
      <c r="M19" s="728">
        <f>transport!L14</f>
        <v>0</v>
      </c>
      <c r="N19" s="728">
        <f>transport!M14</f>
        <v>371.31132263461939</v>
      </c>
      <c r="O19" s="728">
        <f>transport!N14</f>
        <v>0</v>
      </c>
      <c r="P19" s="728">
        <f>transport!O14</f>
        <v>0</v>
      </c>
      <c r="Q19" s="729">
        <f>transport!P14</f>
        <v>0</v>
      </c>
      <c r="R19" s="730">
        <f>SUM(C19:Q19)</f>
        <v>7403.7935014275563</v>
      </c>
      <c r="S19" s="67"/>
    </row>
    <row r="20" spans="1:19" s="475" customFormat="1" ht="15.75" thickBot="1">
      <c r="A20" s="731" t="s">
        <v>230</v>
      </c>
      <c r="B20" s="879"/>
      <c r="C20" s="874">
        <f>SUM(C17:C19)</f>
        <v>1.3682480617939377</v>
      </c>
      <c r="D20" s="732">
        <f t="shared" ref="D20:R20" si="1">SUM(D17:D19)</f>
        <v>0</v>
      </c>
      <c r="E20" s="732">
        <f t="shared" si="1"/>
        <v>3.3024750827144502</v>
      </c>
      <c r="F20" s="732">
        <f t="shared" si="1"/>
        <v>21.344810473955619</v>
      </c>
      <c r="G20" s="732">
        <f t="shared" si="1"/>
        <v>0</v>
      </c>
      <c r="H20" s="732">
        <f t="shared" si="1"/>
        <v>6257.3498217589795</v>
      </c>
      <c r="I20" s="732">
        <f t="shared" si="1"/>
        <v>1255.6902378399975</v>
      </c>
      <c r="J20" s="732">
        <f t="shared" si="1"/>
        <v>0</v>
      </c>
      <c r="K20" s="732">
        <f t="shared" si="1"/>
        <v>0</v>
      </c>
      <c r="L20" s="732">
        <f t="shared" si="1"/>
        <v>0</v>
      </c>
      <c r="M20" s="732">
        <f t="shared" si="1"/>
        <v>0</v>
      </c>
      <c r="N20" s="732">
        <f t="shared" si="1"/>
        <v>400.19972771797262</v>
      </c>
      <c r="O20" s="732">
        <f t="shared" si="1"/>
        <v>0</v>
      </c>
      <c r="P20" s="732">
        <f t="shared" si="1"/>
        <v>0</v>
      </c>
      <c r="Q20" s="733">
        <f t="shared" si="1"/>
        <v>0</v>
      </c>
      <c r="R20" s="734">
        <f t="shared" si="1"/>
        <v>7939.2553209354137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64.369020000000006</v>
      </c>
      <c r="D22" s="728">
        <f>+landbouw!C8</f>
        <v>0</v>
      </c>
      <c r="E22" s="728">
        <f>+landbouw!D8</f>
        <v>1533.0137708687848</v>
      </c>
      <c r="F22" s="728">
        <f>+landbouw!E8</f>
        <v>0.59621282346381166</v>
      </c>
      <c r="G22" s="728">
        <f>+landbouw!F8</f>
        <v>163.31646602572621</v>
      </c>
      <c r="H22" s="728">
        <f>+landbouw!G8</f>
        <v>0</v>
      </c>
      <c r="I22" s="728">
        <f>+landbouw!H8</f>
        <v>0</v>
      </c>
      <c r="J22" s="728">
        <f>+landbouw!I8</f>
        <v>0</v>
      </c>
      <c r="K22" s="728">
        <f>+landbouw!J8</f>
        <v>9.8684891263598047</v>
      </c>
      <c r="L22" s="728">
        <f>+landbouw!K8</f>
        <v>0</v>
      </c>
      <c r="M22" s="728">
        <f>+landbouw!L8</f>
        <v>0</v>
      </c>
      <c r="N22" s="728">
        <f>+landbouw!M8</f>
        <v>0</v>
      </c>
      <c r="O22" s="728">
        <f>+landbouw!N8</f>
        <v>0</v>
      </c>
      <c r="P22" s="728">
        <f>+landbouw!O8</f>
        <v>0</v>
      </c>
      <c r="Q22" s="729">
        <f>+landbouw!P8</f>
        <v>0</v>
      </c>
      <c r="R22" s="730">
        <f>SUM(C22:Q22)</f>
        <v>1771.1639588443345</v>
      </c>
      <c r="S22" s="67"/>
    </row>
    <row r="23" spans="1:19" s="475" customFormat="1" ht="17.25" thickTop="1" thickBot="1">
      <c r="A23" s="735" t="s">
        <v>116</v>
      </c>
      <c r="B23" s="865"/>
      <c r="C23" s="736">
        <f ca="1">C20+C15+C22</f>
        <v>23130.482594808087</v>
      </c>
      <c r="D23" s="736">
        <f t="shared" ref="D23:Q23" ca="1" si="2">D20+D15+D22</f>
        <v>0</v>
      </c>
      <c r="E23" s="736">
        <f t="shared" ca="1" si="2"/>
        <v>54197.384209652766</v>
      </c>
      <c r="F23" s="736">
        <f t="shared" si="2"/>
        <v>603.17062923033427</v>
      </c>
      <c r="G23" s="736">
        <f t="shared" ca="1" si="2"/>
        <v>1702.6346896084788</v>
      </c>
      <c r="H23" s="736">
        <f t="shared" si="2"/>
        <v>6257.3498217589795</v>
      </c>
      <c r="I23" s="736">
        <f t="shared" si="2"/>
        <v>1255.6902378399975</v>
      </c>
      <c r="J23" s="736">
        <f t="shared" si="2"/>
        <v>0</v>
      </c>
      <c r="K23" s="736">
        <f t="shared" si="2"/>
        <v>15.373438522443013</v>
      </c>
      <c r="L23" s="736">
        <f t="shared" si="2"/>
        <v>0</v>
      </c>
      <c r="M23" s="736">
        <f t="shared" ca="1" si="2"/>
        <v>0</v>
      </c>
      <c r="N23" s="736">
        <f t="shared" si="2"/>
        <v>400.19972771797262</v>
      </c>
      <c r="O23" s="736">
        <f t="shared" ca="1" si="2"/>
        <v>3468.2469187533234</v>
      </c>
      <c r="P23" s="736">
        <f t="shared" si="2"/>
        <v>115.68666666666667</v>
      </c>
      <c r="Q23" s="737">
        <f t="shared" si="2"/>
        <v>266.93333333333334</v>
      </c>
      <c r="R23" s="738">
        <f ca="1">R20+R15+R22</f>
        <v>91413.152267892379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1370.7894668108856</v>
      </c>
      <c r="D36" s="719">
        <f ca="1">tertiair!C20</f>
        <v>0</v>
      </c>
      <c r="E36" s="719">
        <f ca="1">tertiair!D20</f>
        <v>2595.5016474709632</v>
      </c>
      <c r="F36" s="719">
        <f>tertiair!E20</f>
        <v>10.387109554802255</v>
      </c>
      <c r="G36" s="719">
        <f ca="1">tertiair!F20</f>
        <v>221.74971899875288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4198.4279428354039</v>
      </c>
    </row>
    <row r="37" spans="1:18">
      <c r="A37" s="886" t="s">
        <v>225</v>
      </c>
      <c r="B37" s="893"/>
      <c r="C37" s="719">
        <f ca="1">huishoudens!B12</f>
        <v>3087.5371823034734</v>
      </c>
      <c r="D37" s="719">
        <f ca="1">huishoudens!C12</f>
        <v>0</v>
      </c>
      <c r="E37" s="719">
        <f>huishoudens!D12</f>
        <v>7844.033399807362</v>
      </c>
      <c r="F37" s="719">
        <f>huishoudens!E12</f>
        <v>90.614859495191496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11022.185441606027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227.58960082518777</v>
      </c>
      <c r="D39" s="719">
        <f ca="1">industrie!C22</f>
        <v>0</v>
      </c>
      <c r="E39" s="719">
        <f>industrie!D22</f>
        <v>198.00068138933113</v>
      </c>
      <c r="F39" s="719">
        <f>industrie!E22</f>
        <v>30.937151496777933</v>
      </c>
      <c r="G39" s="719">
        <f>industrie!F22</f>
        <v>189.24824669784209</v>
      </c>
      <c r="H39" s="719">
        <f>industrie!G22</f>
        <v>0</v>
      </c>
      <c r="I39" s="719">
        <f>industrie!H22</f>
        <v>0</v>
      </c>
      <c r="J39" s="719">
        <f>industrie!I22</f>
        <v>0</v>
      </c>
      <c r="K39" s="719">
        <f>industrie!J22</f>
        <v>1.9487520862134555</v>
      </c>
      <c r="L39" s="719">
        <f>industrie!K22</f>
        <v>0</v>
      </c>
      <c r="M39" s="719">
        <f>industrie!L22</f>
        <v>0</v>
      </c>
      <c r="N39" s="719">
        <f>industrie!M22</f>
        <v>0</v>
      </c>
      <c r="O39" s="719">
        <f>industrie!N22</f>
        <v>0</v>
      </c>
      <c r="P39" s="719">
        <f>industrie!O22</f>
        <v>0</v>
      </c>
      <c r="Q39" s="829">
        <f>industrie!P22</f>
        <v>0</v>
      </c>
      <c r="R39" s="919">
        <f ca="1">SUM(C39:Q39)</f>
        <v>647.72443249535229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4685.9162499395461</v>
      </c>
      <c r="D41" s="764">
        <f t="shared" ref="D41:R41" ca="1" si="4">SUM(D35:D40)</f>
        <v>0</v>
      </c>
      <c r="E41" s="764">
        <f t="shared" ca="1" si="4"/>
        <v>10637.535728667655</v>
      </c>
      <c r="F41" s="764">
        <f t="shared" si="4"/>
        <v>131.93912054677168</v>
      </c>
      <c r="G41" s="764">
        <f t="shared" ca="1" si="4"/>
        <v>410.99796569659497</v>
      </c>
      <c r="H41" s="764">
        <f t="shared" si="4"/>
        <v>0</v>
      </c>
      <c r="I41" s="764">
        <f t="shared" si="4"/>
        <v>0</v>
      </c>
      <c r="J41" s="764">
        <f t="shared" si="4"/>
        <v>0</v>
      </c>
      <c r="K41" s="764">
        <f t="shared" si="4"/>
        <v>1.9487520862134555</v>
      </c>
      <c r="L41" s="764">
        <f t="shared" si="4"/>
        <v>0</v>
      </c>
      <c r="M41" s="764">
        <f t="shared" ca="1" si="4"/>
        <v>0</v>
      </c>
      <c r="N41" s="764">
        <f t="shared" si="4"/>
        <v>0</v>
      </c>
      <c r="O41" s="764">
        <f t="shared" ca="1" si="4"/>
        <v>0</v>
      </c>
      <c r="P41" s="764">
        <f t="shared" si="4"/>
        <v>0</v>
      </c>
      <c r="Q41" s="765">
        <f t="shared" si="4"/>
        <v>0</v>
      </c>
      <c r="R41" s="766">
        <f t="shared" ca="1" si="4"/>
        <v>15868.337816936782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135.25510165134256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135.25510165134256</v>
      </c>
    </row>
    <row r="45" spans="1:18" ht="15" thickBot="1">
      <c r="A45" s="889" t="s">
        <v>307</v>
      </c>
      <c r="B45" s="899"/>
      <c r="C45" s="728">
        <f ca="1">transport!B18</f>
        <v>0.27797817560437643</v>
      </c>
      <c r="D45" s="728">
        <f>transport!C18</f>
        <v>0</v>
      </c>
      <c r="E45" s="728">
        <f>transport!D18</f>
        <v>0.66709996670831895</v>
      </c>
      <c r="F45" s="728">
        <f>transport!E18</f>
        <v>4.8452719775879256</v>
      </c>
      <c r="G45" s="728">
        <f>transport!F18</f>
        <v>0</v>
      </c>
      <c r="H45" s="728">
        <f>transport!G18</f>
        <v>1535.4573007583049</v>
      </c>
      <c r="I45" s="728">
        <f>transport!H18</f>
        <v>312.66686922215939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1853.9145201003651</v>
      </c>
    </row>
    <row r="46" spans="1:18" ht="15.75" thickBot="1">
      <c r="A46" s="887" t="s">
        <v>230</v>
      </c>
      <c r="B46" s="900"/>
      <c r="C46" s="764">
        <f t="shared" ref="C46:R46" ca="1" si="5">SUM(C43:C45)</f>
        <v>0.27797817560437643</v>
      </c>
      <c r="D46" s="764">
        <f t="shared" ca="1" si="5"/>
        <v>0</v>
      </c>
      <c r="E46" s="764">
        <f t="shared" si="5"/>
        <v>0.66709996670831895</v>
      </c>
      <c r="F46" s="764">
        <f t="shared" si="5"/>
        <v>4.8452719775879256</v>
      </c>
      <c r="G46" s="764">
        <f t="shared" si="5"/>
        <v>0</v>
      </c>
      <c r="H46" s="764">
        <f t="shared" si="5"/>
        <v>1670.7124024096474</v>
      </c>
      <c r="I46" s="764">
        <f t="shared" si="5"/>
        <v>312.66686922215939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1989.1696217517076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13.077440593324507</v>
      </c>
      <c r="D48" s="719">
        <f ca="1">+landbouw!C12</f>
        <v>0</v>
      </c>
      <c r="E48" s="719">
        <f>+landbouw!D12</f>
        <v>309.66878171549456</v>
      </c>
      <c r="F48" s="719">
        <f>+landbouw!E12</f>
        <v>0.13534031092628526</v>
      </c>
      <c r="G48" s="719">
        <f>+landbouw!F12</f>
        <v>43.605496428868904</v>
      </c>
      <c r="H48" s="719">
        <f>+landbouw!G12</f>
        <v>0</v>
      </c>
      <c r="I48" s="719">
        <f>+landbouw!H12</f>
        <v>0</v>
      </c>
      <c r="J48" s="719">
        <f>+landbouw!I12</f>
        <v>0</v>
      </c>
      <c r="K48" s="719">
        <f>+landbouw!J12</f>
        <v>3.4934451507313709</v>
      </c>
      <c r="L48" s="719">
        <f>+landbouw!K12</f>
        <v>0</v>
      </c>
      <c r="M48" s="719">
        <f>+landbouw!L12</f>
        <v>0</v>
      </c>
      <c r="N48" s="719">
        <f>+landbouw!M12</f>
        <v>0</v>
      </c>
      <c r="O48" s="719">
        <f>+landbouw!N12</f>
        <v>0</v>
      </c>
      <c r="P48" s="719">
        <f>+landbouw!O12</f>
        <v>0</v>
      </c>
      <c r="Q48" s="720">
        <f>+landbouw!P12</f>
        <v>0</v>
      </c>
      <c r="R48" s="762">
        <f ca="1">SUM(C48:Q48)</f>
        <v>369.9805041993456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4699.2716687084749</v>
      </c>
      <c r="D53" s="774">
        <f t="shared" ref="D53:Q53" ca="1" si="6">D41+D46+D48</f>
        <v>0</v>
      </c>
      <c r="E53" s="774">
        <f t="shared" ca="1" si="6"/>
        <v>10947.871610349857</v>
      </c>
      <c r="F53" s="774">
        <f t="shared" si="6"/>
        <v>136.91973283528588</v>
      </c>
      <c r="G53" s="774">
        <f t="shared" ca="1" si="6"/>
        <v>454.60346212546386</v>
      </c>
      <c r="H53" s="774">
        <f t="shared" si="6"/>
        <v>1670.7124024096474</v>
      </c>
      <c r="I53" s="774">
        <f t="shared" si="6"/>
        <v>312.66686922215939</v>
      </c>
      <c r="J53" s="774">
        <f t="shared" si="6"/>
        <v>0</v>
      </c>
      <c r="K53" s="774">
        <f t="shared" si="6"/>
        <v>5.4421972369448266</v>
      </c>
      <c r="L53" s="774">
        <f t="shared" si="6"/>
        <v>0</v>
      </c>
      <c r="M53" s="774">
        <f t="shared" ca="1" si="6"/>
        <v>0</v>
      </c>
      <c r="N53" s="774">
        <f t="shared" si="6"/>
        <v>0</v>
      </c>
      <c r="O53" s="774">
        <f t="shared" ca="1" si="6"/>
        <v>0</v>
      </c>
      <c r="P53" s="774">
        <f>P41+P46+P48</f>
        <v>0</v>
      </c>
      <c r="Q53" s="775">
        <f t="shared" si="6"/>
        <v>0</v>
      </c>
      <c r="R53" s="776">
        <f ca="1">R41+R46+R48</f>
        <v>18227.487942887838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0.20316358076174695</v>
      </c>
      <c r="D55" s="837">
        <f t="shared" ca="1" si="7"/>
        <v>0</v>
      </c>
      <c r="E55" s="837">
        <f t="shared" ca="1" si="7"/>
        <v>0.20199999999999999</v>
      </c>
      <c r="F55" s="837">
        <f t="shared" si="7"/>
        <v>0.22700000000000001</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1866.8098857199639</v>
      </c>
      <c r="C66" s="796">
        <f>'lokale energieproductie'!B6</f>
        <v>1866.8098857199639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1866.8098857199639</v>
      </c>
      <c r="C69" s="804">
        <f>SUM(C64:C68)</f>
        <v>1866.8098857199639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15197.296536746295</v>
      </c>
      <c r="C4" s="479">
        <f>huishoudens!C8</f>
        <v>0</v>
      </c>
      <c r="D4" s="479">
        <f>huishoudens!D8</f>
        <v>38831.848513897829</v>
      </c>
      <c r="E4" s="479">
        <f>huishoudens!E8</f>
        <v>399.18440306251762</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2825.7811454545372</v>
      </c>
      <c r="O4" s="479">
        <f>huishoudens!O8</f>
        <v>115.68666666666667</v>
      </c>
      <c r="P4" s="480">
        <f>huishoudens!P8</f>
        <v>266.93333333333334</v>
      </c>
      <c r="Q4" s="481">
        <f>SUM(B4:P4)</f>
        <v>57636.730599161179</v>
      </c>
    </row>
    <row r="5" spans="1:17">
      <c r="A5" s="478" t="s">
        <v>156</v>
      </c>
      <c r="B5" s="479">
        <f ca="1">tertiair!B16</f>
        <v>6119.9114499999996</v>
      </c>
      <c r="C5" s="479">
        <f ca="1">tertiair!C16</f>
        <v>0</v>
      </c>
      <c r="D5" s="479">
        <f ca="1">tertiair!D16</f>
        <v>12849.018056786947</v>
      </c>
      <c r="E5" s="479">
        <f>tertiair!E16</f>
        <v>45.758191871375566</v>
      </c>
      <c r="F5" s="479">
        <f ca="1">tertiair!F16</f>
        <v>830.5232921301606</v>
      </c>
      <c r="G5" s="479">
        <f>tertiair!G16</f>
        <v>0</v>
      </c>
      <c r="H5" s="479">
        <f>tertiair!H16</f>
        <v>0</v>
      </c>
      <c r="I5" s="479">
        <f>tertiair!I16</f>
        <v>0</v>
      </c>
      <c r="J5" s="479">
        <f>tertiair!J16</f>
        <v>0</v>
      </c>
      <c r="K5" s="479">
        <f>tertiair!K16</f>
        <v>0</v>
      </c>
      <c r="L5" s="479">
        <f ca="1">tertiair!L16</f>
        <v>0</v>
      </c>
      <c r="M5" s="479">
        <f>tertiair!M16</f>
        <v>0</v>
      </c>
      <c r="N5" s="479">
        <f ca="1">tertiair!N16</f>
        <v>344.18105955940371</v>
      </c>
      <c r="O5" s="479">
        <f>tertiair!O16</f>
        <v>0</v>
      </c>
      <c r="P5" s="480">
        <f>tertiair!P16</f>
        <v>0</v>
      </c>
      <c r="Q5" s="478">
        <f t="shared" ref="Q5:Q13" ca="1" si="0">SUM(B5:P5)</f>
        <v>20189.392050347888</v>
      </c>
    </row>
    <row r="6" spans="1:17">
      <c r="A6" s="478" t="s">
        <v>194</v>
      </c>
      <c r="B6" s="479">
        <f>'openbare verlichting'!B8</f>
        <v>627.30899999999997</v>
      </c>
      <c r="C6" s="479"/>
      <c r="D6" s="479"/>
      <c r="E6" s="479"/>
      <c r="F6" s="479"/>
      <c r="G6" s="479"/>
      <c r="H6" s="479"/>
      <c r="I6" s="479"/>
      <c r="J6" s="479"/>
      <c r="K6" s="479"/>
      <c r="L6" s="479"/>
      <c r="M6" s="479"/>
      <c r="N6" s="479"/>
      <c r="O6" s="479"/>
      <c r="P6" s="480"/>
      <c r="Q6" s="478">
        <f t="shared" si="0"/>
        <v>627.30899999999997</v>
      </c>
    </row>
    <row r="7" spans="1:17">
      <c r="A7" s="478" t="s">
        <v>112</v>
      </c>
      <c r="B7" s="479">
        <f>landbouw!B8</f>
        <v>64.369020000000006</v>
      </c>
      <c r="C7" s="479">
        <f>landbouw!C8</f>
        <v>0</v>
      </c>
      <c r="D7" s="479">
        <f>landbouw!D8</f>
        <v>1533.0137708687848</v>
      </c>
      <c r="E7" s="479">
        <f>landbouw!E8</f>
        <v>0.59621282346381166</v>
      </c>
      <c r="F7" s="479">
        <f>landbouw!F8</f>
        <v>163.31646602572621</v>
      </c>
      <c r="G7" s="479">
        <f>landbouw!G8</f>
        <v>0</v>
      </c>
      <c r="H7" s="479">
        <f>landbouw!H8</f>
        <v>0</v>
      </c>
      <c r="I7" s="479">
        <f>landbouw!I8</f>
        <v>0</v>
      </c>
      <c r="J7" s="479">
        <f>landbouw!J8</f>
        <v>9.8684891263598047</v>
      </c>
      <c r="K7" s="479">
        <f>landbouw!K8</f>
        <v>0</v>
      </c>
      <c r="L7" s="479">
        <f>landbouw!L8</f>
        <v>0</v>
      </c>
      <c r="M7" s="479">
        <f>landbouw!M8</f>
        <v>0</v>
      </c>
      <c r="N7" s="479">
        <f>landbouw!N8</f>
        <v>0</v>
      </c>
      <c r="O7" s="479">
        <f>landbouw!O8</f>
        <v>0</v>
      </c>
      <c r="P7" s="480">
        <f>landbouw!P8</f>
        <v>0</v>
      </c>
      <c r="Q7" s="478">
        <f t="shared" si="0"/>
        <v>1771.1639588443345</v>
      </c>
    </row>
    <row r="8" spans="1:17">
      <c r="A8" s="478" t="s">
        <v>650</v>
      </c>
      <c r="B8" s="479">
        <f>industrie!B18</f>
        <v>1120.2283400000001</v>
      </c>
      <c r="C8" s="479">
        <f>industrie!C18</f>
        <v>0</v>
      </c>
      <c r="D8" s="479">
        <f>industrie!D18</f>
        <v>980.20139301649067</v>
      </c>
      <c r="E8" s="479">
        <f>industrie!E18</f>
        <v>136.28701099902173</v>
      </c>
      <c r="F8" s="479">
        <f>industrie!F18</f>
        <v>708.7949314525921</v>
      </c>
      <c r="G8" s="479">
        <f>industrie!G18</f>
        <v>0</v>
      </c>
      <c r="H8" s="479">
        <f>industrie!H18</f>
        <v>0</v>
      </c>
      <c r="I8" s="479">
        <f>industrie!I18</f>
        <v>0</v>
      </c>
      <c r="J8" s="479">
        <f>industrie!J18</f>
        <v>5.5049493960832079</v>
      </c>
      <c r="K8" s="479">
        <f>industrie!K18</f>
        <v>0</v>
      </c>
      <c r="L8" s="479">
        <f>industrie!L18</f>
        <v>0</v>
      </c>
      <c r="M8" s="479">
        <f>industrie!M18</f>
        <v>0</v>
      </c>
      <c r="N8" s="479">
        <f>industrie!N18</f>
        <v>298.2847137393826</v>
      </c>
      <c r="O8" s="479">
        <f>industrie!O18</f>
        <v>0</v>
      </c>
      <c r="P8" s="480">
        <f>industrie!P18</f>
        <v>0</v>
      </c>
      <c r="Q8" s="478">
        <f t="shared" si="0"/>
        <v>3249.3013386035709</v>
      </c>
    </row>
    <row r="9" spans="1:17" s="484" customFormat="1">
      <c r="A9" s="482" t="s">
        <v>571</v>
      </c>
      <c r="B9" s="483">
        <f>transport!B14</f>
        <v>1.3682480617939377</v>
      </c>
      <c r="C9" s="483"/>
      <c r="D9" s="483">
        <f>transport!D14</f>
        <v>3.3024750827144502</v>
      </c>
      <c r="E9" s="483">
        <f>transport!E14</f>
        <v>21.344810473955619</v>
      </c>
      <c r="F9" s="483"/>
      <c r="G9" s="483">
        <f>transport!G14</f>
        <v>5750.7764073344752</v>
      </c>
      <c r="H9" s="483">
        <f>transport!H14</f>
        <v>1255.6902378399975</v>
      </c>
      <c r="I9" s="483"/>
      <c r="J9" s="483"/>
      <c r="K9" s="483"/>
      <c r="L9" s="483"/>
      <c r="M9" s="483">
        <f>transport!M14</f>
        <v>371.31132263461939</v>
      </c>
      <c r="N9" s="483"/>
      <c r="O9" s="483"/>
      <c r="P9" s="483"/>
      <c r="Q9" s="482">
        <f>SUM(B9:P9)</f>
        <v>7403.7935014275563</v>
      </c>
    </row>
    <row r="10" spans="1:17">
      <c r="A10" s="478" t="s">
        <v>561</v>
      </c>
      <c r="B10" s="479">
        <f>transport!B54</f>
        <v>0</v>
      </c>
      <c r="C10" s="479"/>
      <c r="D10" s="479">
        <f>transport!D54</f>
        <v>0</v>
      </c>
      <c r="E10" s="479"/>
      <c r="F10" s="479"/>
      <c r="G10" s="479">
        <f>transport!G54</f>
        <v>506.57341442450394</v>
      </c>
      <c r="H10" s="479"/>
      <c r="I10" s="479"/>
      <c r="J10" s="479"/>
      <c r="K10" s="479"/>
      <c r="L10" s="479"/>
      <c r="M10" s="479">
        <f>transport!M54</f>
        <v>28.88840508335322</v>
      </c>
      <c r="N10" s="479"/>
      <c r="O10" s="479"/>
      <c r="P10" s="480"/>
      <c r="Q10" s="478">
        <f t="shared" si="0"/>
        <v>535.46181950785717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23130.482594808091</v>
      </c>
      <c r="C14" s="489">
        <f t="shared" ref="C14:Q14" ca="1" si="1">SUM(C4:C13)</f>
        <v>0</v>
      </c>
      <c r="D14" s="489">
        <f t="shared" ca="1" si="1"/>
        <v>54197.384209652766</v>
      </c>
      <c r="E14" s="489">
        <f t="shared" si="1"/>
        <v>603.17062923033438</v>
      </c>
      <c r="F14" s="489">
        <f t="shared" ca="1" si="1"/>
        <v>1702.6346896084788</v>
      </c>
      <c r="G14" s="489">
        <f t="shared" si="1"/>
        <v>6257.3498217589795</v>
      </c>
      <c r="H14" s="489">
        <f t="shared" si="1"/>
        <v>1255.6902378399975</v>
      </c>
      <c r="I14" s="489">
        <f t="shared" si="1"/>
        <v>0</v>
      </c>
      <c r="J14" s="489">
        <f t="shared" si="1"/>
        <v>15.373438522443013</v>
      </c>
      <c r="K14" s="489">
        <f t="shared" si="1"/>
        <v>0</v>
      </c>
      <c r="L14" s="489">
        <f t="shared" ca="1" si="1"/>
        <v>0</v>
      </c>
      <c r="M14" s="489">
        <f t="shared" si="1"/>
        <v>400.19972771797262</v>
      </c>
      <c r="N14" s="489">
        <f t="shared" ca="1" si="1"/>
        <v>3468.2469187533234</v>
      </c>
      <c r="O14" s="489">
        <f t="shared" si="1"/>
        <v>115.68666666666667</v>
      </c>
      <c r="P14" s="490">
        <f t="shared" si="1"/>
        <v>266.93333333333334</v>
      </c>
      <c r="Q14" s="490">
        <f t="shared" ca="1" si="1"/>
        <v>91413.152267892379</v>
      </c>
    </row>
    <row r="16" spans="1:17">
      <c r="A16" s="492" t="s">
        <v>566</v>
      </c>
      <c r="B16" s="842">
        <f ca="1">huishoudens!B10</f>
        <v>0.20316358076174698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3087.5371823034734</v>
      </c>
      <c r="C21" s="479">
        <f t="shared" ref="C21:C28" ca="1" si="3">C4*$C$16</f>
        <v>0</v>
      </c>
      <c r="D21" s="479">
        <f t="shared" ref="D21:D30" si="4">D4*$D$16</f>
        <v>7844.033399807362</v>
      </c>
      <c r="E21" s="479">
        <f t="shared" ref="E21:E30" si="5">E4*$E$16</f>
        <v>90.614859495191496</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11022.185441606027</v>
      </c>
    </row>
    <row r="22" spans="1:17">
      <c r="A22" s="478" t="s">
        <v>156</v>
      </c>
      <c r="B22" s="479">
        <f t="shared" ca="1" si="2"/>
        <v>1243.3431241268149</v>
      </c>
      <c r="C22" s="479">
        <f t="shared" ca="1" si="3"/>
        <v>0</v>
      </c>
      <c r="D22" s="479">
        <f t="shared" ca="1" si="4"/>
        <v>2595.5016474709632</v>
      </c>
      <c r="E22" s="479">
        <f t="shared" si="5"/>
        <v>10.387109554802255</v>
      </c>
      <c r="F22" s="479">
        <f t="shared" ca="1" si="6"/>
        <v>221.74971899875288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4070.9816001513336</v>
      </c>
    </row>
    <row r="23" spans="1:17">
      <c r="A23" s="478" t="s">
        <v>194</v>
      </c>
      <c r="B23" s="479">
        <f t="shared" ca="1" si="2"/>
        <v>127.44634268407073</v>
      </c>
      <c r="C23" s="479"/>
      <c r="D23" s="479"/>
      <c r="E23" s="479"/>
      <c r="F23" s="479"/>
      <c r="G23" s="479"/>
      <c r="H23" s="479"/>
      <c r="I23" s="479"/>
      <c r="J23" s="479"/>
      <c r="K23" s="479"/>
      <c r="L23" s="479"/>
      <c r="M23" s="479"/>
      <c r="N23" s="479"/>
      <c r="O23" s="479"/>
      <c r="P23" s="480"/>
      <c r="Q23" s="478">
        <f t="shared" ca="1" si="17"/>
        <v>127.44634268407073</v>
      </c>
    </row>
    <row r="24" spans="1:17">
      <c r="A24" s="478" t="s">
        <v>112</v>
      </c>
      <c r="B24" s="479">
        <f t="shared" ca="1" si="2"/>
        <v>13.077440593324507</v>
      </c>
      <c r="C24" s="479">
        <f t="shared" ca="1" si="3"/>
        <v>0</v>
      </c>
      <c r="D24" s="479">
        <f t="shared" si="4"/>
        <v>309.66878171549456</v>
      </c>
      <c r="E24" s="479">
        <f t="shared" si="5"/>
        <v>0.13534031092628526</v>
      </c>
      <c r="F24" s="479">
        <f t="shared" si="6"/>
        <v>43.605496428868904</v>
      </c>
      <c r="G24" s="479">
        <f t="shared" si="7"/>
        <v>0</v>
      </c>
      <c r="H24" s="479">
        <f t="shared" si="8"/>
        <v>0</v>
      </c>
      <c r="I24" s="479">
        <f t="shared" si="9"/>
        <v>0</v>
      </c>
      <c r="J24" s="479">
        <f t="shared" si="10"/>
        <v>3.4934451507313709</v>
      </c>
      <c r="K24" s="479">
        <f t="shared" si="11"/>
        <v>0</v>
      </c>
      <c r="L24" s="479">
        <f t="shared" si="12"/>
        <v>0</v>
      </c>
      <c r="M24" s="479">
        <f t="shared" si="13"/>
        <v>0</v>
      </c>
      <c r="N24" s="479">
        <f t="shared" si="14"/>
        <v>0</v>
      </c>
      <c r="O24" s="479">
        <f t="shared" si="15"/>
        <v>0</v>
      </c>
      <c r="P24" s="480">
        <f t="shared" si="16"/>
        <v>0</v>
      </c>
      <c r="Q24" s="478">
        <f t="shared" ca="1" si="17"/>
        <v>369.9805041993456</v>
      </c>
    </row>
    <row r="25" spans="1:17">
      <c r="A25" s="478" t="s">
        <v>650</v>
      </c>
      <c r="B25" s="479">
        <f t="shared" ca="1" si="2"/>
        <v>227.58960082518777</v>
      </c>
      <c r="C25" s="479">
        <f t="shared" ca="1" si="3"/>
        <v>0</v>
      </c>
      <c r="D25" s="479">
        <f t="shared" si="4"/>
        <v>198.00068138933113</v>
      </c>
      <c r="E25" s="479">
        <f t="shared" si="5"/>
        <v>30.937151496777933</v>
      </c>
      <c r="F25" s="479">
        <f t="shared" si="6"/>
        <v>189.24824669784209</v>
      </c>
      <c r="G25" s="479">
        <f t="shared" si="7"/>
        <v>0</v>
      </c>
      <c r="H25" s="479">
        <f t="shared" si="8"/>
        <v>0</v>
      </c>
      <c r="I25" s="479">
        <f t="shared" si="9"/>
        <v>0</v>
      </c>
      <c r="J25" s="479">
        <f t="shared" si="10"/>
        <v>1.9487520862134555</v>
      </c>
      <c r="K25" s="479">
        <f t="shared" si="11"/>
        <v>0</v>
      </c>
      <c r="L25" s="479">
        <f t="shared" si="12"/>
        <v>0</v>
      </c>
      <c r="M25" s="479">
        <f t="shared" si="13"/>
        <v>0</v>
      </c>
      <c r="N25" s="479">
        <f t="shared" si="14"/>
        <v>0</v>
      </c>
      <c r="O25" s="479">
        <f t="shared" si="15"/>
        <v>0</v>
      </c>
      <c r="P25" s="480">
        <f t="shared" si="16"/>
        <v>0</v>
      </c>
      <c r="Q25" s="478">
        <f t="shared" ca="1" si="17"/>
        <v>647.72443249535229</v>
      </c>
    </row>
    <row r="26" spans="1:17" s="484" customFormat="1">
      <c r="A26" s="482" t="s">
        <v>571</v>
      </c>
      <c r="B26" s="836">
        <f t="shared" ca="1" si="2"/>
        <v>0.27797817560437643</v>
      </c>
      <c r="C26" s="483"/>
      <c r="D26" s="483">
        <f t="shared" si="4"/>
        <v>0.66709996670831895</v>
      </c>
      <c r="E26" s="483">
        <f t="shared" si="5"/>
        <v>4.8452719775879256</v>
      </c>
      <c r="F26" s="483"/>
      <c r="G26" s="483">
        <f t="shared" si="7"/>
        <v>1535.4573007583049</v>
      </c>
      <c r="H26" s="483">
        <f t="shared" si="8"/>
        <v>312.66686922215939</v>
      </c>
      <c r="I26" s="483"/>
      <c r="J26" s="483"/>
      <c r="K26" s="483"/>
      <c r="L26" s="483"/>
      <c r="M26" s="483">
        <f t="shared" si="13"/>
        <v>0</v>
      </c>
      <c r="N26" s="483"/>
      <c r="O26" s="483"/>
      <c r="P26" s="494"/>
      <c r="Q26" s="482">
        <f t="shared" ca="1" si="17"/>
        <v>1853.9145201003651</v>
      </c>
    </row>
    <row r="27" spans="1:17">
      <c r="A27" s="478" t="s">
        <v>561</v>
      </c>
      <c r="B27" s="479">
        <f t="shared" ca="1" si="2"/>
        <v>0</v>
      </c>
      <c r="C27" s="479"/>
      <c r="D27" s="483">
        <f t="shared" si="4"/>
        <v>0</v>
      </c>
      <c r="E27" s="479"/>
      <c r="F27" s="479"/>
      <c r="G27" s="479">
        <f t="shared" si="7"/>
        <v>135.25510165134256</v>
      </c>
      <c r="H27" s="479"/>
      <c r="I27" s="479"/>
      <c r="J27" s="479"/>
      <c r="K27" s="479"/>
      <c r="L27" s="479"/>
      <c r="M27" s="479">
        <f t="shared" si="13"/>
        <v>0</v>
      </c>
      <c r="N27" s="479"/>
      <c r="O27" s="479"/>
      <c r="P27" s="480"/>
      <c r="Q27" s="478">
        <f t="shared" ca="1" si="17"/>
        <v>135.25510165134256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4699.2716687084758</v>
      </c>
      <c r="C31" s="489">
        <f t="shared" ca="1" si="18"/>
        <v>0</v>
      </c>
      <c r="D31" s="489">
        <f t="shared" ca="1" si="18"/>
        <v>10947.871610349857</v>
      </c>
      <c r="E31" s="489">
        <f t="shared" si="18"/>
        <v>136.91973283528588</v>
      </c>
      <c r="F31" s="489">
        <f t="shared" ca="1" si="18"/>
        <v>454.60346212546386</v>
      </c>
      <c r="G31" s="489">
        <f t="shared" si="18"/>
        <v>1670.7124024096474</v>
      </c>
      <c r="H31" s="489">
        <f t="shared" si="18"/>
        <v>312.66686922215939</v>
      </c>
      <c r="I31" s="489">
        <f t="shared" si="18"/>
        <v>0</v>
      </c>
      <c r="J31" s="489">
        <f t="shared" si="18"/>
        <v>5.4421972369448266</v>
      </c>
      <c r="K31" s="489">
        <f t="shared" si="18"/>
        <v>0</v>
      </c>
      <c r="L31" s="489">
        <f t="shared" ca="1" si="18"/>
        <v>0</v>
      </c>
      <c r="M31" s="489">
        <f t="shared" si="18"/>
        <v>0</v>
      </c>
      <c r="N31" s="489">
        <f t="shared" ca="1" si="18"/>
        <v>0</v>
      </c>
      <c r="O31" s="489">
        <f t="shared" si="18"/>
        <v>0</v>
      </c>
      <c r="P31" s="490">
        <f t="shared" si="18"/>
        <v>0</v>
      </c>
      <c r="Q31" s="490">
        <f t="shared" ca="1" si="18"/>
        <v>18227.487942887838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0.20316358076174698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0.20316358076174698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0.20316358076174698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2019-01-01T21:29:50Z</dcterms:modified>
</cp:coreProperties>
</file>