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D31" i="48" l="1"/>
  <c r="J67" i="14"/>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F8" i="48"/>
  <c r="Q4"/>
  <c r="N22"/>
  <c r="R11" i="14"/>
  <c r="J21" i="48"/>
  <c r="C20" i="16" l="1"/>
  <c r="C22" s="1"/>
  <c r="D39" i="14" s="1"/>
  <c r="C29" i="20"/>
  <c r="C18" i="15"/>
  <c r="C20" s="1"/>
  <c r="D36" i="14" s="1"/>
  <c r="C10" i="13"/>
  <c r="C16" i="48" s="1"/>
  <c r="C21" s="1"/>
  <c r="C56" i="22"/>
  <c r="C58" s="1"/>
  <c r="D44" i="14" s="1"/>
  <c r="D46" s="1"/>
  <c r="C16" i="22"/>
  <c r="C10" i="17"/>
  <c r="C12" s="1"/>
  <c r="D48" i="14" s="1"/>
  <c r="C17" i="49"/>
  <c r="C17" i="19"/>
  <c r="C19" s="1"/>
  <c r="D35" i="14" s="1"/>
  <c r="N55"/>
  <c r="K13"/>
  <c r="R13" s="1"/>
  <c r="R15" s="1"/>
  <c r="F22" i="16"/>
  <c r="G39" i="14" s="1"/>
  <c r="G41" s="1"/>
  <c r="G53" s="1"/>
  <c r="G55" s="1"/>
  <c r="O69" s="1"/>
  <c r="B9" i="6" s="1"/>
  <c r="B12" s="1"/>
  <c r="N25" i="48"/>
  <c r="N31" s="1"/>
  <c r="N14"/>
  <c r="K41" i="14"/>
  <c r="K53" s="1"/>
  <c r="E14" i="48"/>
  <c r="K15" i="14"/>
  <c r="K23" s="1"/>
  <c r="H55"/>
  <c r="E55"/>
  <c r="C78"/>
  <c r="C81" s="1"/>
  <c r="J14" i="48"/>
  <c r="J31"/>
  <c r="Q8"/>
  <c r="Q14" s="1"/>
  <c r="R19" i="14"/>
  <c r="R20" s="1"/>
  <c r="H14" i="48"/>
  <c r="G31"/>
  <c r="H26"/>
  <c r="H31" s="1"/>
  <c r="F55" i="14"/>
  <c r="O53"/>
  <c r="M53"/>
  <c r="M55" s="1"/>
  <c r="C12" i="13"/>
  <c r="D37" i="14" s="1"/>
  <c r="D41" s="1"/>
  <c r="C24" i="48"/>
  <c r="C28"/>
  <c r="C22"/>
  <c r="F25"/>
  <c r="F31" s="1"/>
  <c r="F14"/>
  <c r="C25" l="1"/>
  <c r="C31" s="1"/>
  <c r="K55"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<sst xmlns="http://schemas.openxmlformats.org/spreadsheetml/2006/main" count="2218" uniqueCount="903">
  <si>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</si>
  <si>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</si>
  <si>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</si>
  <si>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</si>
  <si>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</si>
  <si>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</si>
  <si>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</si>
  <si>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</si>
  <si>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</si>
  <si>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</si>
  <si>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</si>
  <si>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</si>
  <si>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</si>
  <si>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</si>
  <si>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</si>
  <si>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</si>
  <si>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</si>
  <si>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</si>
  <si>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</si>
  <si>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</si>
  <si>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</si>
  <si>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</si>
  <si>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</si>
  <si>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</si>
  <si>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</si>
  <si>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</si>
  <si>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</si>
  <si>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</si>
  <si>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</si>
  <si>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</si>
  <si>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</si>
  <si>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</si>
  <si>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</si>
  <si>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</si>
  <si>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</si>
  <si>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</si>
  <si>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</si>
  <si>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</si>
  <si>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</si>
  <si>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</si>
  <si>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</si>
  <si>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</si>
  <si>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</si>
  <si>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</si>
  <si>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</si>
  <si>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</si>
  <si>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</si>
  <si>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</si>
  <si>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</si>
  <si>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</si>
  <si>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</si>
  <si>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</si>
  <si>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</si>
  <si>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</si>
  <si>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</si>
  <si>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</si>
  <si>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</si>
  <si>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</si>
  <si>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</si>
  <si>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</si>
  <si>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</si>
  <si>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</si>
  <si>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</si>
  <si>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</si>
  <si>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</si>
  <si>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</si>
  <si>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</si>
  <si>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</si>
  <si>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</si>
  <si>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</si>
  <si>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</si>
  <si>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</si>
  <si>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</si>
  <si>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</si>
  <si>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</si>
  <si>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</si>
  <si>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</si>
  <si>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</si>
  <si>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</si>
  <si>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</si>
  <si>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</si>
  <si>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</si>
  <si>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</si>
  <si>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</si>
  <si>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</si>
  <si>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</si>
  <si>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</si>
  <si>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</si>
  <si>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</si>
  <si>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</si>
  <si>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</si>
  <si>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</si>
  <si>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</si>
  <si>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</si>
  <si>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</si>
  <si>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</si>
  <si>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</si>
  <si>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</si>
  <si>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</si>
  <si>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</si>
  <si>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</si>
  <si>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</si>
  <si>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</si>
  <si>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</si>
  <si>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</si>
  <si>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</si>
  <si>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</si>
  <si>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</si>
  <si>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</si>
  <si>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</si>
  <si>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</si>
  <si>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</si>
  <si>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</si>
  <si>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</si>
  <si>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</si>
  <si>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</si>
  <si>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</si>
  <si>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</si>
  <si>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</si>
  <si>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</si>
  <si>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</si>
  <si>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</si>
  <si>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</si>
  <si>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</si>
  <si>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</si>
  <si>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</si>
  <si>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</si>
  <si>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</si>
  <si>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</si>
  <si>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</si>
  <si>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</si>
  <si>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</si>
  <si>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</si>
  <si>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</si>
  <si>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</si>
  <si>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</si>
  <si>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</si>
  <si>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</si>
  <si>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</si>
  <si>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</si>
  <si>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</si>
  <si>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</si>
  <si>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</si>
  <si>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</si>
  <si>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</si>
  <si>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</si>
  <si>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</si>
  <si>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</si>
  <si>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</si>
  <si>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</si>
  <si>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</si>
  <si>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</si>
  <si>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</si>
  <si>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</si>
  <si>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</si>
  <si>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</si>
  <si>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</si>
  <si>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</si>
  <si>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</si>
  <si>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</si>
  <si>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</si>
  <si>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</si>
  <si>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</si>
  <si>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</si>
  <si>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</si>
  <si>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</si>
  <si>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</si>
  <si>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</si>
  <si>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</si>
  <si>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</si>
  <si>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</si>
  <si>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</si>
  <si>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</si>
  <si>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</si>
  <si>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</si>
  <si>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</si>
  <si>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</si>
  <si>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</si>
  <si>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</si>
  <si>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</si>
  <si>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</si>
  <si>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</si>
  <si>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</si>
  <si>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</si>
  <si>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</si>
  <si>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</si>
  <si>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</si>
  <si>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</si>
  <si>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</si>
  <si>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</si>
  <si>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</si>
  <si>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</si>
  <si>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</si>
  <si>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</si>
  <si>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</si>
  <si>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</si>
  <si>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</si>
  <si>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</si>
  <si>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</si>
  <si>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</si>
  <si>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</si>
  <si>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</si>
  <si>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</si>
  <si>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</si>
  <si>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</si>
  <si>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</si>
  <si>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</si>
  <si>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</si>
  <si>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</si>
  <si>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</si>
  <si>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</si>
  <si>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</si>
  <si>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</si>
  <si>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</si>
  <si>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</si>
  <si>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</si>
  <si>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</si>
  <si>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</si>
  <si>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</si>
  <si>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</si>
  <si>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</si>
  <si>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</si>
  <si>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</si>
  <si>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</si>
  <si>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</si>
  <si>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</si>
  <si>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</si>
  <si>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</si>
  <si>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</si>
  <si>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</si>
  <si>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</si>
  <si>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</si>
  <si>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</si>
  <si>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</si>
  <si>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</si>
  <si>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</si>
  <si>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</si>
  <si>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</si>
  <si>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</si>
  <si>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</si>
  <si>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</si>
  <si>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</si>
  <si>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</si>
  <si>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</si>
  <si>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</si>
  <si>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</si>
  <si>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</si>
  <si>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</si>
  <si>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</si>
  <si>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</si>
  <si>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</si>
  <si>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</si>
  <si>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</si>
  <si>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</si>
  <si>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</si>
  <si>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</si>
  <si>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</si>
  <si>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</si>
  <si>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</si>
  <si>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</si>
  <si>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</si>
  <si>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</si>
  <si>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</si>
  <si>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</si>
  <si>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</si>
  <si>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</si>
  <si>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</si>
  <si>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</si>
  <si>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</si>
  <si>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</si>
  <si>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</si>
  <si>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</si>
  <si>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</si>
  <si>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</si>
  <si>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</si>
  <si>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</si>
  <si>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</si>
  <si>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</si>
  <si>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</si>
  <si>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</si>
  <si>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</si>
  <si>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</si>
  <si>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</si>
  <si>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</si>
  <si>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</si>
  <si>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</si>
  <si>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</si>
  <si>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</si>
  <si>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</si>
  <si>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</si>
  <si>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</si>
  <si>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</si>
  <si>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</si>
  <si>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</si>
  <si>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</si>
  <si>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</si>
  <si>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</si>
  <si>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</si>
  <si>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</si>
  <si>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</si>
  <si>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</si>
  <si>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</si>
  <si>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</si>
  <si>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</si>
  <si>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</si>
  <si>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</si>
  <si>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</si>
  <si>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</si>
  <si>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</si>
  <si>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</si>
  <si>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</si>
  <si>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</si>
  <si>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</si>
  <si>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</si>
  <si>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</si>
  <si>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</si>
  <si>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</si>
  <si>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</si>
  <si>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</si>
  <si>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</si>
  <si>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</si>
  <si>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</si>
  <si>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</si>
  <si>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</si>
  <si>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</si>
  <si>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</si>
  <si>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</si>
  <si>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</si>
  <si>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</si>
  <si>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</si>
  <si>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</si>
  <si>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</si>
  <si>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</si>
  <si>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</si>
  <si>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</si>
  <si>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</si>
  <si>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</si>
  <si>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</si>
  <si>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</si>
  <si>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</si>
  <si>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</si>
  <si>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</si>
  <si>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</si>
  <si>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</si>
  <si>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</si>
  <si>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</si>
  <si>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</si>
  <si>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</si>
  <si>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</si>
  <si>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</si>
  <si>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</si>
  <si>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</si>
  <si>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</si>
  <si>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</si>
  <si>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</si>
  <si>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</si>
  <si>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</si>
  <si>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</si>
  <si>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</si>
  <si>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</si>
  <si>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</si>
  <si>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</si>
  <si>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</si>
  <si>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</si>
  <si>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</si>
  <si>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</si>
  <si>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</si>
  <si>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</si>
  <si>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</si>
  <si>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</si>
  <si>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</si>
  <si>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</si>
  <si>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</si>
  <si>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</si>
  <si>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</si>
  <si>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</si>
  <si>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</si>
  <si>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</si>
  <si>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</si>
  <si>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</si>
  <si>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</si>
  <si>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</si>
  <si>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</si>
  <si>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</si>
  <si>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</si>
  <si>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</si>
  <si>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</si>
  <si>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</si>
  <si>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</si>
  <si>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</si>
  <si>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</si>
  <si>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</si>
  <si>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</si>
  <si>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</si>
  <si>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</si>
  <si>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</si>
  <si>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</si>
  <si>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</si>
  <si>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</si>
  <si>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</si>
  <si>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</si>
  <si>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</si>
  <si>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</si>
  <si>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</si>
  <si>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</si>
  <si>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</si>
  <si>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</si>
  <si>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</si>
  <si>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</si>
  <si>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</si>
  <si>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</si>
  <si>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</si>
  <si>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</si>
  <si>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</si>
  <si>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</si>
  <si>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</si>
  <si>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</si>
  <si>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</si>
  <si>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</si>
  <si>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</si>
  <si>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</si>
  <si>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</si>
  <si>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</si>
  <si>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</si>
  <si>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</si>
  <si>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</si>
  <si>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</si>
  <si>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</si>
  <si>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</si>
  <si>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</si>
  <si>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</si>
  <si>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</si>
  <si>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</si>
  <si>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</si>
  <si>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</si>
  <si>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</si>
  <si>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</si>
  <si>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</si>
  <si>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</si>
  <si>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</si>
  <si>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</si>
  <si>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</si>
  <si>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</si>
  <si>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</si>
  <si>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</si>
  <si>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</si>
  <si>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</si>
  <si>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</si>
  <si>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</si>
  <si>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</si>
  <si>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</si>
  <si>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</si>
  <si>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</si>
  <si>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</si>
  <si>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</si>
  <si>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</si>
  <si>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</si>
  <si>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</si>
  <si>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</si>
  <si>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</si>
  <si>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</si>
  <si>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</si>
  <si>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</si>
  <si>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</si>
  <si>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</si>
  <si>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</si>
  <si>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</si>
  <si>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</si>
  <si>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</si>
  <si>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</si>
  <si>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</si>
  <si>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</si>
  <si>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</si>
  <si>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</si>
  <si>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</si>
  <si>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</si>
  <si>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</si>
  <si>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</si>
  <si>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</si>
  <si>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</si>
  <si>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</si>
  <si>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</si>
  <si>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</si>
  <si>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</si>
  <si>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</si>
  <si>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</si>
  <si>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</si>
  <si>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</si>
  <si>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</si>
  <si>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</si>
  <si>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</si>
  <si>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</si>
  <si>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</si>
  <si>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</si>
  <si>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</si>
  <si>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</si>
  <si>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</si>
  <si>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</si>
  <si>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</si>
  <si>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</si>
  <si>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</si>
  <si>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</si>
  <si>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</si>
  <si>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</si>
  <si>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</si>
  <si>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</si>
  <si>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</si>
  <si>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</si>
  <si>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</si>
  <si>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</si>
  <si>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</si>
  <si>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</si>
  <si>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</si>
  <si>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</si>
  <si>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</si>
  <si>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</si>
  <si>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</si>
  <si>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</si>
  <si>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</si>
  <si>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</si>
  <si>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</si>
  <si>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</si>
  <si>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</si>
  <si>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</si>
  <si>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</si>
  <si>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</si>
  <si>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</si>
  <si>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</si>
  <si>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</si>
  <si>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</si>
  <si>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</si>
  <si>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</si>
  <si>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</si>
  <si>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</si>
  <si>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</si>
  <si>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</si>
  <si>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</si>
  <si>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</si>
  <si>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</si>
  <si>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</si>
  <si>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</si>
  <si>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</si>
  <si>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</si>
  <si>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</si>
  <si>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</si>
  <si>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</si>
  <si>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</si>
  <si>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</si>
  <si>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</si>
  <si>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</si>
  <si>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</si>
  <si>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</si>
  <si>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</si>
  <si>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</si>
  <si>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</si>
  <si>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</si>
  <si>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</si>
  <si>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</si>
  <si>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</si>
  <si>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</si>
  <si>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</si>
  <si>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</si>
  <si>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</si>
  <si>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</si>
  <si>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</si>
  <si>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</si>
  <si>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</si>
  <si>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</si>
  <si>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</si>
  <si>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</si>
  <si>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</si>
  <si>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</si>
  <si>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</si>
  <si>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</si>
  <si>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</si>
  <si>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</si>
  <si>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</si>
  <si>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</si>
  <si>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</si>
  <si>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</si>
  <si>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</si>
  <si>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</si>
  <si>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</si>
  <si>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</si>
  <si>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</si>
  <si>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</si>
  <si>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</si>
  <si>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</si>
  <si>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</si>
  <si>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</si>
  <si>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</si>
  <si>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</si>
  <si>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</si>
  <si>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</si>
  <si>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</si>
  <si>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</si>
  <si>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</si>
  <si>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</si>
  <si>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</si>
  <si>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</si>
  <si>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</si>
  <si>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</si>
  <si>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</si>
  <si>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</si>
  <si>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</si>
  <si>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</si>
  <si>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</si>
  <si>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</si>
  <si>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</si>
  <si>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</si>
  <si>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</si>
  <si>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</si>
  <si>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</si>
  <si>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</si>
  <si>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</si>
  <si>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</si>
  <si>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</si>
  <si>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</si>
  <si>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</si>
  <si>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</si>
  <si>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</si>
  <si>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</si>
  <si>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</si>
  <si>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</si>
  <si>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</si>
  <si>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</si>
  <si>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</si>
  <si>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</si>
  <si>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</si>
  <si>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</si>
  <si>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</si>
  <si>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</si>
  <si>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</si>
  <si>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</si>
  <si>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</si>
  <si>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</si>
  <si>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</si>
  <si>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</si>
  <si>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</si>
  <si>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</si>
  <si>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</si>
  <si>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</si>
  <si>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</si>
  <si>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</si>
  <si>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</si>
  <si>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</si>
  <si>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</si>
  <si>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</si>
  <si>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</si>
  <si>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</si>
  <si>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</si>
  <si>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</si>
  <si>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</si>
  <si>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</si>
  <si>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</si>
  <si>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</si>
  <si>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</si>
  <si>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</si>
  <si>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</si>
  <si>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</si>
  <si>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</si>
  <si>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</si>
  <si>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</si>
  <si>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</si>
  <si>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</si>
  <si>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</si>
  <si>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</si>
  <si>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</si>
  <si>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</si>
  <si>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</si>
  <si>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</si>
  <si>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</si>
  <si>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</si>
  <si>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</si>
  <si>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</si>
  <si>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</si>
  <si>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</si>
  <si>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</si>
  <si>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</si>
  <si>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</si>
  <si>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</si>
  <si>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</si>
  <si>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</si>
  <si>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</si>
  <si>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</si>
  <si>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</si>
  <si>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</si>
  <si>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</si>
  <si>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</si>
  <si>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</si>
  <si>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</si>
  <si>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</si>
  <si>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</si>
  <si>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</si>
  <si>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</si>
  <si>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</si>
  <si>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</si>
  <si>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</si>
  <si>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</si>
  <si>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</si>
  <si>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</si>
  <si>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</si>
  <si>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</si>
  <si>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</si>
  <si>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</si>
  <si>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</si>
  <si>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</si>
  <si>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</si>
  <si>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</si>
  <si>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</si>
  <si>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</si>
  <si>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</si>
  <si>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</si>
  <si>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</si>
  <si>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</si>
  <si>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</si>
  <si>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</si>
  <si>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</si>
  <si>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</si>
  <si>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</si>
  <si>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</si>
  <si>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</si>
  <si>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</si>
  <si>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</si>
  <si>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</si>
  <si>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</si>
  <si>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</si>
  <si>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</si>
  <si>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</si>
  <si>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</si>
  <si>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</si>
  <si>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</si>
  <si>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</si>
  <si>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</si>
  <si>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</si>
  <si>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</si>
  <si>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</si>
  <si>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</si>
  <si>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</si>
  <si>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</si>
  <si>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</si>
  <si>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</si>
  <si>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</si>
  <si>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</si>
  <si>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</si>
  <si>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</si>
  <si>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</si>
  <si>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</si>
  <si>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</si>
  <si>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</si>
  <si>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</si>
  <si>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</si>
  <si>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</si>
  <si>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</si>
  <si>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</si>
  <si>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</si>
  <si>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</si>
  <si>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</si>
  <si>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</si>
  <si>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</si>
  <si>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</si>
  <si>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</si>
  <si>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</si>
  <si>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</si>
  <si>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</si>
  <si>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</si>
  <si>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</si>
  <si>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</si>
  <si>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</si>
  <si>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</si>
  <si>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</si>
  <si>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</si>
  <si>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</si>
  <si>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</si>
  <si>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</si>
  <si>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</si>
  <si>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</si>
  <si>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</si>
  <si>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</si>
  <si>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</si>
  <si>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</si>
  <si>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</si>
  <si>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</si>
  <si>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</si>
  <si>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</si>
  <si>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</si>
  <si>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</si>
  <si>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</si>
  <si>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</si>
  <si>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</si>
  <si>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</si>
  <si>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</si>
  <si>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</si>
  <si>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</si>
  <si>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</si>
  <si>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</si>
  <si>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</si>
  <si>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</si>
  <si>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</si>
  <si>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</si>
  <si>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</si>
  <si>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</si>
  <si>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</si>
  <si>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</si>
  <si>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</si>
  <si>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</si>
  <si>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</si>
  <si>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</si>
  <si>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</si>
  <si>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</si>
  <si>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</si>
  <si>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</si>
  <si>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</si>
  <si>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</si>
  <si>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</si>
  <si>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</si>
  <si>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</si>
  <si>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</si>
  <si>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</si>
  <si>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</si>
  <si>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</si>
  <si>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</si>
  <si>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</si>
  <si>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</si>
  <si>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</si>
  <si>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</si>
  <si>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</si>
  <si>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</si>
  <si>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</si>
  <si>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</si>
  <si>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</si>
  <si>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</si>
  <si>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</si>
  <si>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</si>
  <si>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</si>
  <si>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</si>
  <si>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</si>
  <si>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</si>
  <si>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</si>
  <si>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</si>
  <si>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</si>
  <si>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</si>
  <si>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</si>
  <si>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</si>
  <si>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</si>
  <si>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</si>
  <si>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</si>
  <si>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</si>
  <si>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</si>
  <si>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</si>
  <si>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</si>
  <si>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</si>
  <si>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</si>
  <si>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</si>
  <si>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</si>
  <si>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</si>
  <si>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</si>
  <si>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</si>
  <si>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</si>
  <si>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</si>
  <si>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</si>
  <si>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</si>
  <si>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</si>
  <si>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11004</t>
  </si>
  <si>
    <t>BOECHOUT</t>
  </si>
  <si>
    <t>Paarden&amp;pony's 200 - 600 kg</t>
  </si>
  <si>
    <t>Paarden&amp;pony's &lt; 200 kg</t>
  </si>
  <si>
    <t>referentietaak LNE (2017); Jaarverslag De Lijn (2014)</t>
  </si>
  <si>
    <t>op basis van VEA (maart 2018) en Inventaris Hernieuwbare Energiebronnen (juni 2018)</t>
  </si>
  <si>
    <t>VEA (maart 2016)</t>
  </si>
  <si>
    <t>VEA (juni 2018)</t>
  </si>
  <si>
    <t>Tuinbouw Naenen-Bruynseels nv</t>
  </si>
  <si>
    <t>Hellestraat 80 , 2530 Boechout</t>
  </si>
  <si>
    <t>WKK-0039 Tuinbouw Naenen-Bruynseels</t>
  </si>
  <si>
    <t>interne verbrandingsmotor</t>
  </si>
  <si>
    <t>WKK interne verbrandinsgmotor (gas)</t>
  </si>
  <si>
    <t>Generaal de Wittelaan 17 bus7, 2530 Boechout</t>
  </si>
  <si>
    <t>IVEG</t>
  </si>
  <si>
    <t>Tomatenkwekerij A&amp;D Naenen nv</t>
  </si>
  <si>
    <t>Lispersteenweg 71 , 2530 Boechout</t>
  </si>
  <si>
    <t>WKK-0020 Tomatenkwekerij A&amp;D Naenen</t>
  </si>
  <si>
    <t>Wimceco BVBA</t>
  </si>
  <si>
    <t>Mussenhoevelaan 160, 2530 Boechout</t>
  </si>
  <si>
    <t>WKK-0068 Wimceco</t>
  </si>
  <si>
    <t>Groeikracht Marveco NV</t>
  </si>
  <si>
    <t>Pietingbaan 81, 2531 Vremde</t>
  </si>
  <si>
    <t>WKK-0072 Groeikracht Marveco</t>
  </si>
  <si>
    <t>Den Boschkant bvba</t>
  </si>
  <si>
    <t>Wommelgemsesteenweg 125, 2531 Vremde</t>
  </si>
  <si>
    <t>WKK-0113 Den Boschkant</t>
  </si>
  <si>
    <t>Heulens cvba</t>
  </si>
  <si>
    <t>Beemdweg 16 , 2531 Vremde</t>
  </si>
  <si>
    <t>WKK-0123 Groeikracht Vremde (nieuw)</t>
  </si>
  <si>
    <t>Herman Vervoort bvba</t>
  </si>
  <si>
    <t>Mussenhoevelaan 150 , 2530 Boechout</t>
  </si>
  <si>
    <t>WKK-0297 Herman Vervoort</t>
  </si>
  <si>
    <t>eilandwerking</t>
  </si>
  <si>
    <t>SupraNatura bvba</t>
  </si>
  <si>
    <t>Wommelgemsesteenweg 92 , 2531 Vremde</t>
  </si>
  <si>
    <t>WKK-0330 Supra-Natura</t>
  </si>
  <si>
    <t>Josikem cvba</t>
  </si>
  <si>
    <t>Grotehoeveweg 54 , 2531 Vremde</t>
  </si>
  <si>
    <t>WKK-0333 Josikem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</si>
</sst>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94040.060888058913</c:v>
                </c:pt>
                <c:pt idx="1">
                  <c:v>34283.140559829342</c:v>
                </c:pt>
                <c:pt idx="2">
                  <c:v>708.70500000000004</c:v>
                </c:pt>
                <c:pt idx="3">
                  <c:v>155250.14128776095</c:v>
                </c:pt>
                <c:pt idx="4">
                  <c:v>17197.93416503711</c:v>
                </c:pt>
                <c:pt idx="5">
                  <c:v>48486.66893372807</c:v>
                </c:pt>
                <c:pt idx="6">
                  <c:v>2168.7685689830832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126464"/>
        <c:axId val="184136448"/>
      </c:barChart>
      <c:catAx>
        <c:axId val="184126464"/>
        <c:scaling>
          <c:orientation val="minMax"/>
        </c:scaling>
        <c:axPos val="b"/>
        <c:numFmt formatCode="General" sourceLinked="0"/>
        <c:tickLblPos val="nextTo"/>
        <c:crossAx val="184136448"/>
        <c:crosses val="autoZero"/>
        <c:auto val="1"/>
        <c:lblAlgn val="ctr"/>
        <c:lblOffset val="100"/>
      </c:catAx>
      <c:valAx>
        <c:axId val="184136448"/>
        <c:scaling>
          <c:orientation val="minMax"/>
        </c:scaling>
        <c:axPos val="l"/>
        <c:majorGridlines/>
        <c:numFmt formatCode="#,##0" sourceLinked="1"/>
        <c:tickLblPos val="nextTo"/>
        <c:crossAx val="1841264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94040.060888058913</c:v>
                </c:pt>
                <c:pt idx="1">
                  <c:v>34283.140559829342</c:v>
                </c:pt>
                <c:pt idx="2">
                  <c:v>708.70500000000004</c:v>
                </c:pt>
                <c:pt idx="3">
                  <c:v>155250.14128776095</c:v>
                </c:pt>
                <c:pt idx="4">
                  <c:v>17197.93416503711</c:v>
                </c:pt>
                <c:pt idx="5">
                  <c:v>48486.66893372807</c:v>
                </c:pt>
                <c:pt idx="6">
                  <c:v>2168.7685689830832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17701.565960314005</c:v>
                </c:pt>
                <c:pt idx="1">
                  <c:v>7045.2207591203232</c:v>
                </c:pt>
                <c:pt idx="2">
                  <c:v>149.24305486207089</c:v>
                </c:pt>
                <c:pt idx="3">
                  <c:v>33428.14658666747</c:v>
                </c:pt>
                <c:pt idx="4">
                  <c:v>3059.1307987385144</c:v>
                </c:pt>
                <c:pt idx="5">
                  <c:v>12152.381832116085</c:v>
                </c:pt>
                <c:pt idx="6">
                  <c:v>517.51924860898521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539008"/>
        <c:axId val="184540544"/>
      </c:barChart>
      <c:catAx>
        <c:axId val="184539008"/>
        <c:scaling>
          <c:orientation val="minMax"/>
        </c:scaling>
        <c:axPos val="b"/>
        <c:numFmt formatCode="General" sourceLinked="0"/>
        <c:tickLblPos val="nextTo"/>
        <c:crossAx val="184540544"/>
        <c:crosses val="autoZero"/>
        <c:auto val="1"/>
        <c:lblAlgn val="ctr"/>
        <c:lblOffset val="100"/>
      </c:catAx>
      <c:valAx>
        <c:axId val="184540544"/>
        <c:scaling>
          <c:orientation val="minMax"/>
        </c:scaling>
        <c:axPos val="l"/>
        <c:majorGridlines/>
        <c:numFmt formatCode="#,##0" sourceLinked="1"/>
        <c:tickLblPos val="nextTo"/>
        <c:crossAx val="1845390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17701.565960314005</c:v>
                </c:pt>
                <c:pt idx="1">
                  <c:v>7045.2207591203232</c:v>
                </c:pt>
                <c:pt idx="2">
                  <c:v>149.24305486207089</c:v>
                </c:pt>
                <c:pt idx="3">
                  <c:v>33428.14658666747</c:v>
                </c:pt>
                <c:pt idx="4">
                  <c:v>3059.1307987385144</c:v>
                </c:pt>
                <c:pt idx="5">
                  <c:v>12152.381832116085</c:v>
                </c:pt>
                <c:pt idx="6">
                  <c:v>517.51924860898521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11004</v>
      </c>
      <c r="B6" s="416"/>
      <c r="C6" s="417"/>
    </row>
    <row r="7" spans="1:7" s="414" customFormat="1" ht="15.75" customHeight="1">
      <c r="A7" s="418" t="str">
        <f>txtMunicipality</f>
        <v>BOECHOUT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5050</v>
      </c>
      <c r="C9" s="342">
        <v>5289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1005</v>
      </c>
    </row>
    <row r="15" spans="1:6">
      <c r="A15" s="348" t="s">
        <v>184</v>
      </c>
      <c r="B15" s="334">
        <v>1</v>
      </c>
    </row>
    <row r="16" spans="1:6">
      <c r="A16" s="348" t="s">
        <v>6</v>
      </c>
      <c r="B16" s="334">
        <v>33</v>
      </c>
    </row>
    <row r="17" spans="1:6">
      <c r="A17" s="348" t="s">
        <v>7</v>
      </c>
      <c r="B17" s="334">
        <v>127</v>
      </c>
    </row>
    <row r="18" spans="1:6">
      <c r="A18" s="348" t="s">
        <v>8</v>
      </c>
      <c r="B18" s="334">
        <v>115</v>
      </c>
    </row>
    <row r="19" spans="1:6">
      <c r="A19" s="348" t="s">
        <v>9</v>
      </c>
      <c r="B19" s="334">
        <v>83</v>
      </c>
    </row>
    <row r="20" spans="1:6">
      <c r="A20" s="348" t="s">
        <v>10</v>
      </c>
      <c r="B20" s="334">
        <v>89</v>
      </c>
    </row>
    <row r="21" spans="1:6">
      <c r="A21" s="348" t="s">
        <v>11</v>
      </c>
      <c r="B21" s="334">
        <v>0</v>
      </c>
    </row>
    <row r="22" spans="1:6">
      <c r="A22" s="348" t="s">
        <v>12</v>
      </c>
      <c r="B22" s="334">
        <v>0</v>
      </c>
    </row>
    <row r="23" spans="1:6">
      <c r="A23" s="348" t="s">
        <v>13</v>
      </c>
      <c r="B23" s="334">
        <v>0</v>
      </c>
    </row>
    <row r="24" spans="1:6">
      <c r="A24" s="348" t="s">
        <v>14</v>
      </c>
      <c r="B24" s="334">
        <v>1</v>
      </c>
    </row>
    <row r="25" spans="1:6">
      <c r="A25" s="348" t="s">
        <v>15</v>
      </c>
      <c r="B25" s="334">
        <v>0</v>
      </c>
    </row>
    <row r="26" spans="1:6">
      <c r="A26" s="348" t="s">
        <v>16</v>
      </c>
      <c r="B26" s="334">
        <v>31</v>
      </c>
    </row>
    <row r="27" spans="1:6">
      <c r="A27" s="348" t="s">
        <v>17</v>
      </c>
      <c r="B27" s="334">
        <v>3</v>
      </c>
    </row>
    <row r="28" spans="1:6" s="356" customFormat="1">
      <c r="A28" s="355" t="s">
        <v>18</v>
      </c>
      <c r="B28" s="355">
        <v>1350</v>
      </c>
    </row>
    <row r="29" spans="1:6">
      <c r="A29" s="355" t="s">
        <v>865</v>
      </c>
      <c r="B29" s="355">
        <v>112</v>
      </c>
      <c r="C29" s="356"/>
      <c r="D29" s="356"/>
      <c r="E29" s="356"/>
      <c r="F29" s="356"/>
    </row>
    <row r="30" spans="1:6">
      <c r="A30" s="341" t="s">
        <v>866</v>
      </c>
      <c r="B30" s="341">
        <v>24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14468967</v>
      </c>
      <c r="E38" s="334">
        <v>3</v>
      </c>
      <c r="F38" s="334">
        <v>137870</v>
      </c>
    </row>
    <row r="39" spans="1:6">
      <c r="A39" s="348" t="s">
        <v>30</v>
      </c>
      <c r="B39" s="348" t="s">
        <v>31</v>
      </c>
      <c r="C39" s="334">
        <v>4026</v>
      </c>
      <c r="D39" s="334">
        <v>71166589</v>
      </c>
      <c r="E39" s="334">
        <v>5110</v>
      </c>
      <c r="F39" s="334">
        <v>19739007</v>
      </c>
    </row>
    <row r="40" spans="1:6">
      <c r="A40" s="348" t="s">
        <v>30</v>
      </c>
      <c r="B40" s="348" t="s">
        <v>29</v>
      </c>
      <c r="C40" s="334">
        <v>0</v>
      </c>
      <c r="D40" s="334">
        <v>0</v>
      </c>
      <c r="E40" s="334">
        <v>0</v>
      </c>
      <c r="F40" s="334">
        <v>0</v>
      </c>
    </row>
    <row r="41" spans="1:6">
      <c r="A41" s="348" t="s">
        <v>32</v>
      </c>
      <c r="B41" s="348" t="s">
        <v>33</v>
      </c>
      <c r="C41" s="334">
        <v>19</v>
      </c>
      <c r="D41" s="334">
        <v>461143</v>
      </c>
      <c r="E41" s="334">
        <v>49</v>
      </c>
      <c r="F41" s="334">
        <v>2427321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61725</v>
      </c>
      <c r="E44" s="334">
        <v>7</v>
      </c>
      <c r="F44" s="334">
        <v>65446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8</v>
      </c>
      <c r="D47" s="334">
        <v>1595444</v>
      </c>
      <c r="E47" s="334">
        <v>8</v>
      </c>
      <c r="F47" s="334">
        <v>5673220</v>
      </c>
    </row>
    <row r="48" spans="1:6">
      <c r="A48" s="348" t="s">
        <v>32</v>
      </c>
      <c r="B48" s="348" t="s">
        <v>29</v>
      </c>
      <c r="C48" s="334">
        <v>0</v>
      </c>
      <c r="D48" s="334">
        <v>0</v>
      </c>
      <c r="E48" s="334">
        <v>3</v>
      </c>
      <c r="F48" s="334">
        <v>19297</v>
      </c>
    </row>
    <row r="49" spans="1:6">
      <c r="A49" s="348" t="s">
        <v>32</v>
      </c>
      <c r="B49" s="348" t="s">
        <v>40</v>
      </c>
      <c r="C49" s="334">
        <v>0</v>
      </c>
      <c r="D49" s="334">
        <v>0</v>
      </c>
      <c r="E49" s="334">
        <v>0</v>
      </c>
      <c r="F49" s="334">
        <v>0</v>
      </c>
    </row>
    <row r="50" spans="1:6">
      <c r="A50" s="348" t="s">
        <v>32</v>
      </c>
      <c r="B50" s="348" t="s">
        <v>41</v>
      </c>
      <c r="C50" s="334">
        <v>4</v>
      </c>
      <c r="D50" s="334">
        <v>219934</v>
      </c>
      <c r="E50" s="334">
        <v>6</v>
      </c>
      <c r="F50" s="334">
        <v>285358</v>
      </c>
    </row>
    <row r="51" spans="1:6">
      <c r="A51" s="348" t="s">
        <v>42</v>
      </c>
      <c r="B51" s="348" t="s">
        <v>43</v>
      </c>
      <c r="C51" s="334">
        <v>24</v>
      </c>
      <c r="D51" s="334">
        <v>247736399</v>
      </c>
      <c r="E51" s="334">
        <v>74</v>
      </c>
      <c r="F51" s="334">
        <v>2632213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37</v>
      </c>
      <c r="F54" s="334">
        <v>708705</v>
      </c>
    </row>
    <row r="55" spans="1:6">
      <c r="A55" s="348" t="s">
        <v>46</v>
      </c>
      <c r="B55" s="348" t="s">
        <v>29</v>
      </c>
      <c r="C55" s="334">
        <v>0</v>
      </c>
      <c r="D55" s="334">
        <v>0</v>
      </c>
      <c r="E55" s="334">
        <v>0</v>
      </c>
      <c r="F55" s="334">
        <v>0</v>
      </c>
    </row>
    <row r="56" spans="1:6">
      <c r="A56" s="348" t="s">
        <v>48</v>
      </c>
      <c r="B56" s="348" t="s">
        <v>29</v>
      </c>
      <c r="C56" s="334">
        <v>55</v>
      </c>
      <c r="D56" s="334">
        <v>1240940</v>
      </c>
      <c r="E56" s="334">
        <v>122</v>
      </c>
      <c r="F56" s="334">
        <v>500873</v>
      </c>
    </row>
    <row r="57" spans="1:6">
      <c r="A57" s="348" t="s">
        <v>49</v>
      </c>
      <c r="B57" s="348" t="s">
        <v>50</v>
      </c>
      <c r="C57" s="334">
        <v>25</v>
      </c>
      <c r="D57" s="334">
        <v>1269934</v>
      </c>
      <c r="E57" s="334">
        <v>47</v>
      </c>
      <c r="F57" s="334">
        <v>575016</v>
      </c>
    </row>
    <row r="58" spans="1:6">
      <c r="A58" s="348" t="s">
        <v>49</v>
      </c>
      <c r="B58" s="348" t="s">
        <v>51</v>
      </c>
      <c r="C58" s="334">
        <v>24</v>
      </c>
      <c r="D58" s="334">
        <v>7080932</v>
      </c>
      <c r="E58" s="334">
        <v>23</v>
      </c>
      <c r="F58" s="334">
        <v>1354356</v>
      </c>
    </row>
    <row r="59" spans="1:6">
      <c r="A59" s="348" t="s">
        <v>49</v>
      </c>
      <c r="B59" s="348" t="s">
        <v>52</v>
      </c>
      <c r="C59" s="334">
        <v>61</v>
      </c>
      <c r="D59" s="334">
        <v>3675521</v>
      </c>
      <c r="E59" s="334">
        <v>112</v>
      </c>
      <c r="F59" s="334">
        <v>3042620.0909090908</v>
      </c>
    </row>
    <row r="60" spans="1:6">
      <c r="A60" s="348" t="s">
        <v>49</v>
      </c>
      <c r="B60" s="348" t="s">
        <v>53</v>
      </c>
      <c r="C60" s="334">
        <v>29</v>
      </c>
      <c r="D60" s="334">
        <v>2680272</v>
      </c>
      <c r="E60" s="334">
        <v>39</v>
      </c>
      <c r="F60" s="334">
        <v>2533196.1331592686</v>
      </c>
    </row>
    <row r="61" spans="1:6">
      <c r="A61" s="348" t="s">
        <v>49</v>
      </c>
      <c r="B61" s="348" t="s">
        <v>54</v>
      </c>
      <c r="C61" s="334">
        <v>137</v>
      </c>
      <c r="D61" s="334">
        <v>6448161</v>
      </c>
      <c r="E61" s="334">
        <v>325</v>
      </c>
      <c r="F61" s="334">
        <v>4086725</v>
      </c>
    </row>
    <row r="62" spans="1:6">
      <c r="A62" s="348" t="s">
        <v>49</v>
      </c>
      <c r="B62" s="348" t="s">
        <v>55</v>
      </c>
      <c r="C62" s="334">
        <v>8</v>
      </c>
      <c r="D62" s="334">
        <v>1161759</v>
      </c>
      <c r="E62" s="334">
        <v>8</v>
      </c>
      <c r="F62" s="334">
        <v>180941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12390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256625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49596504</v>
      </c>
      <c r="E73" s="477">
        <v>39949840.50195118</v>
      </c>
    </row>
    <row r="74" spans="1:6">
      <c r="A74" s="348" t="s">
        <v>64</v>
      </c>
      <c r="B74" s="348" t="s">
        <v>714</v>
      </c>
      <c r="C74" s="1288" t="s">
        <v>716</v>
      </c>
      <c r="D74" s="477">
        <v>4678212.2470077965</v>
      </c>
      <c r="E74" s="477">
        <v>3887585.1978464327</v>
      </c>
    </row>
    <row r="75" spans="1:6">
      <c r="A75" s="348" t="s">
        <v>65</v>
      </c>
      <c r="B75" s="348" t="s">
        <v>713</v>
      </c>
      <c r="C75" s="1288" t="s">
        <v>717</v>
      </c>
      <c r="D75" s="477">
        <v>6157048</v>
      </c>
      <c r="E75" s="477">
        <v>4986047.8472429849</v>
      </c>
    </row>
    <row r="76" spans="1:6">
      <c r="A76" s="348" t="s">
        <v>65</v>
      </c>
      <c r="B76" s="348" t="s">
        <v>714</v>
      </c>
      <c r="C76" s="1288" t="s">
        <v>718</v>
      </c>
      <c r="D76" s="477">
        <v>358993.24700779619</v>
      </c>
      <c r="E76" s="477">
        <v>270670.19900573377</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386799.50598440756</v>
      </c>
      <c r="C83" s="477">
        <v>382417.03528552386</v>
      </c>
    </row>
    <row r="84" spans="1:6">
      <c r="A84" s="341" t="s">
        <v>337</v>
      </c>
      <c r="B84" s="1284">
        <v>204622.68380826895</v>
      </c>
      <c r="C84" s="1284">
        <v>209136.90490936241</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1859.5895203990854</v>
      </c>
    </row>
    <row r="92" spans="1:6">
      <c r="A92" s="341" t="s">
        <v>69</v>
      </c>
      <c r="B92" s="342">
        <v>388.90888031686768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2831</v>
      </c>
    </row>
    <row r="98" spans="1:6">
      <c r="A98" s="348" t="s">
        <v>72</v>
      </c>
      <c r="B98" s="334">
        <v>2</v>
      </c>
    </row>
    <row r="99" spans="1:6">
      <c r="A99" s="348" t="s">
        <v>73</v>
      </c>
      <c r="B99" s="334">
        <v>22</v>
      </c>
    </row>
    <row r="100" spans="1:6">
      <c r="A100" s="348" t="s">
        <v>74</v>
      </c>
      <c r="B100" s="334">
        <v>329</v>
      </c>
    </row>
    <row r="101" spans="1:6">
      <c r="A101" s="348" t="s">
        <v>75</v>
      </c>
      <c r="B101" s="334">
        <v>48</v>
      </c>
    </row>
    <row r="102" spans="1:6">
      <c r="A102" s="348" t="s">
        <v>76</v>
      </c>
      <c r="B102" s="334">
        <v>62</v>
      </c>
    </row>
    <row r="103" spans="1:6">
      <c r="A103" s="348" t="s">
        <v>77</v>
      </c>
      <c r="B103" s="334">
        <v>79</v>
      </c>
    </row>
    <row r="104" spans="1:6">
      <c r="A104" s="348" t="s">
        <v>78</v>
      </c>
      <c r="B104" s="334">
        <v>886</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21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68</v>
      </c>
    </row>
    <row r="130" spans="1:6">
      <c r="A130" s="348" t="s">
        <v>295</v>
      </c>
      <c r="B130" s="334">
        <v>2</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45911.946925506774</v>
      </c>
      <c r="C3" s="43" t="s">
        <v>170</v>
      </c>
      <c r="D3" s="43"/>
      <c r="E3" s="154"/>
      <c r="F3" s="43"/>
      <c r="G3" s="43"/>
      <c r="H3" s="43"/>
      <c r="I3" s="43"/>
      <c r="J3" s="43"/>
      <c r="K3" s="96"/>
    </row>
    <row r="4" spans="1:11">
      <c r="A4" s="384" t="s">
        <v>171</v>
      </c>
      <c r="B4" s="49">
        <f>IF(ISERROR('SEAP template'!B69),0,'SEAP template'!B69)</f>
        <v>108781.49840071595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22907.815147058827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0.21058558195874288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32725.450210084044</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152190.00000000003</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0.21503022675658084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708.70500000000004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708.70500000000004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0.21058558195874288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149.24305486207089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19739.007000000001</v>
      </c>
      <c r="C5" s="17">
        <f>IF(ISERROR('Eigen informatie GS &amp; warmtenet'!B57),0,'Eigen informatie GS &amp; warmtenet'!B57)</f>
        <v>0</v>
      </c>
      <c r="D5" s="30">
        <f>(SUM(HH_hh_gas_kWh,HH_rest_gas_kWh)/1000)*0.902</f>
        <v>64192.263278000006</v>
      </c>
      <c r="E5" s="17">
        <f>B46*B57</f>
        <v>821.03859214838371</v>
      </c>
      <c r="F5" s="17">
        <f>B51*B62</f>
        <v>0</v>
      </c>
      <c r="G5" s="18"/>
      <c r="H5" s="17"/>
      <c r="I5" s="17"/>
      <c r="J5" s="17">
        <f>B50*B61+C50*C61</f>
        <v>0</v>
      </c>
      <c r="K5" s="17"/>
      <c r="L5" s="17"/>
      <c r="M5" s="17"/>
      <c r="N5" s="17">
        <f>B48*B59+C48*C59</f>
        <v>6793.2924975114238</v>
      </c>
      <c r="O5" s="17">
        <f>B69*B70*B71</f>
        <v>139.13666666666668</v>
      </c>
      <c r="P5" s="17">
        <f>B77*B78*B79/1000-B77*B78*B79/1000/B80</f>
        <v>495.73333333333335</v>
      </c>
    </row>
    <row r="6" spans="1:16">
      <c r="A6" s="16" t="s">
        <v>631</v>
      </c>
      <c r="B6" s="844">
        <f>kWh_PV_kleiner_dan_10kW</f>
        <v>1859.5895203990854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21598.596520399085</v>
      </c>
      <c r="C8" s="21">
        <f>C5</f>
        <v>0</v>
      </c>
      <c r="D8" s="21">
        <f>D5</f>
        <v>64192.263278000006</v>
      </c>
      <c r="E8" s="21">
        <f>E5</f>
        <v>821.03859214838371</v>
      </c>
      <c r="F8" s="21">
        <f>F5</f>
        <v>0</v>
      </c>
      <c r="G8" s="21"/>
      <c r="H8" s="21"/>
      <c r="I8" s="21"/>
      <c r="J8" s="21">
        <f>J5</f>
        <v>0</v>
      </c>
      <c r="K8" s="21"/>
      <c r="L8" s="21">
        <f>L5</f>
        <v>0</v>
      </c>
      <c r="M8" s="21">
        <f>M5</f>
        <v>0</v>
      </c>
      <c r="N8" s="21">
        <f>N5</f>
        <v>6793.2924975114238</v>
      </c>
      <c r="O8" s="21">
        <f>O5</f>
        <v>139.13666666666668</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0.21058558195874288</v>
      </c>
      <c r="C10" s="25">
        <f ca="1">'EF ele_warmte'!B22</f>
        <v>0.21503022675658084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4548.3530177403209</v>
      </c>
      <c r="C12" s="23">
        <f ca="1">C10*C8</f>
        <v>0</v>
      </c>
      <c r="D12" s="23">
        <f>D8*D10</f>
        <v>12966.837182156001</v>
      </c>
      <c r="E12" s="23">
        <f>E10*E8</f>
        <v>186.3757604176831</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2831</v>
      </c>
      <c r="C18" s="166" t="s">
        <v>111</v>
      </c>
      <c r="D18" s="228"/>
      <c r="E18" s="15"/>
    </row>
    <row r="19" spans="1:7">
      <c r="A19" s="171" t="s">
        <v>72</v>
      </c>
      <c r="B19" s="37">
        <f>aantalw2001_ander</f>
        <v>2</v>
      </c>
      <c r="C19" s="166" t="s">
        <v>111</v>
      </c>
      <c r="D19" s="229"/>
      <c r="E19" s="15"/>
    </row>
    <row r="20" spans="1:7">
      <c r="A20" s="171" t="s">
        <v>73</v>
      </c>
      <c r="B20" s="37">
        <f>aantalw2001_propaan</f>
        <v>22</v>
      </c>
      <c r="C20" s="167">
        <f>IF(ISERROR(B20/SUM($B$20,$B$21,$B$22)*100),0,B20/SUM($B$20,$B$21,$B$22)*100)</f>
        <v>5.5137844611528823</v>
      </c>
      <c r="D20" s="229"/>
      <c r="E20" s="15"/>
    </row>
    <row r="21" spans="1:7">
      <c r="A21" s="171" t="s">
        <v>74</v>
      </c>
      <c r="B21" s="37">
        <f>aantalw2001_elektriciteit</f>
        <v>329</v>
      </c>
      <c r="C21" s="167">
        <f>IF(ISERROR(B21/SUM($B$20,$B$21,$B$22)*100),0,B21/SUM($B$20,$B$21,$B$22)*100)</f>
        <v>82.456140350877192</v>
      </c>
      <c r="D21" s="229"/>
      <c r="E21" s="15"/>
    </row>
    <row r="22" spans="1:7">
      <c r="A22" s="171" t="s">
        <v>75</v>
      </c>
      <c r="B22" s="37">
        <f>aantalw2001_hout</f>
        <v>48</v>
      </c>
      <c r="C22" s="167">
        <f>IF(ISERROR(B22/SUM($B$20,$B$21,$B$22)*100),0,B22/SUM($B$20,$B$21,$B$22)*100)</f>
        <v>12.030075187969924</v>
      </c>
      <c r="D22" s="229"/>
      <c r="E22" s="15"/>
    </row>
    <row r="23" spans="1:7">
      <c r="A23" s="171" t="s">
        <v>76</v>
      </c>
      <c r="B23" s="37">
        <f>aantalw2001_niet_gespec</f>
        <v>62</v>
      </c>
      <c r="C23" s="166" t="s">
        <v>111</v>
      </c>
      <c r="D23" s="228"/>
      <c r="E23" s="15"/>
    </row>
    <row r="24" spans="1:7">
      <c r="A24" s="171" t="s">
        <v>77</v>
      </c>
      <c r="B24" s="37">
        <f>aantalw2001_steenkool</f>
        <v>79</v>
      </c>
      <c r="C24" s="166" t="s">
        <v>111</v>
      </c>
      <c r="D24" s="229"/>
      <c r="E24" s="15"/>
    </row>
    <row r="25" spans="1:7">
      <c r="A25" s="171" t="s">
        <v>78</v>
      </c>
      <c r="B25" s="37">
        <f>aantalw2001_stookolie</f>
        <v>886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5050</v>
      </c>
      <c r="C28" s="36"/>
      <c r="D28" s="228"/>
    </row>
    <row r="29" spans="1:7" s="15" customFormat="1">
      <c r="A29" s="230" t="s">
        <v>741</v>
      </c>
      <c r="B29" s="37">
        <f>SUM(HH_hh_gas_aantal,HH_rest_gas_aantal)</f>
        <v>4026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4026</v>
      </c>
      <c r="C32" s="167">
        <f>IF(ISERROR(B32/SUM($B$32,$B$34,$B$35,$B$36,$B$38,$B$39)*100),0,B32/SUM($B$32,$B$34,$B$35,$B$36,$B$38,$B$39)*100)</f>
        <v>80.135350318471339</v>
      </c>
      <c r="D32" s="233"/>
      <c r="G32" s="15"/>
    </row>
    <row r="33" spans="1:7">
      <c r="A33" s="171" t="s">
        <v>72</v>
      </c>
      <c r="B33" s="34" t="s">
        <v>111</v>
      </c>
      <c r="C33" s="167"/>
      <c r="D33" s="233"/>
      <c r="G33" s="15"/>
    </row>
    <row r="34" spans="1:7">
      <c r="A34" s="171" t="s">
        <v>73</v>
      </c>
      <c r="B34" s="33">
        <f>IF((($B$28-$B$32-$B$39-$B$77-$B$38)*C20/100)&lt;0,0,($B$28-$B$32-$B$39-$B$77-$B$38)*C20/100)</f>
        <v>55.027568922305761</v>
      </c>
      <c r="C34" s="167">
        <f>IF(ISERROR(B34/SUM($B$32,$B$34,$B$35,$B$36,$B$38,$B$39)*100),0,B34/SUM($B$32,$B$34,$B$35,$B$36,$B$38,$B$39)*100)</f>
        <v>1.0952939674025828</v>
      </c>
      <c r="D34" s="233"/>
      <c r="G34" s="15"/>
    </row>
    <row r="35" spans="1:7">
      <c r="A35" s="171" t="s">
        <v>74</v>
      </c>
      <c r="B35" s="33">
        <f>IF((($B$28-$B$32-$B$39-$B$77-$B$38)*C21/100)&lt;0,0,($B$28-$B$32-$B$39-$B$77-$B$38)*C21/100)</f>
        <v>822.9122807017543</v>
      </c>
      <c r="C35" s="167">
        <f>IF(ISERROR(B35/SUM($B$32,$B$34,$B$35,$B$36,$B$38,$B$39)*100),0,B35/SUM($B$32,$B$34,$B$35,$B$36,$B$38,$B$39)*100)</f>
        <v>16.379623421611349</v>
      </c>
      <c r="D35" s="233"/>
      <c r="G35" s="15"/>
    </row>
    <row r="36" spans="1:7">
      <c r="A36" s="171" t="s">
        <v>75</v>
      </c>
      <c r="B36" s="33">
        <f>IF((($B$28-$B$32-$B$39-$B$77-$B$38)*C22/100)&lt;0,0,($B$28-$B$32-$B$39-$B$77-$B$38)*C22/100)</f>
        <v>120.06015037593984</v>
      </c>
      <c r="C36" s="167">
        <f>IF(ISERROR(B36/SUM($B$32,$B$34,$B$35,$B$36,$B$38,$B$39)*100),0,B36/SUM($B$32,$B$34,$B$35,$B$36,$B$38,$B$39)*100)</f>
        <v>2.3897322925147262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4026</v>
      </c>
      <c r="C44" s="34" t="s">
        <v>111</v>
      </c>
      <c r="D44" s="174"/>
    </row>
    <row r="45" spans="1:7">
      <c r="A45" s="171" t="s">
        <v>72</v>
      </c>
      <c r="B45" s="33" t="str">
        <f t="shared" si="0"/>
        <v>-</v>
      </c>
      <c r="C45" s="34" t="s">
        <v>111</v>
      </c>
      <c r="D45" s="174"/>
    </row>
    <row r="46" spans="1:7">
      <c r="A46" s="171" t="s">
        <v>73</v>
      </c>
      <c r="B46" s="33">
        <f t="shared" si="0"/>
        <v>55.027568922305761</v>
      </c>
      <c r="C46" s="34" t="s">
        <v>111</v>
      </c>
      <c r="D46" s="174"/>
    </row>
    <row r="47" spans="1:7">
      <c r="A47" s="171" t="s">
        <v>74</v>
      </c>
      <c r="B47" s="33">
        <f t="shared" si="0"/>
        <v>822.9122807017543</v>
      </c>
      <c r="C47" s="34" t="s">
        <v>111</v>
      </c>
      <c r="D47" s="174"/>
    </row>
    <row r="48" spans="1:7">
      <c r="A48" s="171" t="s">
        <v>75</v>
      </c>
      <c r="B48" s="33">
        <f t="shared" si="0"/>
        <v>120.06015037593984</v>
      </c>
      <c r="C48" s="33">
        <f>B48*10</f>
        <v>1200.6015037593984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11772.85422406836</v>
      </c>
      <c r="C5" s="17">
        <f>IF(ISERROR('Eigen informatie GS &amp; warmtenet'!B58),0,'Eigen informatie GS &amp; warmtenet'!B58)</f>
        <v>0</v>
      </c>
      <c r="D5" s="30">
        <f>SUM(D6:D12)</f>
        <v>20129.554258000004</v>
      </c>
      <c r="E5" s="17">
        <f>SUM(E6:E12)</f>
        <v>154.03045402319233</v>
      </c>
      <c r="F5" s="17">
        <f>SUM(F6:F12)</f>
        <v>1741.1705162928026</v>
      </c>
      <c r="G5" s="18"/>
      <c r="H5" s="17"/>
      <c r="I5" s="17"/>
      <c r="J5" s="17">
        <f>SUM(J6:J12)</f>
        <v>0</v>
      </c>
      <c r="K5" s="17"/>
      <c r="L5" s="17"/>
      <c r="M5" s="17"/>
      <c r="N5" s="17">
        <f>SUM(N6:N12)</f>
        <v>482.40444077832433</v>
      </c>
      <c r="O5" s="17">
        <f>B38*B39*B40</f>
        <v>3.1266666666666669</v>
      </c>
      <c r="P5" s="17">
        <f>B46*B47*B48/1000-B46*B47*B48/1000/B49</f>
        <v>0</v>
      </c>
      <c r="R5" s="32"/>
    </row>
    <row r="6" spans="1:18">
      <c r="A6" s="32" t="s">
        <v>54</v>
      </c>
      <c r="B6" s="37">
        <f>B26</f>
        <v>4086.7249999999999</v>
      </c>
      <c r="C6" s="33"/>
      <c r="D6" s="37">
        <f>IF(ISERROR(TER_kantoor_gas_kWh/1000),0,TER_kantoor_gas_kWh/1000)*0.902</f>
        <v>5816.2412220000006</v>
      </c>
      <c r="E6" s="33">
        <f>$C$26*'E Balans VL '!I12/100/3.6*1000000</f>
        <v>11.839841932577416</v>
      </c>
      <c r="F6" s="33">
        <f>$C$26*('E Balans VL '!L12+'E Balans VL '!N12)/100/3.6*1000000</f>
        <v>462.52723246742892</v>
      </c>
      <c r="G6" s="34"/>
      <c r="H6" s="33"/>
      <c r="I6" s="33"/>
      <c r="J6" s="33">
        <f>$C$26*('E Balans VL '!D12+'E Balans VL '!E12)/100/3.6*1000000</f>
        <v>0</v>
      </c>
      <c r="K6" s="33"/>
      <c r="L6" s="33"/>
      <c r="M6" s="33"/>
      <c r="N6" s="33">
        <f>$C$26*'E Balans VL '!Y12/100/3.6*1000000</f>
        <v>40.905106016572134</v>
      </c>
      <c r="O6" s="33"/>
      <c r="P6" s="33"/>
      <c r="R6" s="32"/>
    </row>
    <row r="7" spans="1:18">
      <c r="A7" s="32" t="s">
        <v>53</v>
      </c>
      <c r="B7" s="37">
        <f t="shared" ref="B7:B12" si="0">B27</f>
        <v>2533.1961331592688</v>
      </c>
      <c r="C7" s="33"/>
      <c r="D7" s="37">
        <f>IF(ISERROR(TER_horeca_gas_kWh/1000),0,TER_horeca_gas_kWh/1000)*0.902</f>
        <v>2417.6053440000001</v>
      </c>
      <c r="E7" s="33">
        <f>$C$27*'E Balans VL '!I9/100/3.6*1000000</f>
        <v>106.33649605991079</v>
      </c>
      <c r="F7" s="33">
        <f>$C$27*('E Balans VL '!L9+'E Balans VL '!N9)/100/3.6*1000000</f>
        <v>544.30913728860253</v>
      </c>
      <c r="G7" s="34"/>
      <c r="H7" s="33"/>
      <c r="I7" s="33"/>
      <c r="J7" s="33">
        <f>$C$27*('E Balans VL '!D9+'E Balans VL '!E9)/100/3.6*1000000</f>
        <v>0</v>
      </c>
      <c r="K7" s="33"/>
      <c r="L7" s="33"/>
      <c r="M7" s="33"/>
      <c r="N7" s="33">
        <f>$C$27*'E Balans VL '!Y9/100/3.6*1000000</f>
        <v>0.65278248991128607</v>
      </c>
      <c r="O7" s="33"/>
      <c r="P7" s="33"/>
      <c r="R7" s="32"/>
    </row>
    <row r="8" spans="1:18">
      <c r="A8" s="6" t="s">
        <v>52</v>
      </c>
      <c r="B8" s="37">
        <f t="shared" si="0"/>
        <v>3042.6200909090908</v>
      </c>
      <c r="C8" s="33"/>
      <c r="D8" s="37">
        <f>IF(ISERROR(TER_handel_gas_kWh/1000),0,TER_handel_gas_kWh/1000)*0.902</f>
        <v>3315.3199420000001</v>
      </c>
      <c r="E8" s="33">
        <f>$C$28*'E Balans VL '!I13/100/3.6*1000000</f>
        <v>32.680272077080623</v>
      </c>
      <c r="F8" s="33">
        <f>$C$28*('E Balans VL '!L13+'E Balans VL '!N13)/100/3.6*1000000</f>
        <v>393.89229620693686</v>
      </c>
      <c r="G8" s="34"/>
      <c r="H8" s="33"/>
      <c r="I8" s="33"/>
      <c r="J8" s="33">
        <f>$C$28*('E Balans VL '!D13+'E Balans VL '!E13)/100/3.6*1000000</f>
        <v>0</v>
      </c>
      <c r="K8" s="33"/>
      <c r="L8" s="33"/>
      <c r="M8" s="33"/>
      <c r="N8" s="33">
        <f>$C$28*'E Balans VL '!Y13/100/3.6*1000000</f>
        <v>24.68190031173495</v>
      </c>
      <c r="O8" s="33"/>
      <c r="P8" s="33"/>
      <c r="R8" s="32"/>
    </row>
    <row r="9" spans="1:18">
      <c r="A9" s="32" t="s">
        <v>51</v>
      </c>
      <c r="B9" s="37">
        <f t="shared" si="0"/>
        <v>1354.356</v>
      </c>
      <c r="C9" s="33"/>
      <c r="D9" s="37">
        <f>IF(ISERROR(TER_gezond_gas_kWh/1000),0,TER_gezond_gas_kWh/1000)*0.902</f>
        <v>6387.0006640000001</v>
      </c>
      <c r="E9" s="33">
        <f>$C$29*'E Balans VL '!I10/100/3.6*1000000</f>
        <v>1.0781549733992761</v>
      </c>
      <c r="F9" s="33">
        <f>$C$29*('E Balans VL '!L10+'E Balans VL '!N10)/100/3.6*1000000</f>
        <v>164.64154400707662</v>
      </c>
      <c r="G9" s="34"/>
      <c r="H9" s="33"/>
      <c r="I9" s="33"/>
      <c r="J9" s="33">
        <f>$C$29*('E Balans VL '!D10+'E Balans VL '!E10)/100/3.6*1000000</f>
        <v>0</v>
      </c>
      <c r="K9" s="33"/>
      <c r="L9" s="33"/>
      <c r="M9" s="33"/>
      <c r="N9" s="33">
        <f>$C$29*'E Balans VL '!Y10/100/3.6*1000000</f>
        <v>10.940128954953146</v>
      </c>
      <c r="O9" s="33"/>
      <c r="P9" s="33"/>
      <c r="R9" s="32"/>
    </row>
    <row r="10" spans="1:18">
      <c r="A10" s="32" t="s">
        <v>50</v>
      </c>
      <c r="B10" s="37">
        <f t="shared" si="0"/>
        <v>575.01599999999996</v>
      </c>
      <c r="C10" s="33"/>
      <c r="D10" s="37">
        <f>IF(ISERROR(TER_ander_gas_kWh/1000),0,TER_ander_gas_kWh/1000)*0.902</f>
        <v>1145.480468</v>
      </c>
      <c r="E10" s="33">
        <f>$C$30*'E Balans VL '!I14/100/3.6*1000000</f>
        <v>1.9706100394684667</v>
      </c>
      <c r="F10" s="33">
        <f>$C$30*('E Balans VL '!L14+'E Balans VL '!N14)/100/3.6*1000000</f>
        <v>128.43520850218104</v>
      </c>
      <c r="G10" s="34"/>
      <c r="H10" s="33"/>
      <c r="I10" s="33"/>
      <c r="J10" s="33">
        <f>$C$30*('E Balans VL '!D14+'E Balans VL '!E14)/100/3.6*1000000</f>
        <v>0</v>
      </c>
      <c r="K10" s="33"/>
      <c r="L10" s="33"/>
      <c r="M10" s="33"/>
      <c r="N10" s="33">
        <f>$C$30*'E Balans VL '!Y14/100/3.6*1000000</f>
        <v>405.04441165100502</v>
      </c>
      <c r="O10" s="33"/>
      <c r="P10" s="33"/>
      <c r="R10" s="32"/>
    </row>
    <row r="11" spans="1:18">
      <c r="A11" s="32" t="s">
        <v>55</v>
      </c>
      <c r="B11" s="37">
        <f t="shared" si="0"/>
        <v>180.941</v>
      </c>
      <c r="C11" s="33"/>
      <c r="D11" s="37">
        <f>IF(ISERROR(TER_onderwijs_gas_kWh/1000),0,TER_onderwijs_gas_kWh/1000)*0.902</f>
        <v>1047.906618</v>
      </c>
      <c r="E11" s="33">
        <f>$C$31*'E Balans VL '!I11/100/3.6*1000000</f>
        <v>0.12507894075576612</v>
      </c>
      <c r="F11" s="33">
        <f>$C$31*('E Balans VL '!L11+'E Balans VL '!N11)/100/3.6*1000000</f>
        <v>47.365097820576764</v>
      </c>
      <c r="G11" s="34"/>
      <c r="H11" s="33"/>
      <c r="I11" s="33"/>
      <c r="J11" s="33">
        <f>$C$31*('E Balans VL '!D11+'E Balans VL '!E11)/100/3.6*1000000</f>
        <v>0</v>
      </c>
      <c r="K11" s="33"/>
      <c r="L11" s="33"/>
      <c r="M11" s="33"/>
      <c r="N11" s="33">
        <f>$C$31*'E Balans VL '!Y11/100/3.6*1000000</f>
        <v>0.18011135414783275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11772.85422406836</v>
      </c>
      <c r="C16" s="21">
        <f t="shared" ca="1" si="1"/>
        <v>0</v>
      </c>
      <c r="D16" s="21">
        <f t="shared" ca="1" si="1"/>
        <v>20129.554258000004</v>
      </c>
      <c r="E16" s="21">
        <f t="shared" si="1"/>
        <v>154.03045402319233</v>
      </c>
      <c r="F16" s="21">
        <f t="shared" ca="1" si="1"/>
        <v>1741.1705162928026</v>
      </c>
      <c r="G16" s="21">
        <f t="shared" si="1"/>
        <v>0</v>
      </c>
      <c r="H16" s="21">
        <f t="shared" si="1"/>
        <v>0</v>
      </c>
      <c r="I16" s="21">
        <f t="shared" si="1"/>
        <v>0</v>
      </c>
      <c r="J16" s="21">
        <f t="shared" si="1"/>
        <v>0</v>
      </c>
      <c r="K16" s="21">
        <f t="shared" si="1"/>
        <v>0</v>
      </c>
      <c r="L16" s="21">
        <f t="shared" ca="1" si="1"/>
        <v>0</v>
      </c>
      <c r="M16" s="21">
        <f t="shared" si="1"/>
        <v>0</v>
      </c>
      <c r="N16" s="21">
        <f t="shared" ca="1" si="1"/>
        <v>482.40444077832433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0.21058558195874288</v>
      </c>
      <c r="C18" s="25">
        <f ca="1">'EF ele_warmte'!B22</f>
        <v>0.21503022675658084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2479.1933580908799</v>
      </c>
      <c r="C20" s="23">
        <f t="shared" ref="C20:P20" ca="1" si="2">C16*C18</f>
        <v>0</v>
      </c>
      <c r="D20" s="23">
        <f t="shared" ca="1" si="2"/>
        <v>4066.1699601160012</v>
      </c>
      <c r="E20" s="23">
        <f t="shared" si="2"/>
        <v>34.96491306326466</v>
      </c>
      <c r="F20" s="23">
        <f t="shared" ca="1" si="2"/>
        <v>464.89252785017834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4086.7249999999999</v>
      </c>
      <c r="C26" s="39">
        <f>IF(ISERROR(B26*3.6/1000000/'E Balans VL '!Z12*100),0,B26*3.6/1000000/'E Balans VL '!Z12*100)</f>
        <v>8.9769639352221153E-2</v>
      </c>
      <c r="D26" s="237" t="s">
        <v>692</v>
      </c>
      <c r="F26" s="6"/>
    </row>
    <row r="27" spans="1:18">
      <c r="A27" s="231" t="s">
        <v>53</v>
      </c>
      <c r="B27" s="33">
        <f>IF(ISERROR(TER_horeca_ele_kWh/1000),0,TER_horeca_ele_kWh/1000)</f>
        <v>2533.1961331592688</v>
      </c>
      <c r="C27" s="39">
        <f>IF(ISERROR(B27*3.6/1000000/'E Balans VL '!Z9*100),0,B27*3.6/1000000/'E Balans VL '!Z9*100)</f>
        <v>0.20356756049664651</v>
      </c>
      <c r="D27" s="237" t="s">
        <v>692</v>
      </c>
      <c r="F27" s="6"/>
    </row>
    <row r="28" spans="1:18">
      <c r="A28" s="171" t="s">
        <v>52</v>
      </c>
      <c r="B28" s="33">
        <f>IF(ISERROR(TER_handel_ele_kWh/1000),0,TER_handel_ele_kWh/1000)</f>
        <v>3042.6200909090908</v>
      </c>
      <c r="C28" s="39">
        <f>IF(ISERROR(B28*3.6/1000000/'E Balans VL '!Z13*100),0,B28*3.6/1000000/'E Balans VL '!Z13*100)</f>
        <v>8.99681504691556E-2</v>
      </c>
      <c r="D28" s="237" t="s">
        <v>692</v>
      </c>
      <c r="F28" s="6"/>
    </row>
    <row r="29" spans="1:18">
      <c r="A29" s="231" t="s">
        <v>51</v>
      </c>
      <c r="B29" s="33">
        <f>IF(ISERROR(TER_gezond_ele_kWh/1000),0,TER_gezond_ele_kWh/1000)</f>
        <v>1354.356</v>
      </c>
      <c r="C29" s="39">
        <f>IF(ISERROR(B29*3.6/1000000/'E Balans VL '!Z10*100),0,B29*3.6/1000000/'E Balans VL '!Z10*100)</f>
        <v>0.15260095481037503</v>
      </c>
      <c r="D29" s="237" t="s">
        <v>692</v>
      </c>
      <c r="F29" s="6"/>
    </row>
    <row r="30" spans="1:18">
      <c r="A30" s="231" t="s">
        <v>50</v>
      </c>
      <c r="B30" s="33">
        <f>IF(ISERROR(TER_ander_ele_kWh/1000),0,TER_ander_ele_kWh/1000)</f>
        <v>575.01599999999996</v>
      </c>
      <c r="C30" s="39">
        <f>IF(ISERROR(B30*3.6/1000000/'E Balans VL '!Z14*100),0,B30*3.6/1000000/'E Balans VL '!Z14*100)</f>
        <v>4.3487477134547703E-2</v>
      </c>
      <c r="D30" s="237" t="s">
        <v>692</v>
      </c>
      <c r="F30" s="6"/>
    </row>
    <row r="31" spans="1:18">
      <c r="A31" s="231" t="s">
        <v>55</v>
      </c>
      <c r="B31" s="33">
        <f>IF(ISERROR(TER_onderwijs_ele_kWh/1000),0,TER_onderwijs_ele_kWh/1000)</f>
        <v>180.941</v>
      </c>
      <c r="C31" s="39">
        <f>IF(ISERROR(B31*3.6/1000000/'E Balans VL '!Z11*100),0,B31*3.6/1000000/'E Balans VL '!Z11*100)</f>
        <v>3.7559151235008449E-2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8470.6420000000016</v>
      </c>
      <c r="C5" s="17">
        <f>IF(ISERROR('Eigen informatie GS &amp; warmtenet'!B59),0,'Eigen informatie GS &amp; warmtenet'!B59)</f>
        <v>0</v>
      </c>
      <c r="D5" s="30">
        <f>SUM(D6:D15)</f>
        <v>2109.0978919999998</v>
      </c>
      <c r="E5" s="17">
        <f>SUM(E6:E15)</f>
        <v>684.69199018705353</v>
      </c>
      <c r="F5" s="17">
        <f>SUM(F6:F15)</f>
        <v>2589.6125387349412</v>
      </c>
      <c r="G5" s="18"/>
      <c r="H5" s="17"/>
      <c r="I5" s="17"/>
      <c r="J5" s="17">
        <f>SUM(J6:J15)</f>
        <v>6.9105079255767157</v>
      </c>
      <c r="K5" s="17"/>
      <c r="L5" s="17"/>
      <c r="M5" s="17"/>
      <c r="N5" s="17">
        <f>SUM(N6:N15)</f>
        <v>3336.9792361895347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65.445999999999998</v>
      </c>
      <c r="C8" s="33"/>
      <c r="D8" s="37">
        <f>IF( ISERROR(IND_metaal_Gas_kWH/1000),0,IND_metaal_Gas_kWH/1000)*0.902</f>
        <v>55.67595</v>
      </c>
      <c r="E8" s="33">
        <f>C30*'E Balans VL '!I18/100/3.6*1000000</f>
        <v>1.637884323907207</v>
      </c>
      <c r="F8" s="33">
        <f>C30*'E Balans VL '!L18/100/3.6*1000000+C30*'E Balans VL '!N18/100/3.6*1000000</f>
        <v>20.511101945146127</v>
      </c>
      <c r="G8" s="34"/>
      <c r="H8" s="33"/>
      <c r="I8" s="33"/>
      <c r="J8" s="40">
        <f>C30*'E Balans VL '!D18/100/3.6*1000000+C30*'E Balans VL '!E18/100/3.6*1000000</f>
        <v>0</v>
      </c>
      <c r="K8" s="33"/>
      <c r="L8" s="33"/>
      <c r="M8" s="33"/>
      <c r="N8" s="33">
        <f>C30*'E Balans VL '!Y18/100/3.6*1000000</f>
        <v>1.6441733671807888</v>
      </c>
      <c r="O8" s="33"/>
      <c r="P8" s="33"/>
      <c r="R8" s="32"/>
    </row>
    <row r="9" spans="1:18">
      <c r="A9" s="6" t="s">
        <v>33</v>
      </c>
      <c r="B9" s="37">
        <f t="shared" si="0"/>
        <v>2427.3209999999999</v>
      </c>
      <c r="C9" s="33"/>
      <c r="D9" s="37">
        <f>IF( ISERROR(IND_andere_gas_kWh/1000),0,IND_andere_gas_kWh/1000)*0.902</f>
        <v>415.950986</v>
      </c>
      <c r="E9" s="33">
        <f>C31*'E Balans VL '!I19/100/3.6*1000000</f>
        <v>667.41371829423997</v>
      </c>
      <c r="F9" s="33">
        <f>C31*'E Balans VL '!L19/100/3.6*1000000+C31*'E Balans VL '!N19/100/3.6*1000000</f>
        <v>1913.1513321803225</v>
      </c>
      <c r="G9" s="34"/>
      <c r="H9" s="33"/>
      <c r="I9" s="33"/>
      <c r="J9" s="40">
        <f>C31*'E Balans VL '!D19/100/3.6*1000000+C31*'E Balans VL '!E19/100/3.6*1000000</f>
        <v>0</v>
      </c>
      <c r="K9" s="33"/>
      <c r="L9" s="33"/>
      <c r="M9" s="33"/>
      <c r="N9" s="33">
        <f>C31*'E Balans VL '!Y19/100/3.6*1000000</f>
        <v>785.78787825288839</v>
      </c>
      <c r="O9" s="33"/>
      <c r="P9" s="33"/>
      <c r="R9" s="32"/>
    </row>
    <row r="10" spans="1:18">
      <c r="A10" s="6" t="s">
        <v>41</v>
      </c>
      <c r="B10" s="37">
        <f t="shared" si="0"/>
        <v>285.358</v>
      </c>
      <c r="C10" s="33"/>
      <c r="D10" s="37">
        <f>IF( ISERROR(IND_voed_gas_kWh/1000),0,IND_voed_gas_kWh/1000)*0.902</f>
        <v>198.38046800000001</v>
      </c>
      <c r="E10" s="33">
        <f>C32*'E Balans VL '!I20/100/3.6*1000000</f>
        <v>2.9090676053807867</v>
      </c>
      <c r="F10" s="33">
        <f>C32*'E Balans VL '!L20/100/3.6*1000000+C32*'E Balans VL '!N20/100/3.6*1000000</f>
        <v>539.03947725799287</v>
      </c>
      <c r="G10" s="34"/>
      <c r="H10" s="33"/>
      <c r="I10" s="33"/>
      <c r="J10" s="40">
        <f>C32*'E Balans VL '!D20/100/3.6*1000000+C32*'E Balans VL '!E20/100/3.6*1000000</f>
        <v>6.8295506356032112</v>
      </c>
      <c r="K10" s="33"/>
      <c r="L10" s="33"/>
      <c r="M10" s="33"/>
      <c r="N10" s="33">
        <f>C32*'E Balans VL '!Y20/100/3.6*1000000</f>
        <v>150.41653521106014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5673.22</v>
      </c>
      <c r="C13" s="33"/>
      <c r="D13" s="37">
        <f>IF( ISERROR(IND_papier_gas_kWh/1000),0,IND_papier_gas_kWh/1000)*0.902</f>
        <v>1439.0904880000001</v>
      </c>
      <c r="E13" s="33">
        <f>C35*'E Balans VL '!I23/100/3.6*1000000</f>
        <v>11.749621553129133</v>
      </c>
      <c r="F13" s="33">
        <f>C35*'E Balans VL '!L23/100/3.6*1000000+C35*'E Balans VL '!N23/100/3.6*1000000</f>
        <v>112.51211501700159</v>
      </c>
      <c r="G13" s="34"/>
      <c r="H13" s="33"/>
      <c r="I13" s="33"/>
      <c r="J13" s="40">
        <f>C35*'E Balans VL '!D23/100/3.6*1000000+C35*'E Balans VL '!E23/100/3.6*1000000</f>
        <v>0</v>
      </c>
      <c r="K13" s="33"/>
      <c r="L13" s="33"/>
      <c r="M13" s="33"/>
      <c r="N13" s="33">
        <f>C35*'E Balans VL '!Y23/100/3.6*1000000</f>
        <v>2395.5050541215151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19.297000000000001</v>
      </c>
      <c r="C15" s="33"/>
      <c r="D15" s="37">
        <f>IF( ISERROR(IND_rest_gas_kWh/1000),0,IND_rest_gas_kWh/1000)*0.902</f>
        <v>0</v>
      </c>
      <c r="E15" s="33">
        <f>C37*'E Balans VL '!I15/100/3.6*1000000</f>
        <v>0.98169841039644212</v>
      </c>
      <c r="F15" s="33">
        <f>C37*'E Balans VL '!L15/100/3.6*1000000+C37*'E Balans VL '!N15/100/3.6*1000000</f>
        <v>4.3985123344784647</v>
      </c>
      <c r="G15" s="34"/>
      <c r="H15" s="33"/>
      <c r="I15" s="33"/>
      <c r="J15" s="40">
        <f>C37*'E Balans VL '!D15/100/3.6*1000000+C37*'E Balans VL '!E15/100/3.6*1000000</f>
        <v>8.0957289973504445E-2</v>
      </c>
      <c r="K15" s="33"/>
      <c r="L15" s="33"/>
      <c r="M15" s="33"/>
      <c r="N15" s="33">
        <f>C37*'E Balans VL '!Y15/100/3.6*1000000</f>
        <v>3.6255952368905078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8470.6420000000016</v>
      </c>
      <c r="C18" s="21">
        <f>C5+C16</f>
        <v>0</v>
      </c>
      <c r="D18" s="21">
        <f>MAX((D5+D16),0)</f>
        <v>2109.0978919999998</v>
      </c>
      <c r="E18" s="21">
        <f>MAX((E5+E16),0)</f>
        <v>684.69199018705353</v>
      </c>
      <c r="F18" s="21">
        <f>MAX((F5+F16),0)</f>
        <v>2589.6125387349412</v>
      </c>
      <c r="G18" s="21"/>
      <c r="H18" s="21"/>
      <c r="I18" s="21"/>
      <c r="J18" s="21">
        <f>MAX((J5+J16),0)</f>
        <v>6.9105079255767157</v>
      </c>
      <c r="K18" s="21"/>
      <c r="L18" s="21">
        <f>MAX((L5+L16),0)</f>
        <v>0</v>
      </c>
      <c r="M18" s="21"/>
      <c r="N18" s="21">
        <f>MAX((N5+N16),0)</f>
        <v>3336.9792361895347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0.21058558195874288</v>
      </c>
      <c r="C20" s="25">
        <f ca="1">'EF ele_warmte'!B22</f>
        <v>0.21503022675658084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1783.79507513417</v>
      </c>
      <c r="C22" s="23">
        <f ca="1">C18*C20</f>
        <v>0</v>
      </c>
      <c r="D22" s="23">
        <f>D18*D20</f>
        <v>426.037774184</v>
      </c>
      <c r="E22" s="23">
        <f>E18*E20</f>
        <v>155.42508177246117</v>
      </c>
      <c r="F22" s="23">
        <f>F18*F20</f>
        <v>691.4265478422293</v>
      </c>
      <c r="G22" s="23"/>
      <c r="H22" s="23"/>
      <c r="I22" s="23"/>
      <c r="J22" s="23">
        <f>J18*J20</f>
        <v>2.4463198056541571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65.445999999999998</v>
      </c>
      <c r="C30" s="39">
        <f>IF(ISERROR(B30*3.6/1000000/'E Balans VL '!Z18*100),0,B30*3.6/1000000/'E Balans VL '!Z18*100)</f>
        <v>9.1602589879556957E-3</v>
      </c>
      <c r="D30" s="237" t="s">
        <v>692</v>
      </c>
    </row>
    <row r="31" spans="1:18">
      <c r="A31" s="6" t="s">
        <v>33</v>
      </c>
      <c r="B31" s="37">
        <f>IF( ISERROR(IND_ander_ele_kWh/1000),0,IND_ander_ele_kWh/1000)</f>
        <v>2427.3209999999999</v>
      </c>
      <c r="C31" s="39">
        <f>IF(ISERROR(B31*3.6/1000000/'E Balans VL '!Z19*100),0,B31*3.6/1000000/'E Balans VL '!Z19*100)</f>
        <v>0.10624344640258955</v>
      </c>
      <c r="D31" s="237" t="s">
        <v>692</v>
      </c>
    </row>
    <row r="32" spans="1:18">
      <c r="A32" s="171" t="s">
        <v>41</v>
      </c>
      <c r="B32" s="37">
        <f>IF( ISERROR(IND_voed_ele_kWh/1000),0,IND_voed_ele_kWh/1000)</f>
        <v>285.358</v>
      </c>
      <c r="C32" s="39">
        <f>IF(ISERROR(B32*3.6/1000000/'E Balans VL '!Z20*100),0,B32*3.6/1000000/'E Balans VL '!Z20*100)</f>
        <v>7.0645164528241655E-2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5673.22</v>
      </c>
      <c r="C35" s="39">
        <f>IF(ISERROR(B35*3.6/1000000/'E Balans VL '!Z22*100),0,B35*3.6/1000000/'E Balans VL '!Z22*100)</f>
        <v>0.16098283810634195</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19.297000000000001</v>
      </c>
      <c r="C37" s="39">
        <f>IF(ISERROR(B37*3.6/1000000/'E Balans VL '!Z15*100),0,B37*3.6/1000000/'E Balans VL '!Z15*100)</f>
        <v>1.4308395121379551E-4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2632.2130000000002</v>
      </c>
      <c r="C5" s="17">
        <f>'Eigen informatie GS &amp; warmtenet'!B60</f>
        <v>0</v>
      </c>
      <c r="D5" s="30">
        <f>IF(ISERROR(SUM(LB_lb_gas_kWh,LB_rest_gas_kWh,onbekend_gas_kWh)/1000),0,SUM(LB_lb_gas_kWh,LB_rest_gas_kWh,onbekend_gas_kWh)/1000)*0.902</f>
        <v>223458.231898</v>
      </c>
      <c r="E5" s="17">
        <f>B17*'E Balans VL '!I25/3.6*1000000/100</f>
        <v>24.380659278145764</v>
      </c>
      <c r="F5" s="17">
        <f>B17*('E Balans VL '!L25/3.6*1000000+'E Balans VL '!N25/3.6*1000000)/100</f>
        <v>6678.4258170619178</v>
      </c>
      <c r="G5" s="18"/>
      <c r="H5" s="17"/>
      <c r="I5" s="17"/>
      <c r="J5" s="17">
        <f>('E Balans VL '!D25+'E Balans VL '!E25)/3.6*1000000*landbouw!B17/100</f>
        <v>403.54762848281547</v>
      </c>
      <c r="K5" s="17"/>
      <c r="L5" s="17">
        <f>L6*(-1)</f>
        <v>0</v>
      </c>
      <c r="M5" s="17"/>
      <c r="N5" s="17">
        <f>N6*(-1)</f>
        <v>43264.285714285725</v>
      </c>
      <c r="O5" s="17"/>
      <c r="P5" s="17"/>
      <c r="R5" s="32"/>
    </row>
    <row r="6" spans="1:18">
      <c r="A6" s="16" t="s">
        <v>494</v>
      </c>
      <c r="B6" s="17" t="s">
        <v>211</v>
      </c>
      <c r="C6" s="17">
        <f>'lokale energieproductie'!O91+'lokale energieproductie'!O60</f>
        <v>152190.00000000003</v>
      </c>
      <c r="D6" s="310">
        <f>('lokale energieproductie'!P60+'lokale energieproductie'!P91)*(-1)</f>
        <v>-261115.71428571432</v>
      </c>
      <c r="E6" s="248"/>
      <c r="F6" s="310">
        <f>('lokale energieproductie'!S60+'lokale energieproductie'!S91)*(-1)</f>
        <v>-10816.071428571431</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-43264.285714285725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2632.2130000000002</v>
      </c>
      <c r="C8" s="21">
        <f>C5+C6</f>
        <v>152190.00000000003</v>
      </c>
      <c r="D8" s="21">
        <f>MAX((D5+D6),0)</f>
        <v>0</v>
      </c>
      <c r="E8" s="21">
        <f>MAX((E5+E6),0)</f>
        <v>24.380659278145764</v>
      </c>
      <c r="F8" s="21">
        <f>MAX((F5+F6),0)</f>
        <v>0</v>
      </c>
      <c r="G8" s="21"/>
      <c r="H8" s="21"/>
      <c r="I8" s="21"/>
      <c r="J8" s="21">
        <f>MAX((J5+J6),0)</f>
        <v>403.54762848281547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0.21058558195874288</v>
      </c>
      <c r="C10" s="31">
        <f ca="1">'EF ele_warmte'!B22</f>
        <v>0.21503022675658084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554.30610644436854</v>
      </c>
      <c r="C12" s="23">
        <f ca="1">C8*C10</f>
        <v>32725.450210084044</v>
      </c>
      <c r="D12" s="23">
        <f>D8*D10</f>
        <v>0</v>
      </c>
      <c r="E12" s="23">
        <f>E8*E10</f>
        <v>5.534409656139089</v>
      </c>
      <c r="F12" s="23">
        <f>F8*F10</f>
        <v>0</v>
      </c>
      <c r="G12" s="23"/>
      <c r="H12" s="23"/>
      <c r="I12" s="23"/>
      <c r="J12" s="23">
        <f>J8*J10</f>
        <v>142.85586048291668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0.37424487603725048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30.755005078154202</v>
      </c>
      <c r="C26" s="247">
        <f>B26*'GWP N2O_CH4'!B5</f>
        <v>645.85510664123819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3.0630852394062082</v>
      </c>
      <c r="C27" s="247">
        <f>B27*'GWP N2O_CH4'!B5</f>
        <v>64.324790027530369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0.42053943062923188</v>
      </c>
      <c r="C28" s="247">
        <f>B28*'GWP N2O_CH4'!B4</f>
        <v>130.36722349506189</v>
      </c>
      <c r="D28" s="50"/>
    </row>
    <row r="29" spans="1:4">
      <c r="A29" s="41" t="s">
        <v>277</v>
      </c>
      <c r="B29" s="247">
        <f>B34*'ha_N2O bodem landbouw'!B4</f>
        <v>6.6528860833273251</v>
      </c>
      <c r="C29" s="247">
        <f>B29*'GWP N2O_CH4'!B4</f>
        <v>2062.3946858314707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1.4921251425313569E-3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2.7508394214631284E-5</v>
      </c>
      <c r="C5" s="464" t="s">
        <v>211</v>
      </c>
      <c r="D5" s="449">
        <f>SUM(D6:D11)</f>
        <v>6.903154914593578E-5</v>
      </c>
      <c r="E5" s="449">
        <f>SUM(E6:E11)</f>
        <v>4.432519870421407E-4</v>
      </c>
      <c r="F5" s="462" t="s">
        <v>211</v>
      </c>
      <c r="G5" s="449">
        <f>SUM(G6:G11)</f>
        <v>0.13898550427598569</v>
      </c>
      <c r="H5" s="449">
        <f>SUM(H6:H11)</f>
        <v>2.6181082364414639E-2</v>
      </c>
      <c r="I5" s="464" t="s">
        <v>211</v>
      </c>
      <c r="J5" s="464" t="s">
        <v>211</v>
      </c>
      <c r="K5" s="464" t="s">
        <v>211</v>
      </c>
      <c r="L5" s="464" t="s">
        <v>211</v>
      </c>
      <c r="M5" s="449">
        <f>SUM(M6:M11)</f>
        <v>8.8456295906180187E-3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2.4470551825999129E-5</v>
      </c>
      <c r="C6" s="450"/>
      <c r="D6" s="963">
        <f>vkm_2011_GW_PW*SUMIFS(TableVerdeelsleutelVkm[CNG],TableVerdeelsleutelVkm[Voertuigtype],"Lichte voertuigen")*SUMIFS(TableECFTransport[EnergieConsumptieFactor (PJ per km)],TableECFTransport[Index],CONCATENATE($A6,"_CNG_CNG"))</f>
        <v>5.6603080469689932E-5</v>
      </c>
      <c r="E6" s="963">
        <f>vkm_2011_GW_PW*SUMIFS(TableVerdeelsleutelVkm[LPG],TableVerdeelsleutelVkm[Voertuigtype],"Lichte voertuigen")*SUMIFS(TableECFTransport[EnergieConsumptieFactor (PJ per km)],TableECFTransport[Index],CONCATENATE($A6,"_LPG_LPG"))</f>
        <v>3.6856507837577658E-4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7.6566668288637729E-2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2.1582561493092001E-2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5.0934362267580306E-3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4.3642314448957428E-2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1.4924878960192795E-5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2.5249552667367323E-3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3.0378423886321559E-6</v>
      </c>
      <c r="C8" s="450"/>
      <c r="D8" s="452">
        <f>vkm_2011_NGW_PW*SUMIFS(TableVerdeelsleutelVkm[CNG],TableVerdeelsleutelVkm[Voertuigtype],"Lichte voertuigen")*SUMIFS(TableECFTransport[EnergieConsumptieFactor (PJ per km)],TableECFTransport[Index],CONCATENATE($A8,"_CNG_CNG"))</f>
        <v>1.242846867624585E-5</v>
      </c>
      <c r="E8" s="452">
        <f>vkm_2011_NGW_PW*SUMIFS(TableVerdeelsleutelVkm[LPG],TableVerdeelsleutelVkm[Voertuigtype],"Lichte voertuigen")*SUMIFS(TableECFTransport[EnergieConsumptieFactor (PJ per km)],TableECFTransport[Index],CONCATENATE($A8,"_LPG_LPG"))</f>
        <v>7.4686908666364099E-5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1.4504087943119977E-2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4.5822134826192492E-3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9.8005601564904606E-4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4.2724335952705533E-3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1.3825097431975929E-6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2.4718208147420909E-4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7.6412206151753566</v>
      </c>
      <c r="C14" s="21"/>
      <c r="D14" s="21">
        <f t="shared" ref="D14:M14" si="0">((D5)*10^9/3600)+D12</f>
        <v>19.175430318315492</v>
      </c>
      <c r="E14" s="21">
        <f t="shared" si="0"/>
        <v>123.12555195615019</v>
      </c>
      <c r="F14" s="21"/>
      <c r="G14" s="21">
        <f t="shared" si="0"/>
        <v>38607.084521107136</v>
      </c>
      <c r="H14" s="21">
        <f t="shared" si="0"/>
        <v>7272.5228790040665</v>
      </c>
      <c r="I14" s="21"/>
      <c r="J14" s="21"/>
      <c r="K14" s="21"/>
      <c r="L14" s="21"/>
      <c r="M14" s="21">
        <f t="shared" si="0"/>
        <v>2457.1193307272274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0.21058558195874288</v>
      </c>
      <c r="C16" s="56">
        <f ca="1">'EF ele_warmte'!B22</f>
        <v>0.21503022675658084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1.6091308901218457</v>
      </c>
      <c r="C18" s="23"/>
      <c r="D18" s="23">
        <f t="shared" ref="D18:M18" si="1">D14*D16</f>
        <v>3.8734369242997295</v>
      </c>
      <c r="E18" s="23">
        <f t="shared" si="1"/>
        <v>27.949500294046093</v>
      </c>
      <c r="F18" s="23"/>
      <c r="G18" s="23">
        <f t="shared" si="1"/>
        <v>10308.091567135605</v>
      </c>
      <c r="H18" s="23">
        <f t="shared" si="1"/>
        <v>1810.8581968720125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2.5966618575269328E-3</v>
      </c>
      <c r="C50" s="321">
        <f t="shared" ref="C50:P50" si="2">SUM(C51:C52)</f>
        <v>0</v>
      </c>
      <c r="D50" s="321">
        <f t="shared" si="2"/>
        <v>0</v>
      </c>
      <c r="E50" s="321">
        <f t="shared" si="2"/>
        <v>0</v>
      </c>
      <c r="F50" s="321">
        <f t="shared" si="2"/>
        <v>0</v>
      </c>
      <c r="G50" s="321">
        <f t="shared" si="2"/>
        <v>4.9297743317414499E-3</v>
      </c>
      <c r="H50" s="321">
        <f t="shared" si="2"/>
        <v>0</v>
      </c>
      <c r="I50" s="321">
        <f t="shared" si="2"/>
        <v>0</v>
      </c>
      <c r="J50" s="321">
        <f t="shared" si="2"/>
        <v>0</v>
      </c>
      <c r="K50" s="321">
        <f t="shared" si="2"/>
        <v>0</v>
      </c>
      <c r="L50" s="321">
        <f t="shared" si="2"/>
        <v>0</v>
      </c>
      <c r="M50" s="321">
        <f t="shared" si="2"/>
        <v>2.8113065907071639E-4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4.9297743317414499E-3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2.8113065907071639E-4</v>
      </c>
      <c r="N51" s="323"/>
      <c r="O51" s="323"/>
      <c r="P51" s="326"/>
    </row>
    <row r="52" spans="1:18">
      <c r="A52" s="4" t="s">
        <v>330</v>
      </c>
      <c r="B52" s="964">
        <f>vkm_2011_tram*SUMIFS(TableECFTransport[EnergieConsumptieFactor (PJ per km)],TableECFTransport[Index],"Tram_gemiddeld_Electric_Electric")</f>
        <v>2.5966618575269328E-3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721.29496042414803</v>
      </c>
      <c r="C54" s="21">
        <f t="shared" ref="C54:P54" si="3">(C50)*10^9/3600</f>
        <v>0</v>
      </c>
      <c r="D54" s="21">
        <f t="shared" si="3"/>
        <v>0</v>
      </c>
      <c r="E54" s="21">
        <f t="shared" si="3"/>
        <v>0</v>
      </c>
      <c r="F54" s="21">
        <f t="shared" si="3"/>
        <v>0</v>
      </c>
      <c r="G54" s="21">
        <f t="shared" si="3"/>
        <v>1369.3817588170696</v>
      </c>
      <c r="H54" s="21">
        <f t="shared" si="3"/>
        <v>0</v>
      </c>
      <c r="I54" s="21">
        <f t="shared" si="3"/>
        <v>0</v>
      </c>
      <c r="J54" s="21">
        <f t="shared" si="3"/>
        <v>0</v>
      </c>
      <c r="K54" s="21">
        <f t="shared" si="3"/>
        <v>0</v>
      </c>
      <c r="L54" s="21">
        <f t="shared" si="3"/>
        <v>0</v>
      </c>
      <c r="M54" s="21">
        <f t="shared" si="3"/>
        <v>78.091849741865673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0.21058558195874288</v>
      </c>
      <c r="C56" s="56">
        <f ca="1">'EF ele_warmte'!B22</f>
        <v>0.21503022675658084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151.89431900482762</v>
      </c>
      <c r="C58" s="23">
        <f t="shared" ref="C58:P58" ca="1" si="4">C54*C56</f>
        <v>0</v>
      </c>
      <c r="D58" s="23">
        <f t="shared" si="4"/>
        <v>0</v>
      </c>
      <c r="E58" s="23">
        <f t="shared" si="4"/>
        <v>0</v>
      </c>
      <c r="F58" s="23">
        <f t="shared" si="4"/>
        <v>0</v>
      </c>
      <c r="G58" s="23">
        <f t="shared" si="4"/>
        <v>365.62492960415761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2248.4984007159528</v>
      </c>
      <c r="C6" s="1223"/>
      <c r="D6" s="1226"/>
      <c r="E6" s="1226"/>
      <c r="F6" s="1229"/>
      <c r="G6" s="1232"/>
      <c r="H6" s="1220"/>
      <c r="I6" s="1226"/>
      <c r="J6" s="1226"/>
      <c r="K6" s="1226"/>
      <c r="L6" s="1256"/>
      <c r="M6" s="576"/>
      <c r="N6" s="1268"/>
      <c r="O6" s="1269"/>
      <c r="Q6" s="574"/>
      <c r="R6" s="1253"/>
      <c r="S6" s="1253"/>
    </row>
    <row r="7" spans="1:19" s="564" customFormat="1">
      <c r="A7" s="577" t="s">
        <v>252</v>
      </c>
      <c r="B7" s="578">
        <f>N57</f>
        <v>106533</v>
      </c>
      <c r="C7" s="579">
        <f>B100</f>
        <v>107518.23529411765</v>
      </c>
      <c r="D7" s="580"/>
      <c r="E7" s="580">
        <f>E100</f>
        <v>4453.676470588236</v>
      </c>
      <c r="F7" s="581"/>
      <c r="G7" s="582"/>
      <c r="H7" s="580">
        <f>I100</f>
        <v>0</v>
      </c>
      <c r="I7" s="580">
        <f>G100+F100</f>
        <v>0</v>
      </c>
      <c r="J7" s="580">
        <f>H100+D100+C100</f>
        <v>17814.705882352944</v>
      </c>
      <c r="K7" s="580"/>
      <c r="L7" s="583"/>
      <c r="M7" s="584">
        <f>C7*$C$11+D7*$D$11+E7*$E$11+F7*$F$11+G7*$G$11+H7*$H$11+I7*$I$11+J7*$J$11</f>
        <v>22907.815147058827</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108781.49840071595</v>
      </c>
      <c r="C9" s="595">
        <f t="shared" ref="C9:L9" si="0">SUM(C7:C8)</f>
        <v>107518.23529411765</v>
      </c>
      <c r="D9" s="595">
        <f t="shared" si="0"/>
        <v>0</v>
      </c>
      <c r="E9" s="595">
        <f t="shared" si="0"/>
        <v>4453.676470588236</v>
      </c>
      <c r="F9" s="595">
        <f t="shared" si="0"/>
        <v>0</v>
      </c>
      <c r="G9" s="595">
        <f t="shared" si="0"/>
        <v>0</v>
      </c>
      <c r="H9" s="595">
        <f t="shared" si="0"/>
        <v>0</v>
      </c>
      <c r="I9" s="595">
        <f t="shared" si="0"/>
        <v>0</v>
      </c>
      <c r="J9" s="595">
        <f t="shared" si="0"/>
        <v>17814.705882352944</v>
      </c>
      <c r="K9" s="595">
        <f t="shared" si="0"/>
        <v>0</v>
      </c>
      <c r="L9" s="595">
        <f t="shared" si="0"/>
        <v>0</v>
      </c>
      <c r="M9" s="596">
        <f>SUM(M4:M8)</f>
        <v>22907.815147058827</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152190.00000000003</v>
      </c>
      <c r="C16" s="611">
        <f>B101</f>
        <v>153597.47899159667</v>
      </c>
      <c r="D16" s="612"/>
      <c r="E16" s="612">
        <f>E101</f>
        <v>6362.3949579831951</v>
      </c>
      <c r="F16" s="613"/>
      <c r="G16" s="614"/>
      <c r="H16" s="611">
        <f>I101</f>
        <v>0</v>
      </c>
      <c r="I16" s="612">
        <f>G101+F101</f>
        <v>0</v>
      </c>
      <c r="J16" s="612">
        <f>H101+D101+C101</f>
        <v>25449.579831932781</v>
      </c>
      <c r="K16" s="612"/>
      <c r="L16" s="615"/>
      <c r="M16" s="616">
        <f>C16*$C$21+E16*$E$21+H16*$H$21+I16*$I$21+J16*$J$21+D16*$D$21+F16*$F$21+G16*$G$21+K16*$K$21+L16*$L$21</f>
        <v>32725.450210084044</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152190.00000000003</v>
      </c>
      <c r="C19" s="594">
        <f>SUM(C16:C18)</f>
        <v>153597.47899159667</v>
      </c>
      <c r="D19" s="594">
        <f t="shared" ref="D19:M19" si="1">SUM(D16:D18)</f>
        <v>0</v>
      </c>
      <c r="E19" s="594">
        <f t="shared" si="1"/>
        <v>6362.3949579831951</v>
      </c>
      <c r="F19" s="594">
        <f t="shared" si="1"/>
        <v>0</v>
      </c>
      <c r="G19" s="594">
        <f t="shared" si="1"/>
        <v>0</v>
      </c>
      <c r="H19" s="594">
        <f t="shared" si="1"/>
        <v>0</v>
      </c>
      <c r="I19" s="594">
        <f t="shared" si="1"/>
        <v>0</v>
      </c>
      <c r="J19" s="594">
        <f t="shared" si="1"/>
        <v>25449.579831932781</v>
      </c>
      <c r="K19" s="594">
        <f t="shared" si="1"/>
        <v>0</v>
      </c>
      <c r="L19" s="594">
        <f t="shared" si="1"/>
        <v>0</v>
      </c>
      <c r="M19" s="621">
        <f t="shared" si="1"/>
        <v>32725.450210084044</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11004</v>
      </c>
      <c r="C27" s="852">
        <v>2530</v>
      </c>
      <c r="D27" s="673" t="s">
        <v>871</v>
      </c>
      <c r="E27" s="672" t="s">
        <v>872</v>
      </c>
      <c r="F27" s="672" t="s">
        <v>873</v>
      </c>
      <c r="G27" s="672" t="s">
        <v>874</v>
      </c>
      <c r="H27" s="672" t="s">
        <v>875</v>
      </c>
      <c r="I27" s="672" t="s">
        <v>876</v>
      </c>
      <c r="J27" s="851">
        <v>41262</v>
      </c>
      <c r="K27" s="851">
        <v>38991</v>
      </c>
      <c r="L27" s="672" t="s">
        <v>877</v>
      </c>
      <c r="M27" s="672">
        <v>1560</v>
      </c>
      <c r="N27" s="672">
        <v>7020</v>
      </c>
      <c r="O27" s="672">
        <v>10028.571428571429</v>
      </c>
      <c r="P27" s="672">
        <v>20057.142857142859</v>
      </c>
      <c r="Q27" s="672">
        <v>0</v>
      </c>
      <c r="R27" s="672">
        <v>0</v>
      </c>
      <c r="S27" s="672">
        <v>0</v>
      </c>
      <c r="T27" s="672">
        <v>0</v>
      </c>
      <c r="U27" s="672">
        <v>0</v>
      </c>
      <c r="V27" s="672">
        <v>0</v>
      </c>
      <c r="W27" s="672">
        <v>0</v>
      </c>
      <c r="X27" s="672">
        <v>10</v>
      </c>
      <c r="Y27" s="672" t="s">
        <v>112</v>
      </c>
      <c r="Z27" s="674" t="s">
        <v>112</v>
      </c>
    </row>
    <row r="28" spans="1:26" s="626" customFormat="1" ht="38.25">
      <c r="A28" s="625"/>
      <c r="B28" s="852">
        <v>11004</v>
      </c>
      <c r="C28" s="852">
        <v>2530</v>
      </c>
      <c r="D28" s="673" t="s">
        <v>878</v>
      </c>
      <c r="E28" s="672" t="s">
        <v>879</v>
      </c>
      <c r="F28" s="672" t="s">
        <v>880</v>
      </c>
      <c r="G28" s="672" t="s">
        <v>874</v>
      </c>
      <c r="H28" s="672" t="s">
        <v>875</v>
      </c>
      <c r="I28" s="672" t="s">
        <v>879</v>
      </c>
      <c r="J28" s="851">
        <v>41285</v>
      </c>
      <c r="K28" s="851">
        <v>39083</v>
      </c>
      <c r="L28" s="672" t="s">
        <v>877</v>
      </c>
      <c r="M28" s="672">
        <v>4090</v>
      </c>
      <c r="N28" s="672">
        <v>18405</v>
      </c>
      <c r="O28" s="672">
        <v>26292.857142857145</v>
      </c>
      <c r="P28" s="672">
        <v>52585.71428571429</v>
      </c>
      <c r="Q28" s="672">
        <v>0</v>
      </c>
      <c r="R28" s="672">
        <v>0</v>
      </c>
      <c r="S28" s="672">
        <v>0</v>
      </c>
      <c r="T28" s="672">
        <v>0</v>
      </c>
      <c r="U28" s="672">
        <v>0</v>
      </c>
      <c r="V28" s="672">
        <v>0</v>
      </c>
      <c r="W28" s="672">
        <v>0</v>
      </c>
      <c r="X28" s="672">
        <v>10</v>
      </c>
      <c r="Y28" s="672" t="s">
        <v>112</v>
      </c>
      <c r="Z28" s="674" t="s">
        <v>112</v>
      </c>
    </row>
    <row r="29" spans="1:26" s="626" customFormat="1" ht="25.5">
      <c r="A29" s="625"/>
      <c r="B29" s="852">
        <v>11004</v>
      </c>
      <c r="C29" s="852">
        <v>2530</v>
      </c>
      <c r="D29" s="673" t="s">
        <v>881</v>
      </c>
      <c r="E29" s="672" t="s">
        <v>882</v>
      </c>
      <c r="F29" s="672" t="s">
        <v>883</v>
      </c>
      <c r="G29" s="672" t="s">
        <v>874</v>
      </c>
      <c r="H29" s="672" t="s">
        <v>875</v>
      </c>
      <c r="I29" s="672" t="s">
        <v>882</v>
      </c>
      <c r="J29" s="851">
        <v>38777</v>
      </c>
      <c r="K29" s="851">
        <v>39134</v>
      </c>
      <c r="L29" s="672" t="s">
        <v>877</v>
      </c>
      <c r="M29" s="672">
        <v>3365</v>
      </c>
      <c r="N29" s="672">
        <v>15142.500000000002</v>
      </c>
      <c r="O29" s="672">
        <v>21632.142857142859</v>
      </c>
      <c r="P29" s="672">
        <v>0</v>
      </c>
      <c r="Q29" s="672">
        <v>0</v>
      </c>
      <c r="R29" s="672">
        <v>0</v>
      </c>
      <c r="S29" s="672">
        <v>10816.071428571431</v>
      </c>
      <c r="T29" s="672">
        <v>0</v>
      </c>
      <c r="U29" s="672">
        <v>0</v>
      </c>
      <c r="V29" s="672">
        <v>43264.285714285725</v>
      </c>
      <c r="W29" s="672">
        <v>0</v>
      </c>
      <c r="X29" s="672">
        <v>10</v>
      </c>
      <c r="Y29" s="672" t="s">
        <v>112</v>
      </c>
      <c r="Z29" s="674" t="s">
        <v>112</v>
      </c>
    </row>
    <row r="30" spans="1:26" s="626" customFormat="1" ht="25.5">
      <c r="A30" s="625"/>
      <c r="B30" s="852">
        <v>11004</v>
      </c>
      <c r="C30" s="852">
        <v>2531</v>
      </c>
      <c r="D30" s="673" t="s">
        <v>884</v>
      </c>
      <c r="E30" s="672" t="s">
        <v>885</v>
      </c>
      <c r="F30" s="672" t="s">
        <v>886</v>
      </c>
      <c r="G30" s="672" t="s">
        <v>874</v>
      </c>
      <c r="H30" s="672" t="s">
        <v>875</v>
      </c>
      <c r="I30" s="672" t="s">
        <v>885</v>
      </c>
      <c r="J30" s="851">
        <v>39212</v>
      </c>
      <c r="K30" s="851">
        <v>39226</v>
      </c>
      <c r="L30" s="672" t="s">
        <v>877</v>
      </c>
      <c r="M30" s="672">
        <v>1125</v>
      </c>
      <c r="N30" s="672">
        <v>5062.5</v>
      </c>
      <c r="O30" s="672">
        <v>7232.1428571428569</v>
      </c>
      <c r="P30" s="672">
        <v>14464.285714285716</v>
      </c>
      <c r="Q30" s="672">
        <v>0</v>
      </c>
      <c r="R30" s="672">
        <v>0</v>
      </c>
      <c r="S30" s="672">
        <v>0</v>
      </c>
      <c r="T30" s="672">
        <v>0</v>
      </c>
      <c r="U30" s="672">
        <v>0</v>
      </c>
      <c r="V30" s="672">
        <v>0</v>
      </c>
      <c r="W30" s="672">
        <v>0</v>
      </c>
      <c r="X30" s="672">
        <v>10</v>
      </c>
      <c r="Y30" s="672" t="s">
        <v>112</v>
      </c>
      <c r="Z30" s="674" t="s">
        <v>112</v>
      </c>
    </row>
    <row r="31" spans="1:26" s="626" customFormat="1" ht="25.5">
      <c r="A31" s="625"/>
      <c r="B31" s="852">
        <v>11004</v>
      </c>
      <c r="C31" s="852">
        <v>2531</v>
      </c>
      <c r="D31" s="673" t="s">
        <v>887</v>
      </c>
      <c r="E31" s="672" t="s">
        <v>888</v>
      </c>
      <c r="F31" s="672" t="s">
        <v>889</v>
      </c>
      <c r="G31" s="672" t="s">
        <v>874</v>
      </c>
      <c r="H31" s="672" t="s">
        <v>875</v>
      </c>
      <c r="I31" s="672" t="s">
        <v>888</v>
      </c>
      <c r="J31" s="851">
        <v>40603</v>
      </c>
      <c r="K31" s="851">
        <v>39497</v>
      </c>
      <c r="L31" s="672" t="s">
        <v>877</v>
      </c>
      <c r="M31" s="672">
        <v>6390</v>
      </c>
      <c r="N31" s="672">
        <v>28755</v>
      </c>
      <c r="O31" s="672">
        <v>41078.571428571428</v>
      </c>
      <c r="P31" s="672">
        <v>82157.14285714287</v>
      </c>
      <c r="Q31" s="672">
        <v>0</v>
      </c>
      <c r="R31" s="672">
        <v>0</v>
      </c>
      <c r="S31" s="672">
        <v>0</v>
      </c>
      <c r="T31" s="672">
        <v>0</v>
      </c>
      <c r="U31" s="672">
        <v>0</v>
      </c>
      <c r="V31" s="672">
        <v>0</v>
      </c>
      <c r="W31" s="672">
        <v>0</v>
      </c>
      <c r="X31" s="672">
        <v>10</v>
      </c>
      <c r="Y31" s="672" t="s">
        <v>112</v>
      </c>
      <c r="Z31" s="674" t="s">
        <v>112</v>
      </c>
    </row>
    <row r="32" spans="1:26" s="626" customFormat="1" ht="38.25">
      <c r="A32" s="625"/>
      <c r="B32" s="852">
        <v>11004</v>
      </c>
      <c r="C32" s="852">
        <v>2531</v>
      </c>
      <c r="D32" s="673" t="s">
        <v>890</v>
      </c>
      <c r="E32" s="672" t="s">
        <v>891</v>
      </c>
      <c r="F32" s="672" t="s">
        <v>892</v>
      </c>
      <c r="G32" s="672" t="s">
        <v>874</v>
      </c>
      <c r="H32" s="672" t="s">
        <v>875</v>
      </c>
      <c r="I32" s="672" t="s">
        <v>891</v>
      </c>
      <c r="J32" s="851">
        <v>39604</v>
      </c>
      <c r="K32" s="851">
        <v>39618</v>
      </c>
      <c r="L32" s="672" t="s">
        <v>877</v>
      </c>
      <c r="M32" s="672">
        <v>4141</v>
      </c>
      <c r="N32" s="672">
        <v>18634.5</v>
      </c>
      <c r="O32" s="672">
        <v>26620.714285714286</v>
      </c>
      <c r="P32" s="672">
        <v>53241.428571428572</v>
      </c>
      <c r="Q32" s="672">
        <v>0</v>
      </c>
      <c r="R32" s="672">
        <v>0</v>
      </c>
      <c r="S32" s="672">
        <v>0</v>
      </c>
      <c r="T32" s="672">
        <v>0</v>
      </c>
      <c r="U32" s="672">
        <v>0</v>
      </c>
      <c r="V32" s="672">
        <v>0</v>
      </c>
      <c r="W32" s="672">
        <v>0</v>
      </c>
      <c r="X32" s="672">
        <v>10</v>
      </c>
      <c r="Y32" s="672" t="s">
        <v>112</v>
      </c>
      <c r="Z32" s="674" t="s">
        <v>112</v>
      </c>
    </row>
    <row r="33" spans="1:26" s="626" customFormat="1" ht="25.5">
      <c r="A33" s="625"/>
      <c r="B33" s="852">
        <v>11004</v>
      </c>
      <c r="C33" s="852">
        <v>2530</v>
      </c>
      <c r="D33" s="673" t="s">
        <v>893</v>
      </c>
      <c r="E33" s="672" t="s">
        <v>894</v>
      </c>
      <c r="F33" s="672" t="s">
        <v>895</v>
      </c>
      <c r="G33" s="672" t="s">
        <v>874</v>
      </c>
      <c r="H33" s="672" t="s">
        <v>875</v>
      </c>
      <c r="I33" s="672" t="s">
        <v>894</v>
      </c>
      <c r="J33" s="851">
        <v>40360</v>
      </c>
      <c r="K33" s="851">
        <v>40513</v>
      </c>
      <c r="L33" s="672" t="s">
        <v>896</v>
      </c>
      <c r="M33" s="672">
        <v>173</v>
      </c>
      <c r="N33" s="672">
        <v>778.49999999999989</v>
      </c>
      <c r="O33" s="672">
        <v>1112.1428571428571</v>
      </c>
      <c r="P33" s="672">
        <v>2224.2857142857142</v>
      </c>
      <c r="Q33" s="672">
        <v>0</v>
      </c>
      <c r="R33" s="672">
        <v>0</v>
      </c>
      <c r="S33" s="672">
        <v>0</v>
      </c>
      <c r="T33" s="672">
        <v>0</v>
      </c>
      <c r="U33" s="672">
        <v>0</v>
      </c>
      <c r="V33" s="672">
        <v>0</v>
      </c>
      <c r="W33" s="672">
        <v>0</v>
      </c>
      <c r="X33" s="672">
        <v>10</v>
      </c>
      <c r="Y33" s="672" t="s">
        <v>112</v>
      </c>
      <c r="Z33" s="674" t="s">
        <v>112</v>
      </c>
    </row>
    <row r="34" spans="1:26" s="626" customFormat="1" ht="25.5">
      <c r="A34" s="625"/>
      <c r="B34" s="852">
        <v>11004</v>
      </c>
      <c r="C34" s="852">
        <v>2531</v>
      </c>
      <c r="D34" s="673" t="s">
        <v>897</v>
      </c>
      <c r="E34" s="672" t="s">
        <v>898</v>
      </c>
      <c r="F34" s="672" t="s">
        <v>899</v>
      </c>
      <c r="G34" s="672" t="s">
        <v>874</v>
      </c>
      <c r="H34" s="672" t="s">
        <v>875</v>
      </c>
      <c r="I34" s="672" t="s">
        <v>898</v>
      </c>
      <c r="J34" s="851">
        <v>40525</v>
      </c>
      <c r="K34" s="851">
        <v>40525</v>
      </c>
      <c r="L34" s="672" t="s">
        <v>877</v>
      </c>
      <c r="M34" s="672">
        <v>1415</v>
      </c>
      <c r="N34" s="672">
        <v>6367.5</v>
      </c>
      <c r="O34" s="672">
        <v>9096.4285714285725</v>
      </c>
      <c r="P34" s="672">
        <v>18192.857142857145</v>
      </c>
      <c r="Q34" s="672">
        <v>0</v>
      </c>
      <c r="R34" s="672">
        <v>0</v>
      </c>
      <c r="S34" s="672">
        <v>0</v>
      </c>
      <c r="T34" s="672">
        <v>0</v>
      </c>
      <c r="U34" s="672">
        <v>0</v>
      </c>
      <c r="V34" s="672">
        <v>0</v>
      </c>
      <c r="W34" s="672">
        <v>0</v>
      </c>
      <c r="X34" s="672">
        <v>10</v>
      </c>
      <c r="Y34" s="672" t="s">
        <v>112</v>
      </c>
      <c r="Z34" s="674" t="s">
        <v>112</v>
      </c>
    </row>
    <row r="35" spans="1:26" s="626" customFormat="1" ht="25.5">
      <c r="A35" s="625"/>
      <c r="B35" s="852">
        <v>11004</v>
      </c>
      <c r="C35" s="852">
        <v>2531</v>
      </c>
      <c r="D35" s="673" t="s">
        <v>900</v>
      </c>
      <c r="E35" s="672" t="s">
        <v>901</v>
      </c>
      <c r="F35" s="672" t="s">
        <v>902</v>
      </c>
      <c r="G35" s="672" t="s">
        <v>874</v>
      </c>
      <c r="H35" s="672" t="s">
        <v>875</v>
      </c>
      <c r="I35" s="672" t="s">
        <v>901</v>
      </c>
      <c r="J35" s="851">
        <v>40588</v>
      </c>
      <c r="K35" s="851">
        <v>40588</v>
      </c>
      <c r="L35" s="672" t="s">
        <v>877</v>
      </c>
      <c r="M35" s="672">
        <v>1415</v>
      </c>
      <c r="N35" s="672">
        <v>6367.5</v>
      </c>
      <c r="O35" s="672">
        <v>9096.4285714285725</v>
      </c>
      <c r="P35" s="672">
        <v>18192.857142857145</v>
      </c>
      <c r="Q35" s="672">
        <v>0</v>
      </c>
      <c r="R35" s="672">
        <v>0</v>
      </c>
      <c r="S35" s="672">
        <v>0</v>
      </c>
      <c r="T35" s="672">
        <v>0</v>
      </c>
      <c r="U35" s="672">
        <v>0</v>
      </c>
      <c r="V35" s="672">
        <v>0</v>
      </c>
      <c r="W35" s="672">
        <v>0</v>
      </c>
      <c r="X35" s="672">
        <v>10</v>
      </c>
      <c r="Y35" s="672" t="s">
        <v>112</v>
      </c>
      <c r="Z35" s="674" t="s">
        <v>112</v>
      </c>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23674</v>
      </c>
      <c r="N57" s="630">
        <f>SUM(N27:N56)</f>
        <v>106533</v>
      </c>
      <c r="O57" s="630">
        <f t="shared" ref="O57:W57" si="2">SUM(O27:O56)</f>
        <v>152190.00000000003</v>
      </c>
      <c r="P57" s="630">
        <f t="shared" si="2"/>
        <v>261115.71428571432</v>
      </c>
      <c r="Q57" s="630">
        <f t="shared" si="2"/>
        <v>0</v>
      </c>
      <c r="R57" s="630">
        <f t="shared" si="2"/>
        <v>0</v>
      </c>
      <c r="S57" s="630">
        <f t="shared" si="2"/>
        <v>10816.071428571431</v>
      </c>
      <c r="T57" s="630">
        <f t="shared" si="2"/>
        <v>0</v>
      </c>
      <c r="U57" s="630">
        <f t="shared" si="2"/>
        <v>0</v>
      </c>
      <c r="V57" s="630">
        <f t="shared" si="2"/>
        <v>43264.285714285725</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23674</v>
      </c>
      <c r="N60" s="635">
        <f t="shared" ref="N60:W60" si="4">SUMIF($Z$27:$Z$56,"landbouw",N27:N56)</f>
        <v>106533</v>
      </c>
      <c r="O60" s="635">
        <f t="shared" si="4"/>
        <v>152190.00000000003</v>
      </c>
      <c r="P60" s="635">
        <f t="shared" si="4"/>
        <v>261115.71428571432</v>
      </c>
      <c r="Q60" s="635">
        <f t="shared" si="4"/>
        <v>0</v>
      </c>
      <c r="R60" s="635">
        <f t="shared" si="4"/>
        <v>0</v>
      </c>
      <c r="S60" s="635">
        <f t="shared" si="4"/>
        <v>10816.071428571431</v>
      </c>
      <c r="T60" s="635">
        <f t="shared" si="4"/>
        <v>0</v>
      </c>
      <c r="U60" s="635">
        <f t="shared" si="4"/>
        <v>0</v>
      </c>
      <c r="V60" s="635">
        <f t="shared" si="4"/>
        <v>43264.285714285725</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107518.23529411765</v>
      </c>
      <c r="C100" s="664">
        <f t="shared" si="9"/>
        <v>0</v>
      </c>
      <c r="D100" s="664">
        <f t="shared" si="9"/>
        <v>0</v>
      </c>
      <c r="E100" s="664">
        <f t="shared" si="9"/>
        <v>4453.676470588236</v>
      </c>
      <c r="F100" s="664">
        <f t="shared" si="9"/>
        <v>0</v>
      </c>
      <c r="G100" s="664">
        <f t="shared" si="9"/>
        <v>0</v>
      </c>
      <c r="H100" s="664">
        <f t="shared" si="9"/>
        <v>17814.705882352944</v>
      </c>
      <c r="I100" s="665">
        <f t="shared" si="9"/>
        <v>0</v>
      </c>
      <c r="J100" s="622"/>
      <c r="K100" s="622"/>
      <c r="L100" s="660"/>
      <c r="M100" s="647"/>
      <c r="N100" s="647"/>
    </row>
    <row r="101" spans="1:14" ht="15.75" thickBot="1">
      <c r="A101" s="666" t="s">
        <v>286</v>
      </c>
      <c r="B101" s="667">
        <f>$B$97*P57</f>
        <v>153597.47899159667</v>
      </c>
      <c r="C101" s="667">
        <f t="shared" ref="C101:H101" si="10">$B$97*Q57</f>
        <v>0</v>
      </c>
      <c r="D101" s="667">
        <f t="shared" si="10"/>
        <v>0</v>
      </c>
      <c r="E101" s="667">
        <f t="shared" si="10"/>
        <v>6362.3949579831951</v>
      </c>
      <c r="F101" s="667">
        <f t="shared" si="10"/>
        <v>0</v>
      </c>
      <c r="G101" s="667">
        <f t="shared" si="10"/>
        <v>0</v>
      </c>
      <c r="H101" s="667">
        <f t="shared" si="10"/>
        <v>25449.579831932781</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12481.55922406836</v>
      </c>
      <c r="D10" s="719">
        <f ca="1">tertiair!C16</f>
        <v>0</v>
      </c>
      <c r="E10" s="719">
        <f ca="1">tertiair!D16</f>
        <v>20129.554258000004</v>
      </c>
      <c r="F10" s="719">
        <f>tertiair!E16</f>
        <v>154.03045402319233</v>
      </c>
      <c r="G10" s="719">
        <f ca="1">tertiair!F16</f>
        <v>1741.1705162928026</v>
      </c>
      <c r="H10" s="719">
        <f>tertiair!G16</f>
        <v>0</v>
      </c>
      <c r="I10" s="719">
        <f>tertiair!H16</f>
        <v>0</v>
      </c>
      <c r="J10" s="719">
        <f>tertiair!I16</f>
        <v>0</v>
      </c>
      <c r="K10" s="719">
        <f>tertiair!J16</f>
        <v>0</v>
      </c>
      <c r="L10" s="719">
        <f>tertiair!K16</f>
        <v>0</v>
      </c>
      <c r="M10" s="719">
        <f ca="1">tertiair!L16</f>
        <v>0</v>
      </c>
      <c r="N10" s="719">
        <f>tertiair!M16</f>
        <v>0</v>
      </c>
      <c r="O10" s="719">
        <f ca="1">tertiair!N16</f>
        <v>482.40444077832433</v>
      </c>
      <c r="P10" s="719">
        <f>tertiair!O16</f>
        <v>3.1266666666666669</v>
      </c>
      <c r="Q10" s="720">
        <f>tertiair!P16</f>
        <v>0</v>
      </c>
      <c r="R10" s="722">
        <f ca="1">SUM(C10:Q10)</f>
        <v>34991.845559829344</v>
      </c>
      <c r="S10" s="67"/>
    </row>
    <row r="11" spans="1:19" s="475" customFormat="1">
      <c r="A11" s="871" t="s">
        <v>225</v>
      </c>
      <c r="B11" s="876"/>
      <c r="C11" s="719">
        <f>huishoudens!B8</f>
        <v>21598.596520399085</v>
      </c>
      <c r="D11" s="719">
        <f>huishoudens!C8</f>
        <v>0</v>
      </c>
      <c r="E11" s="719">
        <f>huishoudens!D8</f>
        <v>64192.263278000006</v>
      </c>
      <c r="F11" s="719">
        <f>huishoudens!E8</f>
        <v>821.03859214838371</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6793.2924975114238</v>
      </c>
      <c r="P11" s="719">
        <f>huishoudens!O8</f>
        <v>139.13666666666668</v>
      </c>
      <c r="Q11" s="720">
        <f>huishoudens!P8</f>
        <v>495.73333333333335</v>
      </c>
      <c r="R11" s="722">
        <f>SUM(C11:Q11)</f>
        <v>94040.060888058913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8470.6420000000016</v>
      </c>
      <c r="D13" s="719">
        <f>industrie!C18</f>
        <v>0</v>
      </c>
      <c r="E13" s="719">
        <f>industrie!D18</f>
        <v>2109.0978919999998</v>
      </c>
      <c r="F13" s="719">
        <f>industrie!E18</f>
        <v>684.69199018705353</v>
      </c>
      <c r="G13" s="719">
        <f>industrie!F18</f>
        <v>2589.6125387349412</v>
      </c>
      <c r="H13" s="719">
        <f>industrie!G18</f>
        <v>0</v>
      </c>
      <c r="I13" s="719">
        <f>industrie!H18</f>
        <v>0</v>
      </c>
      <c r="J13" s="719">
        <f>industrie!I18</f>
        <v>0</v>
      </c>
      <c r="K13" s="719">
        <f>industrie!J18</f>
        <v>6.9105079255767157</v>
      </c>
      <c r="L13" s="719">
        <f>industrie!K18</f>
        <v>0</v>
      </c>
      <c r="M13" s="719">
        <f>industrie!L18</f>
        <v>0</v>
      </c>
      <c r="N13" s="719">
        <f>industrie!M18</f>
        <v>0</v>
      </c>
      <c r="O13" s="719">
        <f>industrie!N18</f>
        <v>3336.9792361895347</v>
      </c>
      <c r="P13" s="719">
        <f>industrie!O18</f>
        <v>0</v>
      </c>
      <c r="Q13" s="720">
        <f>industrie!P18</f>
        <v>0</v>
      </c>
      <c r="R13" s="722">
        <f>SUM(C13:Q13)</f>
        <v>17197.93416503711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42550.797744467447</v>
      </c>
      <c r="D15" s="724">
        <f t="shared" ref="D15:Q15" ca="1" si="0">SUM(D9:D14)</f>
        <v>0</v>
      </c>
      <c r="E15" s="724">
        <f t="shared" ca="1" si="0"/>
        <v>86430.915428000022</v>
      </c>
      <c r="F15" s="724">
        <f t="shared" si="0"/>
        <v>1659.7610363586296</v>
      </c>
      <c r="G15" s="724">
        <f t="shared" ca="1" si="0"/>
        <v>4330.783055027744</v>
      </c>
      <c r="H15" s="724">
        <f t="shared" si="0"/>
        <v>0</v>
      </c>
      <c r="I15" s="724">
        <f t="shared" si="0"/>
        <v>0</v>
      </c>
      <c r="J15" s="724">
        <f t="shared" si="0"/>
        <v>0</v>
      </c>
      <c r="K15" s="724">
        <f t="shared" si="0"/>
        <v>6.9105079255767157</v>
      </c>
      <c r="L15" s="724">
        <f t="shared" si="0"/>
        <v>0</v>
      </c>
      <c r="M15" s="724">
        <f t="shared" ca="1" si="0"/>
        <v>0</v>
      </c>
      <c r="N15" s="724">
        <f t="shared" si="0"/>
        <v>0</v>
      </c>
      <c r="O15" s="724">
        <f t="shared" ca="1" si="0"/>
        <v>10612.676174479282</v>
      </c>
      <c r="P15" s="724">
        <f t="shared" si="0"/>
        <v>142.26333333333335</v>
      </c>
      <c r="Q15" s="725">
        <f t="shared" si="0"/>
        <v>495.73333333333335</v>
      </c>
      <c r="R15" s="726">
        <f ca="1">SUM(R9:R14)</f>
        <v>146229.84061292539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721.29496042414803</v>
      </c>
      <c r="D18" s="719">
        <f>transport!C54</f>
        <v>0</v>
      </c>
      <c r="E18" s="719">
        <f>transport!D54</f>
        <v>0</v>
      </c>
      <c r="F18" s="719">
        <f>transport!E54</f>
        <v>0</v>
      </c>
      <c r="G18" s="719">
        <f>transport!F54</f>
        <v>0</v>
      </c>
      <c r="H18" s="719">
        <f>transport!G54</f>
        <v>1369.3817588170696</v>
      </c>
      <c r="I18" s="719">
        <f>transport!H54</f>
        <v>0</v>
      </c>
      <c r="J18" s="719">
        <f>transport!I54</f>
        <v>0</v>
      </c>
      <c r="K18" s="719">
        <f>transport!J54</f>
        <v>0</v>
      </c>
      <c r="L18" s="719">
        <f>transport!K54</f>
        <v>0</v>
      </c>
      <c r="M18" s="719">
        <f>transport!L54</f>
        <v>0</v>
      </c>
      <c r="N18" s="719">
        <f>transport!M54</f>
        <v>78.091849741865673</v>
      </c>
      <c r="O18" s="719">
        <f>transport!N54</f>
        <v>0</v>
      </c>
      <c r="P18" s="719">
        <f>transport!O54</f>
        <v>0</v>
      </c>
      <c r="Q18" s="720">
        <f>transport!P54</f>
        <v>0</v>
      </c>
      <c r="R18" s="722">
        <f>SUM(C18:Q18)</f>
        <v>2168.7685689830832</v>
      </c>
      <c r="S18" s="67"/>
    </row>
    <row r="19" spans="1:19" s="475" customFormat="1" ht="15" thickBot="1">
      <c r="A19" s="871" t="s">
        <v>307</v>
      </c>
      <c r="B19" s="876"/>
      <c r="C19" s="728">
        <f>transport!B14</f>
        <v>7.6412206151753566</v>
      </c>
      <c r="D19" s="728">
        <f>transport!C14</f>
        <v>0</v>
      </c>
      <c r="E19" s="728">
        <f>transport!D14</f>
        <v>19.175430318315492</v>
      </c>
      <c r="F19" s="728">
        <f>transport!E14</f>
        <v>123.12555195615019</v>
      </c>
      <c r="G19" s="728">
        <f>transport!F14</f>
        <v>0</v>
      </c>
      <c r="H19" s="728">
        <f>transport!G14</f>
        <v>38607.084521107136</v>
      </c>
      <c r="I19" s="728">
        <f>transport!H14</f>
        <v>7272.5228790040665</v>
      </c>
      <c r="J19" s="728">
        <f>transport!I14</f>
        <v>0</v>
      </c>
      <c r="K19" s="728">
        <f>transport!J14</f>
        <v>0</v>
      </c>
      <c r="L19" s="728">
        <f>transport!K14</f>
        <v>0</v>
      </c>
      <c r="M19" s="728">
        <f>transport!L14</f>
        <v>0</v>
      </c>
      <c r="N19" s="728">
        <f>transport!M14</f>
        <v>2457.1193307272274</v>
      </c>
      <c r="O19" s="728">
        <f>transport!N14</f>
        <v>0</v>
      </c>
      <c r="P19" s="728">
        <f>transport!O14</f>
        <v>0</v>
      </c>
      <c r="Q19" s="729">
        <f>transport!P14</f>
        <v>0</v>
      </c>
      <c r="R19" s="730">
        <f>SUM(C19:Q19)</f>
        <v>48486.66893372807</v>
      </c>
      <c r="S19" s="67"/>
    </row>
    <row r="20" spans="1:19" s="475" customFormat="1" ht="15.75" thickBot="1">
      <c r="A20" s="731" t="s">
        <v>230</v>
      </c>
      <c r="B20" s="879"/>
      <c r="C20" s="874">
        <f>SUM(C17:C19)</f>
        <v>728.9361810393234</v>
      </c>
      <c r="D20" s="732">
        <f t="shared" ref="D20:R20" si="1">SUM(D17:D19)</f>
        <v>0</v>
      </c>
      <c r="E20" s="732">
        <f t="shared" si="1"/>
        <v>19.175430318315492</v>
      </c>
      <c r="F20" s="732">
        <f t="shared" si="1"/>
        <v>123.12555195615019</v>
      </c>
      <c r="G20" s="732">
        <f t="shared" si="1"/>
        <v>0</v>
      </c>
      <c r="H20" s="732">
        <f t="shared" si="1"/>
        <v>39976.466279924207</v>
      </c>
      <c r="I20" s="732">
        <f t="shared" si="1"/>
        <v>7272.5228790040665</v>
      </c>
      <c r="J20" s="732">
        <f t="shared" si="1"/>
        <v>0</v>
      </c>
      <c r="K20" s="732">
        <f t="shared" si="1"/>
        <v>0</v>
      </c>
      <c r="L20" s="732">
        <f t="shared" si="1"/>
        <v>0</v>
      </c>
      <c r="M20" s="732">
        <f t="shared" si="1"/>
        <v>0</v>
      </c>
      <c r="N20" s="732">
        <f t="shared" si="1"/>
        <v>2535.2111804690931</v>
      </c>
      <c r="O20" s="732">
        <f t="shared" si="1"/>
        <v>0</v>
      </c>
      <c r="P20" s="732">
        <f t="shared" si="1"/>
        <v>0</v>
      </c>
      <c r="Q20" s="733">
        <f t="shared" si="1"/>
        <v>0</v>
      </c>
      <c r="R20" s="734">
        <f t="shared" si="1"/>
        <v>50655.437502711153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2632.2130000000002</v>
      </c>
      <c r="D22" s="728">
        <f>+landbouw!C8</f>
        <v>152190.00000000003</v>
      </c>
      <c r="E22" s="728">
        <f>+landbouw!D8</f>
        <v>0</v>
      </c>
      <c r="F22" s="728">
        <f>+landbouw!E8</f>
        <v>24.380659278145764</v>
      </c>
      <c r="G22" s="728">
        <f>+landbouw!F8</f>
        <v>0</v>
      </c>
      <c r="H22" s="728">
        <f>+landbouw!G8</f>
        <v>0</v>
      </c>
      <c r="I22" s="728">
        <f>+landbouw!H8</f>
        <v>0</v>
      </c>
      <c r="J22" s="728">
        <f>+landbouw!I8</f>
        <v>0</v>
      </c>
      <c r="K22" s="728">
        <f>+landbouw!J8</f>
        <v>403.54762848281547</v>
      </c>
      <c r="L22" s="728">
        <f>+landbouw!K8</f>
        <v>0</v>
      </c>
      <c r="M22" s="728">
        <f>+landbouw!L8</f>
        <v>0</v>
      </c>
      <c r="N22" s="728">
        <f>+landbouw!M8</f>
        <v>0</v>
      </c>
      <c r="O22" s="728">
        <f>+landbouw!N8</f>
        <v>0</v>
      </c>
      <c r="P22" s="728">
        <f>+landbouw!O8</f>
        <v>0</v>
      </c>
      <c r="Q22" s="729">
        <f>+landbouw!P8</f>
        <v>0</v>
      </c>
      <c r="R22" s="730">
        <f>SUM(C22:Q22)</f>
        <v>155250.14128776095</v>
      </c>
      <c r="S22" s="67"/>
    </row>
    <row r="23" spans="1:19" s="475" customFormat="1" ht="17.25" thickTop="1" thickBot="1">
      <c r="A23" s="735" t="s">
        <v>116</v>
      </c>
      <c r="B23" s="865"/>
      <c r="C23" s="736">
        <f ca="1">C20+C15+C22</f>
        <v>45911.946925506774</v>
      </c>
      <c r="D23" s="736">
        <f t="shared" ref="D23:Q23" ca="1" si="2">D20+D15+D22</f>
        <v>152190.00000000003</v>
      </c>
      <c r="E23" s="736">
        <f t="shared" ca="1" si="2"/>
        <v>86450.090858318334</v>
      </c>
      <c r="F23" s="736">
        <f t="shared" si="2"/>
        <v>1807.2672475929255</v>
      </c>
      <c r="G23" s="736">
        <f t="shared" ca="1" si="2"/>
        <v>4330.783055027744</v>
      </c>
      <c r="H23" s="736">
        <f t="shared" si="2"/>
        <v>39976.466279924207</v>
      </c>
      <c r="I23" s="736">
        <f t="shared" si="2"/>
        <v>7272.5228790040665</v>
      </c>
      <c r="J23" s="736">
        <f t="shared" si="2"/>
        <v>0</v>
      </c>
      <c r="K23" s="736">
        <f t="shared" si="2"/>
        <v>410.45813640839219</v>
      </c>
      <c r="L23" s="736">
        <f t="shared" si="2"/>
        <v>0</v>
      </c>
      <c r="M23" s="736">
        <f t="shared" ca="1" si="2"/>
        <v>0</v>
      </c>
      <c r="N23" s="736">
        <f t="shared" si="2"/>
        <v>2535.2111804690931</v>
      </c>
      <c r="O23" s="736">
        <f t="shared" ca="1" si="2"/>
        <v>10612.676174479282</v>
      </c>
      <c r="P23" s="736">
        <f t="shared" si="2"/>
        <v>142.26333333333335</v>
      </c>
      <c r="Q23" s="737">
        <f t="shared" si="2"/>
        <v>495.73333333333335</v>
      </c>
      <c r="R23" s="738">
        <f ca="1">R20+R15+R22</f>
        <v>352135.41940339748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2628.4364129529508</v>
      </c>
      <c r="D36" s="719">
        <f ca="1">tertiair!C20</f>
        <v>0</v>
      </c>
      <c r="E36" s="719">
        <f ca="1">tertiair!D20</f>
        <v>4066.1699601160012</v>
      </c>
      <c r="F36" s="719">
        <f>tertiair!E20</f>
        <v>34.96491306326466</v>
      </c>
      <c r="G36" s="719">
        <f ca="1">tertiair!F20</f>
        <v>464.89252785017834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7194.4638139823946</v>
      </c>
    </row>
    <row r="37" spans="1:18">
      <c r="A37" s="886" t="s">
        <v>225</v>
      </c>
      <c r="B37" s="893"/>
      <c r="C37" s="719">
        <f ca="1">huishoudens!B12</f>
        <v>4548.3530177403209</v>
      </c>
      <c r="D37" s="719">
        <f ca="1">huishoudens!C12</f>
        <v>0</v>
      </c>
      <c r="E37" s="719">
        <f>huishoudens!D12</f>
        <v>12966.837182156001</v>
      </c>
      <c r="F37" s="719">
        <f>huishoudens!E12</f>
        <v>186.3757604176831</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17701.565960314005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1783.79507513417</v>
      </c>
      <c r="D39" s="719">
        <f ca="1">industrie!C22</f>
        <v>0</v>
      </c>
      <c r="E39" s="719">
        <f>industrie!D22</f>
        <v>426.037774184</v>
      </c>
      <c r="F39" s="719">
        <f>industrie!E22</f>
        <v>155.42508177246117</v>
      </c>
      <c r="G39" s="719">
        <f>industrie!F22</f>
        <v>691.4265478422293</v>
      </c>
      <c r="H39" s="719">
        <f>industrie!G22</f>
        <v>0</v>
      </c>
      <c r="I39" s="719">
        <f>industrie!H22</f>
        <v>0</v>
      </c>
      <c r="J39" s="719">
        <f>industrie!I22</f>
        <v>0</v>
      </c>
      <c r="K39" s="719">
        <f>industrie!J22</f>
        <v>2.4463198056541571</v>
      </c>
      <c r="L39" s="719">
        <f>industrie!K22</f>
        <v>0</v>
      </c>
      <c r="M39" s="719">
        <f>industrie!L22</f>
        <v>0</v>
      </c>
      <c r="N39" s="719">
        <f>industrie!M22</f>
        <v>0</v>
      </c>
      <c r="O39" s="719">
        <f>industrie!N22</f>
        <v>0</v>
      </c>
      <c r="P39" s="719">
        <f>industrie!O22</f>
        <v>0</v>
      </c>
      <c r="Q39" s="829">
        <f>industrie!P22</f>
        <v>0</v>
      </c>
      <c r="R39" s="919">
        <f ca="1">SUM(C39:Q39)</f>
        <v>3059.1307987385144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8960.5845058274426</v>
      </c>
      <c r="D41" s="764">
        <f t="shared" ref="D41:R41" ca="1" si="4">SUM(D35:D40)</f>
        <v>0</v>
      </c>
      <c r="E41" s="764">
        <f t="shared" ca="1" si="4"/>
        <v>17459.044916456001</v>
      </c>
      <c r="F41" s="764">
        <f t="shared" si="4"/>
        <v>376.76575525340894</v>
      </c>
      <c r="G41" s="764">
        <f t="shared" ca="1" si="4"/>
        <v>1156.3190756924078</v>
      </c>
      <c r="H41" s="764">
        <f t="shared" si="4"/>
        <v>0</v>
      </c>
      <c r="I41" s="764">
        <f t="shared" si="4"/>
        <v>0</v>
      </c>
      <c r="J41" s="764">
        <f t="shared" si="4"/>
        <v>0</v>
      </c>
      <c r="K41" s="764">
        <f t="shared" si="4"/>
        <v>2.4463198056541571</v>
      </c>
      <c r="L41" s="764">
        <f t="shared" si="4"/>
        <v>0</v>
      </c>
      <c r="M41" s="764">
        <f t="shared" ca="1" si="4"/>
        <v>0</v>
      </c>
      <c r="N41" s="764">
        <f t="shared" si="4"/>
        <v>0</v>
      </c>
      <c r="O41" s="764">
        <f t="shared" ca="1" si="4"/>
        <v>0</v>
      </c>
      <c r="P41" s="764">
        <f t="shared" si="4"/>
        <v>0</v>
      </c>
      <c r="Q41" s="765">
        <f t="shared" si="4"/>
        <v>0</v>
      </c>
      <c r="R41" s="766">
        <f t="shared" ca="1" si="4"/>
        <v>27955.160573034915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151.89431900482762</v>
      </c>
      <c r="D44" s="719">
        <f ca="1">transport!C58</f>
        <v>0</v>
      </c>
      <c r="E44" s="719">
        <f>transport!D58</f>
        <v>0</v>
      </c>
      <c r="F44" s="719">
        <f>transport!E58</f>
        <v>0</v>
      </c>
      <c r="G44" s="719">
        <f>transport!F58</f>
        <v>0</v>
      </c>
      <c r="H44" s="719">
        <f>transport!G58</f>
        <v>365.62492960415761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517.51924860898521</v>
      </c>
    </row>
    <row r="45" spans="1:18" ht="15" thickBot="1">
      <c r="A45" s="889" t="s">
        <v>307</v>
      </c>
      <c r="B45" s="899"/>
      <c r="C45" s="728">
        <f ca="1">transport!B18</f>
        <v>1.6091308901218457</v>
      </c>
      <c r="D45" s="728">
        <f>transport!C18</f>
        <v>0</v>
      </c>
      <c r="E45" s="728">
        <f>transport!D18</f>
        <v>3.8734369242997295</v>
      </c>
      <c r="F45" s="728">
        <f>transport!E18</f>
        <v>27.949500294046093</v>
      </c>
      <c r="G45" s="728">
        <f>transport!F18</f>
        <v>0</v>
      </c>
      <c r="H45" s="728">
        <f>transport!G18</f>
        <v>10308.091567135605</v>
      </c>
      <c r="I45" s="728">
        <f>transport!H18</f>
        <v>1810.8581968720125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12152.381832116085</v>
      </c>
    </row>
    <row r="46" spans="1:18" ht="15.75" thickBot="1">
      <c r="A46" s="887" t="s">
        <v>230</v>
      </c>
      <c r="B46" s="900"/>
      <c r="C46" s="764">
        <f t="shared" ref="C46:R46" ca="1" si="5">SUM(C43:C45)</f>
        <v>153.50344989494945</v>
      </c>
      <c r="D46" s="764">
        <f t="shared" ca="1" si="5"/>
        <v>0</v>
      </c>
      <c r="E46" s="764">
        <f t="shared" si="5"/>
        <v>3.8734369242997295</v>
      </c>
      <c r="F46" s="764">
        <f t="shared" si="5"/>
        <v>27.949500294046093</v>
      </c>
      <c r="G46" s="764">
        <f t="shared" si="5"/>
        <v>0</v>
      </c>
      <c r="H46" s="764">
        <f t="shared" si="5"/>
        <v>10673.716496739762</v>
      </c>
      <c r="I46" s="764">
        <f t="shared" si="5"/>
        <v>1810.8581968720125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12669.901080725071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554.30610644436854</v>
      </c>
      <c r="D48" s="719">
        <f ca="1">+landbouw!C12</f>
        <v>32725.450210084044</v>
      </c>
      <c r="E48" s="719">
        <f>+landbouw!D12</f>
        <v>0</v>
      </c>
      <c r="F48" s="719">
        <f>+landbouw!E12</f>
        <v>5.534409656139089</v>
      </c>
      <c r="G48" s="719">
        <f>+landbouw!F12</f>
        <v>0</v>
      </c>
      <c r="H48" s="719">
        <f>+landbouw!G12</f>
        <v>0</v>
      </c>
      <c r="I48" s="719">
        <f>+landbouw!H12</f>
        <v>0</v>
      </c>
      <c r="J48" s="719">
        <f>+landbouw!I12</f>
        <v>0</v>
      </c>
      <c r="K48" s="719">
        <f>+landbouw!J12</f>
        <v>142.85586048291668</v>
      </c>
      <c r="L48" s="719">
        <f>+landbouw!K12</f>
        <v>0</v>
      </c>
      <c r="M48" s="719">
        <f>+landbouw!L12</f>
        <v>0</v>
      </c>
      <c r="N48" s="719">
        <f>+landbouw!M12</f>
        <v>0</v>
      </c>
      <c r="O48" s="719">
        <f>+landbouw!N12</f>
        <v>0</v>
      </c>
      <c r="P48" s="719">
        <f>+landbouw!O12</f>
        <v>0</v>
      </c>
      <c r="Q48" s="720">
        <f>+landbouw!P12</f>
        <v>0</v>
      </c>
      <c r="R48" s="762">
        <f ca="1">SUM(C48:Q48)</f>
        <v>33428.14658666747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9668.3940621667607</v>
      </c>
      <c r="D53" s="774">
        <f t="shared" ref="D53:Q53" ca="1" si="6">D41+D46+D48</f>
        <v>32725.450210084044</v>
      </c>
      <c r="E53" s="774">
        <f t="shared" ca="1" si="6"/>
        <v>17462.918353380301</v>
      </c>
      <c r="F53" s="774">
        <f t="shared" si="6"/>
        <v>410.24966520359413</v>
      </c>
      <c r="G53" s="774">
        <f t="shared" ca="1" si="6"/>
        <v>1156.3190756924078</v>
      </c>
      <c r="H53" s="774">
        <f t="shared" si="6"/>
        <v>10673.716496739762</v>
      </c>
      <c r="I53" s="774">
        <f t="shared" si="6"/>
        <v>1810.8581968720125</v>
      </c>
      <c r="J53" s="774">
        <f t="shared" si="6"/>
        <v>0</v>
      </c>
      <c r="K53" s="774">
        <f t="shared" si="6"/>
        <v>145.30218028857084</v>
      </c>
      <c r="L53" s="774">
        <f t="shared" si="6"/>
        <v>0</v>
      </c>
      <c r="M53" s="774">
        <f t="shared" ca="1" si="6"/>
        <v>0</v>
      </c>
      <c r="N53" s="774">
        <f t="shared" si="6"/>
        <v>0</v>
      </c>
      <c r="O53" s="774">
        <f t="shared" ca="1" si="6"/>
        <v>0</v>
      </c>
      <c r="P53" s="774">
        <f>P41+P46+P48</f>
        <v>0</v>
      </c>
      <c r="Q53" s="775">
        <f t="shared" si="6"/>
        <v>0</v>
      </c>
      <c r="R53" s="776">
        <f ca="1">R41+R46+R48</f>
        <v>74053.208240427455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0.21058558195874288</v>
      </c>
      <c r="D55" s="837">
        <f t="shared" ca="1" si="7"/>
        <v>0.21503022675658084</v>
      </c>
      <c r="E55" s="837">
        <f t="shared" ca="1" si="7"/>
        <v>0.20199999999999996</v>
      </c>
      <c r="F55" s="837">
        <f t="shared" si="7"/>
        <v>0.22700000000000004</v>
      </c>
      <c r="G55" s="837">
        <f t="shared" ca="1" si="7"/>
        <v>0.26700000000000002</v>
      </c>
      <c r="H55" s="837">
        <f t="shared" si="7"/>
        <v>0.26699999999999996</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2248.4984007159528</v>
      </c>
      <c r="C66" s="796">
        <f>'lokale energieproductie'!B6</f>
        <v>2248.4984007159528</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106533</v>
      </c>
      <c r="C67" s="795">
        <f>B67*IFERROR(SUM(J67:L67)/SUM(D67:M67),0)</f>
        <v>14622.87943219017</v>
      </c>
      <c r="D67" s="827">
        <f>'lokale energieproductie'!C7</f>
        <v>107518.23529411765</v>
      </c>
      <c r="E67" s="828">
        <f>'lokale energieproductie'!D7</f>
        <v>0</v>
      </c>
      <c r="F67" s="828">
        <f>'lokale energieproductie'!E7</f>
        <v>4453.676470588236</v>
      </c>
      <c r="G67" s="828">
        <f>'lokale energieproductie'!F7</f>
        <v>0</v>
      </c>
      <c r="H67" s="828">
        <f>'lokale energieproductie'!G7</f>
        <v>0</v>
      </c>
      <c r="I67" s="828">
        <f>'lokale energieproductie'!H7</f>
        <v>0</v>
      </c>
      <c r="J67" s="828">
        <f>'lokale energieproductie'!I7</f>
        <v>0</v>
      </c>
      <c r="K67" s="828">
        <f>'lokale energieproductie'!J7</f>
        <v>17814.705882352944</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22907.815147058827</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108781.49840071595</v>
      </c>
      <c r="C69" s="804">
        <f>SUM(C64:C68)</f>
        <v>16871.377832906124</v>
      </c>
      <c r="D69" s="805">
        <f t="shared" ref="D69:M69" si="8">SUM(D67:D68)</f>
        <v>107518.23529411765</v>
      </c>
      <c r="E69" s="805">
        <f t="shared" si="8"/>
        <v>0</v>
      </c>
      <c r="F69" s="805">
        <f t="shared" si="8"/>
        <v>4453.676470588236</v>
      </c>
      <c r="G69" s="805">
        <f t="shared" si="8"/>
        <v>0</v>
      </c>
      <c r="H69" s="805">
        <f t="shared" si="8"/>
        <v>0</v>
      </c>
      <c r="I69" s="805">
        <f t="shared" si="8"/>
        <v>0</v>
      </c>
      <c r="J69" s="805">
        <f t="shared" si="8"/>
        <v>0</v>
      </c>
      <c r="K69" s="805">
        <f t="shared" si="8"/>
        <v>17814.705882352944</v>
      </c>
      <c r="L69" s="805">
        <f t="shared" si="8"/>
        <v>0</v>
      </c>
      <c r="M69" s="931">
        <f t="shared" si="8"/>
        <v>0</v>
      </c>
      <c r="N69" s="806">
        <v>0</v>
      </c>
      <c r="O69" s="806">
        <f>SUM(O67:O68)</f>
        <v>22907.815147058827</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152190.00000000003</v>
      </c>
      <c r="C78" s="818">
        <f>B78*IFERROR(SUM(I78:L78)/SUM(D78:M78),0)</f>
        <v>20889.82776027167</v>
      </c>
      <c r="D78" s="833">
        <f>'lokale energieproductie'!C16</f>
        <v>153597.47899159667</v>
      </c>
      <c r="E78" s="833">
        <f>'lokale energieproductie'!D16</f>
        <v>0</v>
      </c>
      <c r="F78" s="833">
        <f>'lokale energieproductie'!E16</f>
        <v>6362.3949579831951</v>
      </c>
      <c r="G78" s="833">
        <f>'lokale energieproductie'!F16</f>
        <v>0</v>
      </c>
      <c r="H78" s="833">
        <f>'lokale energieproductie'!G16</f>
        <v>0</v>
      </c>
      <c r="I78" s="833">
        <f>'lokale energieproductie'!H16</f>
        <v>0</v>
      </c>
      <c r="J78" s="833">
        <f>'lokale energieproductie'!I16</f>
        <v>0</v>
      </c>
      <c r="K78" s="833">
        <f>'lokale energieproductie'!J16</f>
        <v>25449.579831932781</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32725.450210084044</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152190.00000000003</v>
      </c>
      <c r="C81" s="804">
        <f>SUM(C78:C80)</f>
        <v>20889.82776027167</v>
      </c>
      <c r="D81" s="804">
        <f t="shared" ref="D81:P81" si="9">SUM(D78:D80)</f>
        <v>153597.47899159667</v>
      </c>
      <c r="E81" s="804">
        <f t="shared" si="9"/>
        <v>0</v>
      </c>
      <c r="F81" s="804">
        <f t="shared" si="9"/>
        <v>6362.3949579831951</v>
      </c>
      <c r="G81" s="804">
        <f t="shared" si="9"/>
        <v>0</v>
      </c>
      <c r="H81" s="804">
        <f t="shared" si="9"/>
        <v>0</v>
      </c>
      <c r="I81" s="804">
        <f t="shared" si="9"/>
        <v>0</v>
      </c>
      <c r="J81" s="804">
        <f t="shared" si="9"/>
        <v>0</v>
      </c>
      <c r="K81" s="804">
        <f t="shared" si="9"/>
        <v>25449.579831932781</v>
      </c>
      <c r="L81" s="804">
        <f t="shared" si="9"/>
        <v>0</v>
      </c>
      <c r="M81" s="804">
        <f t="shared" si="9"/>
        <v>0</v>
      </c>
      <c r="N81" s="804">
        <v>0</v>
      </c>
      <c r="O81" s="804">
        <f>SUM(O78:O80)</f>
        <v>32725.450210084044</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21598.596520399085</v>
      </c>
      <c r="C4" s="479">
        <f>huishoudens!C8</f>
        <v>0</v>
      </c>
      <c r="D4" s="479">
        <f>huishoudens!D8</f>
        <v>64192.263278000006</v>
      </c>
      <c r="E4" s="479">
        <f>huishoudens!E8</f>
        <v>821.03859214838371</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6793.2924975114238</v>
      </c>
      <c r="O4" s="479">
        <f>huishoudens!O8</f>
        <v>139.13666666666668</v>
      </c>
      <c r="P4" s="480">
        <f>huishoudens!P8</f>
        <v>495.73333333333335</v>
      </c>
      <c r="Q4" s="481">
        <f>SUM(B4:P4)</f>
        <v>94040.060888058913</v>
      </c>
    </row>
    <row r="5" spans="1:17">
      <c r="A5" s="478" t="s">
        <v>156</v>
      </c>
      <c r="B5" s="479">
        <f ca="1">tertiair!B16</f>
        <v>11772.85422406836</v>
      </c>
      <c r="C5" s="479">
        <f ca="1">tertiair!C16</f>
        <v>0</v>
      </c>
      <c r="D5" s="479">
        <f ca="1">tertiair!D16</f>
        <v>20129.554258000004</v>
      </c>
      <c r="E5" s="479">
        <f>tertiair!E16</f>
        <v>154.03045402319233</v>
      </c>
      <c r="F5" s="479">
        <f ca="1">tertiair!F16</f>
        <v>1741.1705162928026</v>
      </c>
      <c r="G5" s="479">
        <f>tertiair!G16</f>
        <v>0</v>
      </c>
      <c r="H5" s="479">
        <f>tertiair!H16</f>
        <v>0</v>
      </c>
      <c r="I5" s="479">
        <f>tertiair!I16</f>
        <v>0</v>
      </c>
      <c r="J5" s="479">
        <f>tertiair!J16</f>
        <v>0</v>
      </c>
      <c r="K5" s="479">
        <f>tertiair!K16</f>
        <v>0</v>
      </c>
      <c r="L5" s="479">
        <f ca="1">tertiair!L16</f>
        <v>0</v>
      </c>
      <c r="M5" s="479">
        <f>tertiair!M16</f>
        <v>0</v>
      </c>
      <c r="N5" s="479">
        <f ca="1">tertiair!N16</f>
        <v>482.40444077832433</v>
      </c>
      <c r="O5" s="479">
        <f>tertiair!O16</f>
        <v>3.1266666666666669</v>
      </c>
      <c r="P5" s="480">
        <f>tertiair!P16</f>
        <v>0</v>
      </c>
      <c r="Q5" s="478">
        <f t="shared" ref="Q5:Q13" ca="1" si="0">SUM(B5:P5)</f>
        <v>34283.140559829342</v>
      </c>
    </row>
    <row r="6" spans="1:17">
      <c r="A6" s="478" t="s">
        <v>194</v>
      </c>
      <c r="B6" s="479">
        <f>'openbare verlichting'!B8</f>
        <v>708.70500000000004</v>
      </c>
      <c r="C6" s="479"/>
      <c r="D6" s="479"/>
      <c r="E6" s="479"/>
      <c r="F6" s="479"/>
      <c r="G6" s="479"/>
      <c r="H6" s="479"/>
      <c r="I6" s="479"/>
      <c r="J6" s="479"/>
      <c r="K6" s="479"/>
      <c r="L6" s="479"/>
      <c r="M6" s="479"/>
      <c r="N6" s="479"/>
      <c r="O6" s="479"/>
      <c r="P6" s="480"/>
      <c r="Q6" s="478">
        <f t="shared" si="0"/>
        <v>708.70500000000004</v>
      </c>
    </row>
    <row r="7" spans="1:17">
      <c r="A7" s="478" t="s">
        <v>112</v>
      </c>
      <c r="B7" s="479">
        <f>landbouw!B8</f>
        <v>2632.2130000000002</v>
      </c>
      <c r="C7" s="479">
        <f>landbouw!C8</f>
        <v>152190.00000000003</v>
      </c>
      <c r="D7" s="479">
        <f>landbouw!D8</f>
        <v>0</v>
      </c>
      <c r="E7" s="479">
        <f>landbouw!E8</f>
        <v>24.380659278145764</v>
      </c>
      <c r="F7" s="479">
        <f>landbouw!F8</f>
        <v>0</v>
      </c>
      <c r="G7" s="479">
        <f>landbouw!G8</f>
        <v>0</v>
      </c>
      <c r="H7" s="479">
        <f>landbouw!H8</f>
        <v>0</v>
      </c>
      <c r="I7" s="479">
        <f>landbouw!I8</f>
        <v>0</v>
      </c>
      <c r="J7" s="479">
        <f>landbouw!J8</f>
        <v>403.54762848281547</v>
      </c>
      <c r="K7" s="479">
        <f>landbouw!K8</f>
        <v>0</v>
      </c>
      <c r="L7" s="479">
        <f>landbouw!L8</f>
        <v>0</v>
      </c>
      <c r="M7" s="479">
        <f>landbouw!M8</f>
        <v>0</v>
      </c>
      <c r="N7" s="479">
        <f>landbouw!N8</f>
        <v>0</v>
      </c>
      <c r="O7" s="479">
        <f>landbouw!O8</f>
        <v>0</v>
      </c>
      <c r="P7" s="480">
        <f>landbouw!P8</f>
        <v>0</v>
      </c>
      <c r="Q7" s="478">
        <f t="shared" si="0"/>
        <v>155250.14128776095</v>
      </c>
    </row>
    <row r="8" spans="1:17">
      <c r="A8" s="478" t="s">
        <v>650</v>
      </c>
      <c r="B8" s="479">
        <f>industrie!B18</f>
        <v>8470.6420000000016</v>
      </c>
      <c r="C8" s="479">
        <f>industrie!C18</f>
        <v>0</v>
      </c>
      <c r="D8" s="479">
        <f>industrie!D18</f>
        <v>2109.0978919999998</v>
      </c>
      <c r="E8" s="479">
        <f>industrie!E18</f>
        <v>684.69199018705353</v>
      </c>
      <c r="F8" s="479">
        <f>industrie!F18</f>
        <v>2589.6125387349412</v>
      </c>
      <c r="G8" s="479">
        <f>industrie!G18</f>
        <v>0</v>
      </c>
      <c r="H8" s="479">
        <f>industrie!H18</f>
        <v>0</v>
      </c>
      <c r="I8" s="479">
        <f>industrie!I18</f>
        <v>0</v>
      </c>
      <c r="J8" s="479">
        <f>industrie!J18</f>
        <v>6.9105079255767157</v>
      </c>
      <c r="K8" s="479">
        <f>industrie!K18</f>
        <v>0</v>
      </c>
      <c r="L8" s="479">
        <f>industrie!L18</f>
        <v>0</v>
      </c>
      <c r="M8" s="479">
        <f>industrie!M18</f>
        <v>0</v>
      </c>
      <c r="N8" s="479">
        <f>industrie!N18</f>
        <v>3336.9792361895347</v>
      </c>
      <c r="O8" s="479">
        <f>industrie!O18</f>
        <v>0</v>
      </c>
      <c r="P8" s="480">
        <f>industrie!P18</f>
        <v>0</v>
      </c>
      <c r="Q8" s="478">
        <f t="shared" si="0"/>
        <v>17197.93416503711</v>
      </c>
    </row>
    <row r="9" spans="1:17" s="484" customFormat="1">
      <c r="A9" s="482" t="s">
        <v>571</v>
      </c>
      <c r="B9" s="483">
        <f>transport!B14</f>
        <v>7.6412206151753566</v>
      </c>
      <c r="C9" s="483"/>
      <c r="D9" s="483">
        <f>transport!D14</f>
        <v>19.175430318315492</v>
      </c>
      <c r="E9" s="483">
        <f>transport!E14</f>
        <v>123.12555195615019</v>
      </c>
      <c r="F9" s="483"/>
      <c r="G9" s="483">
        <f>transport!G14</f>
        <v>38607.084521107136</v>
      </c>
      <c r="H9" s="483">
        <f>transport!H14</f>
        <v>7272.5228790040665</v>
      </c>
      <c r="I9" s="483"/>
      <c r="J9" s="483"/>
      <c r="K9" s="483"/>
      <c r="L9" s="483"/>
      <c r="M9" s="483">
        <f>transport!M14</f>
        <v>2457.1193307272274</v>
      </c>
      <c r="N9" s="483"/>
      <c r="O9" s="483"/>
      <c r="P9" s="483"/>
      <c r="Q9" s="482">
        <f>SUM(B9:P9)</f>
        <v>48486.66893372807</v>
      </c>
    </row>
    <row r="10" spans="1:17">
      <c r="A10" s="478" t="s">
        <v>561</v>
      </c>
      <c r="B10" s="479">
        <f>transport!B54</f>
        <v>721.29496042414803</v>
      </c>
      <c r="C10" s="479"/>
      <c r="D10" s="479">
        <f>transport!D54</f>
        <v>0</v>
      </c>
      <c r="E10" s="479"/>
      <c r="F10" s="479"/>
      <c r="G10" s="479">
        <f>transport!G54</f>
        <v>1369.3817588170696</v>
      </c>
      <c r="H10" s="479"/>
      <c r="I10" s="479"/>
      <c r="J10" s="479"/>
      <c r="K10" s="479"/>
      <c r="L10" s="479"/>
      <c r="M10" s="479">
        <f>transport!M54</f>
        <v>78.091849741865673</v>
      </c>
      <c r="N10" s="479"/>
      <c r="O10" s="479"/>
      <c r="P10" s="480"/>
      <c r="Q10" s="478">
        <f t="shared" si="0"/>
        <v>2168.7685689830832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45911.946925506774</v>
      </c>
      <c r="C14" s="489">
        <f t="shared" ref="C14:Q14" ca="1" si="1">SUM(C4:C13)</f>
        <v>152190.00000000003</v>
      </c>
      <c r="D14" s="489">
        <f t="shared" ca="1" si="1"/>
        <v>86450.090858318334</v>
      </c>
      <c r="E14" s="489">
        <f t="shared" si="1"/>
        <v>1807.2672475929255</v>
      </c>
      <c r="F14" s="489">
        <f t="shared" ca="1" si="1"/>
        <v>4330.783055027744</v>
      </c>
      <c r="G14" s="489">
        <f t="shared" si="1"/>
        <v>39976.466279924207</v>
      </c>
      <c r="H14" s="489">
        <f t="shared" si="1"/>
        <v>7272.5228790040665</v>
      </c>
      <c r="I14" s="489">
        <f t="shared" si="1"/>
        <v>0</v>
      </c>
      <c r="J14" s="489">
        <f t="shared" si="1"/>
        <v>410.45813640839219</v>
      </c>
      <c r="K14" s="489">
        <f t="shared" si="1"/>
        <v>0</v>
      </c>
      <c r="L14" s="489">
        <f t="shared" ca="1" si="1"/>
        <v>0</v>
      </c>
      <c r="M14" s="489">
        <f t="shared" si="1"/>
        <v>2535.2111804690931</v>
      </c>
      <c r="N14" s="489">
        <f t="shared" ca="1" si="1"/>
        <v>10612.676174479282</v>
      </c>
      <c r="O14" s="489">
        <f t="shared" si="1"/>
        <v>142.26333333333335</v>
      </c>
      <c r="P14" s="490">
        <f t="shared" si="1"/>
        <v>495.73333333333335</v>
      </c>
      <c r="Q14" s="490">
        <f t="shared" ca="1" si="1"/>
        <v>352135.41940339748</v>
      </c>
    </row>
    <row r="16" spans="1:17">
      <c r="A16" s="492" t="s">
        <v>566</v>
      </c>
      <c r="B16" s="842">
        <f ca="1">huishoudens!B10</f>
        <v>0.21058558195874288</v>
      </c>
      <c r="C16" s="842">
        <f ca="1">huishoudens!C10</f>
        <v>0.21503022675658084</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4548.3530177403209</v>
      </c>
      <c r="C21" s="479">
        <f t="shared" ref="C21:C28" ca="1" si="3">C4*$C$16</f>
        <v>0</v>
      </c>
      <c r="D21" s="479">
        <f t="shared" ref="D21:D30" si="4">D4*$D$16</f>
        <v>12966.837182156001</v>
      </c>
      <c r="E21" s="479">
        <f t="shared" ref="E21:E30" si="5">E4*$E$16</f>
        <v>186.3757604176831</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17701.565960314005</v>
      </c>
    </row>
    <row r="22" spans="1:17">
      <c r="A22" s="478" t="s">
        <v>156</v>
      </c>
      <c r="B22" s="479">
        <f t="shared" ca="1" si="2"/>
        <v>2479.1933580908799</v>
      </c>
      <c r="C22" s="479">
        <f t="shared" ca="1" si="3"/>
        <v>0</v>
      </c>
      <c r="D22" s="479">
        <f t="shared" ca="1" si="4"/>
        <v>4066.1699601160012</v>
      </c>
      <c r="E22" s="479">
        <f t="shared" si="5"/>
        <v>34.96491306326466</v>
      </c>
      <c r="F22" s="479">
        <f t="shared" ca="1" si="6"/>
        <v>464.89252785017834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7045.2207591203232</v>
      </c>
    </row>
    <row r="23" spans="1:17">
      <c r="A23" s="478" t="s">
        <v>194</v>
      </c>
      <c r="B23" s="479">
        <f t="shared" ca="1" si="2"/>
        <v>149.24305486207089</v>
      </c>
      <c r="C23" s="479"/>
      <c r="D23" s="479"/>
      <c r="E23" s="479"/>
      <c r="F23" s="479"/>
      <c r="G23" s="479"/>
      <c r="H23" s="479"/>
      <c r="I23" s="479"/>
      <c r="J23" s="479"/>
      <c r="K23" s="479"/>
      <c r="L23" s="479"/>
      <c r="M23" s="479"/>
      <c r="N23" s="479"/>
      <c r="O23" s="479"/>
      <c r="P23" s="480"/>
      <c r="Q23" s="478">
        <f t="shared" ca="1" si="17"/>
        <v>149.24305486207089</v>
      </c>
    </row>
    <row r="24" spans="1:17">
      <c r="A24" s="478" t="s">
        <v>112</v>
      </c>
      <c r="B24" s="479">
        <f t="shared" ca="1" si="2"/>
        <v>554.30610644436854</v>
      </c>
      <c r="C24" s="479">
        <f t="shared" ca="1" si="3"/>
        <v>32725.450210084044</v>
      </c>
      <c r="D24" s="479">
        <f t="shared" si="4"/>
        <v>0</v>
      </c>
      <c r="E24" s="479">
        <f t="shared" si="5"/>
        <v>5.534409656139089</v>
      </c>
      <c r="F24" s="479">
        <f t="shared" si="6"/>
        <v>0</v>
      </c>
      <c r="G24" s="479">
        <f t="shared" si="7"/>
        <v>0</v>
      </c>
      <c r="H24" s="479">
        <f t="shared" si="8"/>
        <v>0</v>
      </c>
      <c r="I24" s="479">
        <f t="shared" si="9"/>
        <v>0</v>
      </c>
      <c r="J24" s="479">
        <f t="shared" si="10"/>
        <v>142.85586048291668</v>
      </c>
      <c r="K24" s="479">
        <f t="shared" si="11"/>
        <v>0</v>
      </c>
      <c r="L24" s="479">
        <f t="shared" si="12"/>
        <v>0</v>
      </c>
      <c r="M24" s="479">
        <f t="shared" si="13"/>
        <v>0</v>
      </c>
      <c r="N24" s="479">
        <f t="shared" si="14"/>
        <v>0</v>
      </c>
      <c r="O24" s="479">
        <f t="shared" si="15"/>
        <v>0</v>
      </c>
      <c r="P24" s="480">
        <f t="shared" si="16"/>
        <v>0</v>
      </c>
      <c r="Q24" s="478">
        <f t="shared" ca="1" si="17"/>
        <v>33428.14658666747</v>
      </c>
    </row>
    <row r="25" spans="1:17">
      <c r="A25" s="478" t="s">
        <v>650</v>
      </c>
      <c r="B25" s="479">
        <f t="shared" ca="1" si="2"/>
        <v>1783.79507513417</v>
      </c>
      <c r="C25" s="479">
        <f t="shared" ca="1" si="3"/>
        <v>0</v>
      </c>
      <c r="D25" s="479">
        <f t="shared" si="4"/>
        <v>426.037774184</v>
      </c>
      <c r="E25" s="479">
        <f t="shared" si="5"/>
        <v>155.42508177246117</v>
      </c>
      <c r="F25" s="479">
        <f t="shared" si="6"/>
        <v>691.4265478422293</v>
      </c>
      <c r="G25" s="479">
        <f t="shared" si="7"/>
        <v>0</v>
      </c>
      <c r="H25" s="479">
        <f t="shared" si="8"/>
        <v>0</v>
      </c>
      <c r="I25" s="479">
        <f t="shared" si="9"/>
        <v>0</v>
      </c>
      <c r="J25" s="479">
        <f t="shared" si="10"/>
        <v>2.4463198056541571</v>
      </c>
      <c r="K25" s="479">
        <f t="shared" si="11"/>
        <v>0</v>
      </c>
      <c r="L25" s="479">
        <f t="shared" si="12"/>
        <v>0</v>
      </c>
      <c r="M25" s="479">
        <f t="shared" si="13"/>
        <v>0</v>
      </c>
      <c r="N25" s="479">
        <f t="shared" si="14"/>
        <v>0</v>
      </c>
      <c r="O25" s="479">
        <f t="shared" si="15"/>
        <v>0</v>
      </c>
      <c r="P25" s="480">
        <f t="shared" si="16"/>
        <v>0</v>
      </c>
      <c r="Q25" s="478">
        <f t="shared" ca="1" si="17"/>
        <v>3059.1307987385144</v>
      </c>
    </row>
    <row r="26" spans="1:17" s="484" customFormat="1">
      <c r="A26" s="482" t="s">
        <v>571</v>
      </c>
      <c r="B26" s="836">
        <f t="shared" ca="1" si="2"/>
        <v>1.6091308901218457</v>
      </c>
      <c r="C26" s="483"/>
      <c r="D26" s="483">
        <f t="shared" si="4"/>
        <v>3.8734369242997295</v>
      </c>
      <c r="E26" s="483">
        <f t="shared" si="5"/>
        <v>27.949500294046093</v>
      </c>
      <c r="F26" s="483"/>
      <c r="G26" s="483">
        <f t="shared" si="7"/>
        <v>10308.091567135605</v>
      </c>
      <c r="H26" s="483">
        <f t="shared" si="8"/>
        <v>1810.8581968720125</v>
      </c>
      <c r="I26" s="483"/>
      <c r="J26" s="483"/>
      <c r="K26" s="483"/>
      <c r="L26" s="483"/>
      <c r="M26" s="483">
        <f t="shared" si="13"/>
        <v>0</v>
      </c>
      <c r="N26" s="483"/>
      <c r="O26" s="483"/>
      <c r="P26" s="494"/>
      <c r="Q26" s="482">
        <f t="shared" ca="1" si="17"/>
        <v>12152.381832116085</v>
      </c>
    </row>
    <row r="27" spans="1:17">
      <c r="A27" s="478" t="s">
        <v>561</v>
      </c>
      <c r="B27" s="479">
        <f t="shared" ca="1" si="2"/>
        <v>151.89431900482762</v>
      </c>
      <c r="C27" s="479"/>
      <c r="D27" s="483">
        <f t="shared" si="4"/>
        <v>0</v>
      </c>
      <c r="E27" s="479"/>
      <c r="F27" s="479"/>
      <c r="G27" s="479">
        <f t="shared" si="7"/>
        <v>365.62492960415761</v>
      </c>
      <c r="H27" s="479"/>
      <c r="I27" s="479"/>
      <c r="J27" s="479"/>
      <c r="K27" s="479"/>
      <c r="L27" s="479"/>
      <c r="M27" s="479">
        <f t="shared" si="13"/>
        <v>0</v>
      </c>
      <c r="N27" s="479"/>
      <c r="O27" s="479"/>
      <c r="P27" s="480"/>
      <c r="Q27" s="478">
        <f t="shared" ca="1" si="17"/>
        <v>517.51924860898521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9668.3940621667589</v>
      </c>
      <c r="C31" s="489">
        <f t="shared" ca="1" si="18"/>
        <v>32725.450210084044</v>
      </c>
      <c r="D31" s="489">
        <f t="shared" ca="1" si="18"/>
        <v>17462.918353380301</v>
      </c>
      <c r="E31" s="489">
        <f t="shared" si="18"/>
        <v>410.24966520359413</v>
      </c>
      <c r="F31" s="489">
        <f t="shared" ca="1" si="18"/>
        <v>1156.3190756924078</v>
      </c>
      <c r="G31" s="489">
        <f t="shared" si="18"/>
        <v>10673.716496739762</v>
      </c>
      <c r="H31" s="489">
        <f t="shared" si="18"/>
        <v>1810.8581968720125</v>
      </c>
      <c r="I31" s="489">
        <f t="shared" si="18"/>
        <v>0</v>
      </c>
      <c r="J31" s="489">
        <f t="shared" si="18"/>
        <v>145.30218028857084</v>
      </c>
      <c r="K31" s="489">
        <f t="shared" si="18"/>
        <v>0</v>
      </c>
      <c r="L31" s="489">
        <f t="shared" ca="1" si="18"/>
        <v>0</v>
      </c>
      <c r="M31" s="489">
        <f t="shared" si="18"/>
        <v>0</v>
      </c>
      <c r="N31" s="489">
        <f t="shared" ca="1" si="18"/>
        <v>0</v>
      </c>
      <c r="O31" s="489">
        <f t="shared" si="18"/>
        <v>0</v>
      </c>
      <c r="P31" s="490">
        <f t="shared" si="18"/>
        <v>0</v>
      </c>
      <c r="Q31" s="490">
        <f t="shared" ca="1" si="18"/>
        <v>74053.208240427455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0.21058558195874288</v>
      </c>
      <c r="C17" s="529">
        <f ca="1">'EF ele_warmte'!B22</f>
        <v>0.21503022675658084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0.21058558195874288</v>
      </c>
      <c r="C17" s="529">
        <f ca="1">'EF ele_warmte'!B22</f>
        <v>0.21503022675658084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0.21058558195874288</v>
      </c>
      <c r="C29" s="530">
        <f ca="1">'EF ele_warmte'!B22</f>
        <v>0.21503022675658084</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2019-01-01T21:29:38Z</dcterms:modified>
</cp:coreProperties>
</file>