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L6" i="17" s="1"/>
  <c r="L5" s="1"/>
  <c r="S60" i="18"/>
  <c r="F6" i="17" s="1"/>
  <c r="R60" i="18"/>
  <c r="Q60"/>
  <c r="P60"/>
  <c r="D6" i="17" s="1"/>
  <c r="D8" s="1"/>
  <c r="O60" i="18"/>
  <c r="N60"/>
  <c r="M60"/>
  <c r="W59"/>
  <c r="V59"/>
  <c r="U59"/>
  <c r="T59"/>
  <c r="S59"/>
  <c r="R59"/>
  <c r="Q59"/>
  <c r="P59"/>
  <c r="D13" i="15" s="1"/>
  <c r="O59" i="18"/>
  <c r="C13" i="15" s="1"/>
  <c r="N59" i="18"/>
  <c r="B13" i="15" s="1"/>
  <c r="M59" i="18"/>
  <c r="W58"/>
  <c r="V58"/>
  <c r="U58"/>
  <c r="T58"/>
  <c r="L16" i="16" s="1"/>
  <c r="L18" s="1"/>
  <c r="S58" i="1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J15" i="16"/>
  <c r="B13"/>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I20" i="15"/>
  <c r="J36" i="14" s="1"/>
  <c r="J41" s="1"/>
  <c r="J53" s="1"/>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I7" i="18" l="1"/>
  <c r="I9" s="1"/>
  <c r="G14" i="22"/>
  <c r="G9" i="48" s="1"/>
  <c r="I14"/>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J67" i="14" l="1"/>
  <c r="N20"/>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8"/>
  <c r="Q4"/>
  <c r="N22"/>
  <c r="R11" i="14"/>
  <c r="J21" i="48"/>
  <c r="C20" i="16" l="1"/>
  <c r="C22" s="1"/>
  <c r="D39" i="14" s="1"/>
  <c r="C18" i="15"/>
  <c r="C20" s="1"/>
  <c r="D36" i="14" s="1"/>
  <c r="C10" i="17"/>
  <c r="C12" s="1"/>
  <c r="D48" i="14" s="1"/>
  <c r="C56" i="22"/>
  <c r="C58" s="1"/>
  <c r="D44" i="14" s="1"/>
  <c r="D46" s="1"/>
  <c r="C17" i="49"/>
  <c r="C29" i="20"/>
  <c r="C10" i="13"/>
  <c r="C16" i="48" s="1"/>
  <c r="C16" i="22"/>
  <c r="C17" i="19"/>
  <c r="C19" s="1"/>
  <c r="D35" i="14" s="1"/>
  <c r="O13"/>
  <c r="O15" s="1"/>
  <c r="K13"/>
  <c r="K15" s="1"/>
  <c r="K23" s="1"/>
  <c r="E8" i="48"/>
  <c r="E25" s="1"/>
  <c r="E31" s="1"/>
  <c r="F22" i="16"/>
  <c r="G39" i="14" s="1"/>
  <c r="G41" s="1"/>
  <c r="N22" i="16"/>
  <c r="O39" i="14" s="1"/>
  <c r="O41" s="1"/>
  <c r="N25" i="48"/>
  <c r="N14"/>
  <c r="N31"/>
  <c r="K41" i="14"/>
  <c r="K53" s="1"/>
  <c r="E14" i="48"/>
  <c r="H55" i="14"/>
  <c r="E55"/>
  <c r="C78"/>
  <c r="C81" s="1"/>
  <c r="J14" i="48"/>
  <c r="J31"/>
  <c r="Q8"/>
  <c r="Q14" s="1"/>
  <c r="R19" i="14"/>
  <c r="R20" s="1"/>
  <c r="H14" i="48"/>
  <c r="G31"/>
  <c r="H26"/>
  <c r="H31" s="1"/>
  <c r="F55" i="14"/>
  <c r="O53"/>
  <c r="G53"/>
  <c r="G55" s="1"/>
  <c r="O69" s="1"/>
  <c r="B9" i="6" s="1"/>
  <c r="B12" s="1"/>
  <c r="M53" i="14"/>
  <c r="M55" s="1"/>
  <c r="C12" i="13"/>
  <c r="D37" i="14" s="1"/>
  <c r="C24" i="48"/>
  <c r="C28"/>
  <c r="C22"/>
  <c r="C25"/>
  <c r="C21"/>
  <c r="R13" i="14"/>
  <c r="R15" s="1"/>
  <c r="F25" i="48"/>
  <c r="F31" s="1"/>
  <c r="F14"/>
  <c r="K55" i="14" l="1"/>
  <c r="D4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<sst xmlns="http://schemas.openxmlformats.org/spreadsheetml/2006/main" count="2245" uniqueCount="914">
  <si>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</si>
  <si>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</si>
  <si>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</si>
  <si>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</si>
  <si>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</si>
  <si>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</si>
  <si>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</si>
  <si>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</si>
  <si>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</si>
  <si>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</si>
  <si>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</si>
  <si>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</si>
  <si>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</si>
  <si>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</si>
  <si>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</si>
  <si>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</si>
  <si>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</si>
  <si>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</si>
  <si>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</si>
  <si>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</si>
  <si>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</si>
  <si>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</si>
  <si>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</si>
  <si>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</si>
  <si>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</si>
  <si>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</si>
  <si>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</si>
  <si>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</si>
  <si>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</si>
  <si>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</si>
  <si>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</si>
  <si>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</si>
  <si>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</si>
  <si>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</si>
  <si>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</si>
  <si>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</si>
  <si>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</si>
  <si>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</si>
  <si>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</si>
  <si>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</si>
  <si>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</si>
  <si>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</si>
  <si>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</si>
  <si>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</si>
  <si>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</si>
  <si>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</si>
  <si>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</si>
  <si>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</si>
  <si>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</si>
  <si>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</si>
  <si>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</si>
  <si>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</si>
  <si>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</si>
  <si>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</si>
  <si>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</si>
  <si>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</si>
  <si>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</si>
  <si>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</si>
  <si>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</si>
  <si>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</si>
  <si>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</si>
  <si>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</si>
  <si>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</si>
  <si>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</si>
  <si>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</si>
  <si>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</si>
  <si>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</si>
  <si>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</si>
  <si>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</si>
  <si>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</si>
  <si>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</si>
  <si>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</si>
  <si>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</si>
  <si>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</si>
  <si>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</si>
  <si>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</si>
  <si>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</si>
  <si>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</si>
  <si>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</si>
  <si>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</si>
  <si>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</si>
  <si>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</si>
  <si>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</si>
  <si>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</si>
  <si>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</si>
  <si>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</si>
  <si>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</si>
  <si>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</si>
  <si>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</si>
  <si>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</si>
  <si>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</si>
  <si>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</si>
  <si>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</si>
  <si>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</si>
  <si>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</si>
  <si>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</si>
  <si>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</si>
  <si>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</si>
  <si>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</si>
  <si>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</si>
  <si>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</si>
  <si>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</si>
  <si>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</si>
  <si>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</si>
  <si>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</si>
  <si>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</si>
  <si>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</si>
  <si>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</si>
  <si>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</si>
  <si>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</si>
  <si>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</si>
  <si>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</si>
  <si>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</si>
  <si>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</si>
  <si>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</si>
  <si>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</si>
  <si>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</si>
  <si>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</si>
  <si>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</si>
  <si>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</si>
  <si>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</si>
  <si>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</si>
  <si>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</si>
  <si>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</si>
  <si>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</si>
  <si>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</si>
  <si>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</si>
  <si>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</si>
  <si>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</si>
  <si>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</si>
  <si>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</si>
  <si>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</si>
  <si>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</si>
  <si>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</si>
  <si>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</si>
  <si>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</si>
  <si>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</si>
  <si>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</si>
  <si>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</si>
  <si>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</si>
  <si>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</si>
  <si>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</si>
  <si>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</si>
  <si>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</si>
  <si>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</si>
  <si>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</si>
  <si>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</si>
  <si>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</si>
  <si>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</si>
  <si>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</si>
  <si>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</si>
  <si>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</si>
  <si>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</si>
  <si>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</si>
  <si>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</si>
  <si>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</si>
  <si>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</si>
  <si>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</si>
  <si>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</si>
  <si>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</si>
  <si>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</si>
  <si>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</si>
  <si>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</si>
  <si>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</si>
  <si>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</si>
  <si>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</si>
  <si>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</si>
  <si>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</si>
  <si>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</si>
  <si>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</si>
  <si>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</si>
  <si>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</si>
  <si>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</si>
  <si>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</si>
  <si>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</si>
  <si>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</si>
  <si>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</si>
  <si>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</si>
  <si>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</si>
  <si>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</si>
  <si>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</si>
  <si>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</si>
  <si>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</si>
  <si>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</si>
  <si>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</si>
  <si>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</si>
  <si>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</si>
  <si>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</si>
  <si>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</si>
  <si>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</si>
  <si>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</si>
  <si>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</si>
  <si>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</si>
  <si>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</si>
  <si>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</si>
  <si>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</si>
  <si>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</si>
  <si>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</si>
  <si>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</si>
  <si>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</si>
  <si>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</si>
  <si>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</si>
  <si>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</si>
  <si>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</si>
  <si>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</si>
  <si>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</si>
  <si>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</si>
  <si>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</si>
  <si>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</si>
  <si>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</si>
  <si>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</si>
  <si>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</si>
  <si>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</si>
  <si>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</si>
  <si>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</si>
  <si>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</si>
  <si>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</si>
  <si>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</si>
  <si>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</si>
  <si>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</si>
  <si>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</si>
  <si>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</si>
  <si>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</si>
  <si>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</si>
  <si>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</si>
  <si>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</si>
  <si>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</si>
  <si>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</si>
  <si>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</si>
  <si>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</si>
  <si>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</si>
  <si>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</si>
  <si>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</si>
  <si>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</si>
  <si>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</si>
  <si>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</si>
  <si>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</si>
  <si>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</si>
  <si>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</si>
  <si>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</si>
  <si>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</si>
  <si>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</si>
  <si>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</si>
  <si>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</si>
  <si>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</si>
  <si>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</si>
  <si>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</si>
  <si>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</si>
  <si>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</si>
  <si>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</si>
  <si>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</si>
  <si>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</si>
  <si>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</si>
  <si>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</si>
  <si>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</si>
  <si>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</si>
  <si>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</si>
  <si>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</si>
  <si>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</si>
  <si>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</si>
  <si>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</si>
  <si>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</si>
  <si>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</si>
  <si>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</si>
  <si>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</si>
  <si>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</si>
  <si>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</si>
  <si>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</si>
  <si>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</si>
  <si>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</si>
  <si>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</si>
  <si>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</si>
  <si>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</si>
  <si>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</si>
  <si>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</si>
  <si>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</si>
  <si>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</si>
  <si>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</si>
  <si>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</si>
  <si>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</si>
  <si>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</si>
  <si>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</si>
  <si>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</si>
  <si>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</si>
  <si>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</si>
  <si>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</si>
  <si>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</si>
  <si>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</si>
  <si>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</si>
  <si>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</si>
  <si>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</si>
  <si>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</si>
  <si>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</si>
  <si>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</si>
  <si>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</si>
  <si>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</si>
  <si>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</si>
  <si>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</si>
  <si>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</si>
  <si>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</si>
  <si>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</si>
  <si>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</si>
  <si>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</si>
  <si>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</si>
  <si>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</si>
  <si>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</si>
  <si>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</si>
  <si>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</si>
  <si>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</si>
  <si>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</si>
  <si>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</si>
  <si>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</si>
  <si>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</si>
  <si>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</si>
  <si>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</si>
  <si>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</si>
  <si>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</si>
  <si>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</si>
  <si>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</si>
  <si>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</si>
  <si>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</si>
  <si>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</si>
  <si>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</si>
  <si>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</si>
  <si>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</si>
  <si>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</si>
  <si>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</si>
  <si>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</si>
  <si>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</si>
  <si>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</si>
  <si>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</si>
  <si>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</si>
  <si>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</si>
  <si>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</si>
  <si>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</si>
  <si>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</si>
  <si>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</si>
  <si>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</si>
  <si>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</si>
  <si>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</si>
  <si>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</si>
  <si>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</si>
  <si>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</si>
  <si>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</si>
  <si>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</si>
  <si>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</si>
  <si>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</si>
  <si>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</si>
  <si>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</si>
  <si>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</si>
  <si>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</si>
  <si>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</si>
  <si>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</si>
  <si>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</si>
  <si>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</si>
  <si>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</si>
  <si>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</si>
  <si>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</si>
  <si>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</si>
  <si>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</si>
  <si>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</si>
  <si>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</si>
  <si>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</si>
  <si>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</si>
  <si>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</si>
  <si>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</si>
  <si>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</si>
  <si>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</si>
  <si>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</si>
  <si>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</si>
  <si>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</si>
  <si>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</si>
  <si>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</si>
  <si>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</si>
  <si>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</si>
  <si>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</si>
  <si>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</si>
  <si>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</si>
  <si>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</si>
  <si>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</si>
  <si>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</si>
  <si>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</si>
  <si>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</si>
  <si>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</si>
  <si>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</si>
  <si>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</si>
  <si>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</si>
  <si>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</si>
  <si>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</si>
  <si>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</si>
  <si>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</si>
  <si>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</si>
  <si>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</si>
  <si>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</si>
  <si>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</si>
  <si>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</si>
  <si>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</si>
  <si>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</si>
  <si>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</si>
  <si>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</si>
  <si>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</si>
  <si>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</si>
  <si>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</si>
  <si>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</si>
  <si>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</si>
  <si>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</si>
  <si>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</si>
  <si>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</si>
  <si>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</si>
  <si>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</si>
  <si>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</si>
  <si>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</si>
  <si>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</si>
  <si>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</si>
  <si>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</si>
  <si>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</si>
  <si>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</si>
  <si>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</si>
  <si>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</si>
  <si>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</si>
  <si>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</si>
  <si>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</si>
  <si>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</si>
  <si>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</si>
  <si>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</si>
  <si>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</si>
  <si>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</si>
  <si>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</si>
  <si>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</si>
  <si>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</si>
  <si>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</si>
  <si>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</si>
  <si>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</si>
  <si>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</si>
  <si>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</si>
  <si>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</si>
  <si>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</si>
  <si>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</si>
  <si>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</si>
  <si>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</si>
  <si>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</si>
  <si>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</si>
  <si>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</si>
  <si>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</si>
  <si>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</si>
  <si>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</si>
  <si>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</si>
  <si>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</si>
  <si>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</si>
  <si>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</si>
  <si>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</si>
  <si>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</si>
  <si>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</si>
  <si>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</si>
  <si>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</si>
  <si>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</si>
  <si>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</si>
  <si>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</si>
  <si>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</si>
  <si>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</si>
  <si>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</si>
  <si>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</si>
  <si>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</si>
  <si>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</si>
  <si>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</si>
  <si>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</si>
  <si>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</si>
  <si>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</si>
  <si>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</si>
  <si>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</si>
  <si>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</si>
  <si>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</si>
  <si>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</si>
  <si>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</si>
  <si>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</si>
  <si>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</si>
  <si>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</si>
  <si>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</si>
  <si>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</si>
  <si>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</si>
  <si>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</si>
  <si>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</si>
  <si>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</si>
  <si>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</si>
  <si>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</si>
  <si>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</si>
  <si>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</si>
  <si>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</si>
  <si>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</si>
  <si>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</si>
  <si>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</si>
  <si>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</si>
  <si>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</si>
  <si>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</si>
  <si>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</si>
  <si>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</si>
  <si>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</si>
  <si>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</si>
  <si>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</si>
  <si>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</si>
  <si>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</si>
  <si>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</si>
  <si>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</si>
  <si>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</si>
  <si>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</si>
  <si>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</si>
  <si>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</si>
  <si>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</si>
  <si>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</si>
  <si>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</si>
  <si>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</si>
  <si>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</si>
  <si>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</si>
  <si>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</si>
  <si>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</si>
  <si>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</si>
  <si>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</si>
  <si>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</si>
  <si>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</si>
  <si>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</si>
  <si>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</si>
  <si>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</si>
  <si>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</si>
  <si>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</si>
  <si>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</si>
  <si>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</si>
  <si>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</si>
  <si>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</si>
  <si>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</si>
  <si>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</si>
  <si>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</si>
  <si>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</si>
  <si>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</si>
  <si>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</si>
  <si>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</si>
  <si>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</si>
  <si>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</si>
  <si>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</si>
  <si>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</si>
  <si>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</si>
  <si>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</si>
  <si>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</si>
  <si>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</si>
  <si>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</si>
  <si>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</si>
  <si>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</si>
  <si>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</si>
  <si>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</si>
  <si>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</si>
  <si>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</si>
  <si>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</si>
  <si>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</si>
  <si>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</si>
  <si>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</si>
  <si>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</si>
  <si>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</si>
  <si>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</si>
  <si>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</si>
  <si>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</si>
  <si>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</si>
  <si>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</si>
  <si>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</si>
  <si>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</si>
  <si>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</si>
  <si>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</si>
  <si>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</si>
  <si>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</si>
  <si>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</si>
  <si>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</si>
  <si>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</si>
  <si>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</si>
  <si>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</si>
  <si>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</si>
  <si>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</si>
  <si>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</si>
  <si>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</si>
  <si>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</si>
  <si>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</si>
  <si>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</si>
  <si>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</si>
  <si>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</si>
  <si>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</si>
  <si>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</si>
  <si>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</si>
  <si>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</si>
  <si>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</si>
  <si>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</si>
  <si>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</si>
  <si>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</si>
  <si>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</si>
  <si>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</si>
  <si>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</si>
  <si>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</si>
  <si>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</si>
  <si>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</si>
  <si>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</si>
  <si>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</si>
  <si>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</si>
  <si>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</si>
  <si>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</si>
  <si>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</si>
  <si>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</si>
  <si>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</si>
  <si>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</si>
  <si>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</si>
  <si>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</si>
  <si>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</si>
  <si>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</si>
  <si>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</si>
  <si>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</si>
  <si>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</si>
  <si>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</si>
  <si>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</si>
  <si>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</si>
  <si>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</si>
  <si>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</si>
  <si>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</si>
  <si>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</si>
  <si>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</si>
  <si>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</si>
  <si>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</si>
  <si>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</si>
  <si>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</si>
  <si>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</si>
  <si>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</si>
  <si>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</si>
  <si>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</si>
  <si>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</si>
  <si>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</si>
  <si>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</si>
  <si>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</si>
  <si>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</si>
  <si>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</si>
  <si>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</si>
  <si>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</si>
  <si>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</si>
  <si>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</si>
  <si>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</si>
  <si>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</si>
  <si>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</si>
  <si>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</si>
  <si>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</si>
  <si>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</si>
  <si>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</si>
  <si>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</si>
  <si>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</si>
  <si>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</si>
  <si>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</si>
  <si>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</si>
  <si>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</si>
  <si>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</si>
  <si>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</si>
  <si>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</si>
  <si>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</si>
  <si>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</si>
  <si>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</si>
  <si>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</si>
  <si>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</si>
  <si>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</si>
  <si>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</si>
  <si>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</si>
  <si>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</si>
  <si>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</si>
  <si>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</si>
  <si>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</si>
  <si>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</si>
  <si>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</si>
  <si>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</si>
  <si>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</si>
  <si>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</si>
  <si>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</si>
  <si>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</si>
  <si>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</si>
  <si>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</si>
  <si>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</si>
  <si>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</si>
  <si>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</si>
  <si>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</si>
  <si>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</si>
  <si>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</si>
  <si>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</si>
  <si>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</si>
  <si>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</si>
  <si>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</si>
  <si>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</si>
  <si>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</si>
  <si>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</si>
  <si>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</si>
  <si>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</si>
  <si>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</si>
  <si>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</si>
  <si>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</si>
  <si>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</si>
  <si>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</si>
  <si>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</si>
  <si>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</si>
  <si>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</si>
  <si>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</si>
  <si>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</si>
  <si>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</si>
  <si>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</si>
  <si>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</si>
  <si>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</si>
  <si>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</si>
  <si>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</si>
  <si>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</si>
  <si>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</si>
  <si>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</si>
  <si>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</si>
  <si>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</si>
  <si>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</si>
  <si>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</si>
  <si>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</si>
  <si>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</si>
  <si>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</si>
  <si>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</si>
  <si>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</si>
  <si>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</si>
  <si>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</si>
  <si>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</si>
  <si>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</si>
  <si>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</si>
  <si>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</si>
  <si>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</si>
  <si>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</si>
  <si>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</si>
  <si>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</si>
  <si>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</si>
  <si>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</si>
  <si>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</si>
  <si>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</si>
  <si>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</si>
  <si>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</si>
  <si>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</si>
  <si>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</si>
  <si>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</si>
  <si>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</si>
  <si>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</si>
  <si>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</si>
  <si>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</si>
  <si>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</si>
  <si>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</si>
  <si>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</si>
  <si>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</si>
  <si>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</si>
  <si>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</si>
  <si>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</si>
  <si>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</si>
  <si>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</si>
  <si>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</si>
  <si>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</si>
  <si>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</si>
  <si>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</si>
  <si>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</si>
  <si>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</si>
  <si>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</si>
  <si>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</si>
  <si>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</si>
  <si>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</si>
  <si>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</si>
  <si>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</si>
  <si>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</si>
  <si>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</si>
  <si>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</si>
  <si>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</si>
  <si>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</si>
  <si>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</si>
  <si>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</si>
  <si>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</si>
  <si>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</si>
  <si>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</si>
  <si>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</si>
  <si>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</si>
  <si>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</si>
  <si>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</si>
  <si>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</si>
  <si>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</si>
  <si>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</si>
  <si>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</si>
  <si>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</si>
  <si>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</si>
  <si>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</si>
  <si>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</si>
  <si>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</si>
  <si>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</si>
  <si>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</si>
  <si>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</si>
  <si>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</si>
  <si>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</si>
  <si>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</si>
  <si>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</si>
  <si>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</si>
  <si>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</si>
  <si>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</si>
  <si>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</si>
  <si>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</si>
  <si>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</si>
  <si>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</si>
  <si>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</si>
  <si>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</si>
  <si>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</si>
  <si>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</si>
  <si>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</si>
  <si>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</si>
  <si>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</si>
  <si>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</si>
  <si>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</si>
  <si>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</si>
  <si>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</si>
  <si>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</si>
  <si>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</si>
  <si>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</si>
  <si>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</si>
  <si>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</si>
  <si>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</si>
  <si>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</si>
  <si>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</si>
  <si>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</si>
  <si>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</si>
  <si>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</si>
  <si>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</si>
  <si>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</si>
  <si>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</si>
  <si>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</si>
  <si>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</si>
  <si>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</si>
  <si>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</si>
  <si>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</si>
  <si>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</si>
  <si>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</si>
  <si>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</si>
  <si>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</si>
  <si>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</si>
  <si>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</si>
  <si>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</si>
  <si>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</si>
  <si>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</si>
  <si>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</si>
  <si>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</si>
  <si>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</si>
  <si>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</si>
  <si>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</si>
  <si>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</si>
  <si>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</si>
  <si>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</si>
  <si>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</si>
  <si>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</si>
  <si>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</si>
  <si>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</si>
  <si>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</si>
  <si>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</si>
  <si>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</si>
  <si>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</si>
  <si>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</si>
  <si>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</si>
  <si>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</si>
  <si>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</si>
  <si>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</si>
  <si>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</si>
  <si>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</si>
  <si>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</si>
  <si>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</si>
  <si>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</si>
  <si>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11002</t>
  </si>
  <si>
    <t>ANTWERPEN</t>
  </si>
  <si>
    <t>Paarden&amp;pony's 200 - 600 kg</t>
  </si>
  <si>
    <t>Paarden&amp;pony's &lt; 200 kg</t>
  </si>
  <si>
    <t>referentietaak LNE (2017); Jaarverslag De Lijn (2014)</t>
  </si>
  <si>
    <t>op basis van VEA (maart 2018) en Inventaris Hernieuwbare Energiebronnen (juni 2018)</t>
  </si>
  <si>
    <t>VEA (maart 2016)</t>
  </si>
  <si>
    <t>VEA (juni 2018)</t>
  </si>
  <si>
    <t>Sint-Vincentius Ziekenhuis VZW</t>
  </si>
  <si>
    <t>Sint-Vincentiusstraat 20, 2018 Antwerpen</t>
  </si>
  <si>
    <t>WKK-0087 Sint-Vincentius</t>
  </si>
  <si>
    <t>interne verbrandingsmotor</t>
  </si>
  <si>
    <t>WKK interne verbrandinsgmotor (gas)</t>
  </si>
  <si>
    <t>IMEA</t>
  </si>
  <si>
    <t>AAK Belgium nv</t>
  </si>
  <si>
    <t>Borrewaterstraat 182 , 2170 Merksem</t>
  </si>
  <si>
    <t>WKK-0152 AAK Belgium</t>
  </si>
  <si>
    <t>Ziekenhuisnetwerk Antwerpen vzw</t>
  </si>
  <si>
    <t>Lindendreef 1 , 2020 Antwerpen</t>
  </si>
  <si>
    <t>WKK-0299 ZNA Middelheim</t>
  </si>
  <si>
    <t>AZ Monica Antwerpen</t>
  </si>
  <si>
    <t>Harmoniestraat 68 , 2018 Antwerpen</t>
  </si>
  <si>
    <t>WKK-0332 AZ Monica Antwerpen</t>
  </si>
  <si>
    <t>Stad Antwerpen</t>
  </si>
  <si>
    <t>Grote Markt 1 , 2000 Antwerpen</t>
  </si>
  <si>
    <t>WKK-0449 Zwembad Merksem</t>
  </si>
  <si>
    <t>Van Heybeeckstraat 9 , 2170 Merksem</t>
  </si>
  <si>
    <t>WKK-0448 Zwembad Ieperman</t>
  </si>
  <si>
    <t>Doornstraat 3 b, 2610 Wilrijk</t>
  </si>
  <si>
    <t>WKK-0447 Zwembad Wezenberg</t>
  </si>
  <si>
    <t>Desguinlei 17-19 , 2018 Antwerpen</t>
  </si>
  <si>
    <t>WKK-0549 Zwembad &amp; Sporthal Sorghvliedt</t>
  </si>
  <si>
    <t>Krijgsbaan 20 , 2660 Hoboken</t>
  </si>
  <si>
    <t>IVEG</t>
  </si>
  <si>
    <t>WKK-0630 Zwembad Plantin &amp; Moretus</t>
  </si>
  <si>
    <t>Plantin en Moretuslei 343 , 2140 Borgerhout</t>
  </si>
  <si>
    <t>Cuypers &amp; Q Architecten bvba</t>
  </si>
  <si>
    <t>Bogaardestraat 10-12 , 2000 Antwerpen</t>
  </si>
  <si>
    <t>WKK-0595 Cuypers &amp; Q Architecten</t>
  </si>
  <si>
    <t>Bogaardestraat 10 , 2000 Antwerpen</t>
  </si>
  <si>
    <t>Aquafin NV</t>
  </si>
  <si>
    <t>Dijkstraat 8 , 2630 Aartselaar</t>
  </si>
  <si>
    <t>BGS-0034 RWZI Antwerpen-Zuid (GSC rest)</t>
  </si>
  <si>
    <t>biogas - RWZI</t>
  </si>
  <si>
    <t>niet WKK interne verbrandingsmotor (gas)</t>
  </si>
  <si>
    <t>Kielsbroek 5 , 2020 Antwerpen</t>
  </si>
  <si>
    <t>Hooge Maey</t>
  </si>
  <si>
    <t>Moerstraat 99 Haven 550, 2030 Antwerpen</t>
  </si>
  <si>
    <t>BGS-0033 Hooge Maey Stort</t>
  </si>
  <si>
    <t>biogas - stortgas</t>
  </si>
  <si>
    <t>Moerstraat 55 Haven 550, 2030 Antwerpen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</si>
</sst>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2891339.2766075619</c:v>
                </c:pt>
                <c:pt idx="1">
                  <c:v>2797589.5477863266</c:v>
                </c:pt>
                <c:pt idx="2">
                  <c:v>29431.967000000001</c:v>
                </c:pt>
                <c:pt idx="3">
                  <c:v>222528.14672802982</c:v>
                </c:pt>
                <c:pt idx="4">
                  <c:v>1005722.8121760368</c:v>
                </c:pt>
                <c:pt idx="5">
                  <c:v>2932057.3279139712</c:v>
                </c:pt>
                <c:pt idx="6">
                  <c:v>84371.40970303287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138752"/>
        <c:axId val="184156928"/>
      </c:barChart>
      <c:catAx>
        <c:axId val="184138752"/>
        <c:scaling>
          <c:orientation val="minMax"/>
        </c:scaling>
        <c:axPos val="b"/>
        <c:numFmt formatCode="General" sourceLinked="0"/>
        <c:tickLblPos val="nextTo"/>
        <c:crossAx val="184156928"/>
        <c:crosses val="autoZero"/>
        <c:auto val="1"/>
        <c:lblAlgn val="ctr"/>
        <c:lblOffset val="100"/>
      </c:catAx>
      <c:valAx>
        <c:axId val="184156928"/>
        <c:scaling>
          <c:orientation val="minMax"/>
        </c:scaling>
        <c:axPos val="l"/>
        <c:majorGridlines/>
        <c:numFmt formatCode="#,##0" sourceLinked="1"/>
        <c:tickLblPos val="nextTo"/>
        <c:crossAx val="184138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2891339.2766075619</c:v>
                </c:pt>
                <c:pt idx="1">
                  <c:v>2797589.5477863266</c:v>
                </c:pt>
                <c:pt idx="2">
                  <c:v>29431.967000000001</c:v>
                </c:pt>
                <c:pt idx="3">
                  <c:v>222528.14672802982</c:v>
                </c:pt>
                <c:pt idx="4">
                  <c:v>1005722.8121760368</c:v>
                </c:pt>
                <c:pt idx="5">
                  <c:v>2932057.3279139712</c:v>
                </c:pt>
                <c:pt idx="6">
                  <c:v>84371.40970303287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576942.55677214719</c:v>
                </c:pt>
                <c:pt idx="1">
                  <c:v>581214.20819280308</c:v>
                </c:pt>
                <c:pt idx="2">
                  <c:v>6098.8666662992091</c:v>
                </c:pt>
                <c:pt idx="3">
                  <c:v>49355.005869365348</c:v>
                </c:pt>
                <c:pt idx="4">
                  <c:v>207085.69691431252</c:v>
                </c:pt>
                <c:pt idx="5">
                  <c:v>735339.6140218355</c:v>
                </c:pt>
                <c:pt idx="6">
                  <c:v>19790.429489645852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665984"/>
        <c:axId val="184667520"/>
      </c:barChart>
      <c:catAx>
        <c:axId val="184665984"/>
        <c:scaling>
          <c:orientation val="minMax"/>
        </c:scaling>
        <c:axPos val="b"/>
        <c:numFmt formatCode="General" sourceLinked="0"/>
        <c:tickLblPos val="nextTo"/>
        <c:crossAx val="184667520"/>
        <c:crosses val="autoZero"/>
        <c:auto val="1"/>
        <c:lblAlgn val="ctr"/>
        <c:lblOffset val="100"/>
      </c:catAx>
      <c:valAx>
        <c:axId val="184667520"/>
        <c:scaling>
          <c:orientation val="minMax"/>
        </c:scaling>
        <c:axPos val="l"/>
        <c:majorGridlines/>
        <c:numFmt formatCode="#,##0" sourceLinked="1"/>
        <c:tickLblPos val="nextTo"/>
        <c:crossAx val="1846659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576942.55677214719</c:v>
                </c:pt>
                <c:pt idx="1">
                  <c:v>581214.20819280308</c:v>
                </c:pt>
                <c:pt idx="2">
                  <c:v>6098.8666662992091</c:v>
                </c:pt>
                <c:pt idx="3">
                  <c:v>49355.005869365348</c:v>
                </c:pt>
                <c:pt idx="4">
                  <c:v>207085.69691431252</c:v>
                </c:pt>
                <c:pt idx="5">
                  <c:v>735339.6140218355</c:v>
                </c:pt>
                <c:pt idx="6">
                  <c:v>19790.429489645852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11002</v>
      </c>
      <c r="B6" s="416"/>
      <c r="C6" s="417"/>
    </row>
    <row r="7" spans="1:7" s="414" customFormat="1" ht="15.75" customHeight="1">
      <c r="A7" s="418" t="str">
        <f>txtMunicipality</f>
        <v>ANTWERPEN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234742</v>
      </c>
      <c r="C9" s="342">
        <v>250060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1500</v>
      </c>
    </row>
    <row r="15" spans="1:6">
      <c r="A15" s="348" t="s">
        <v>184</v>
      </c>
      <c r="B15" s="334">
        <v>3</v>
      </c>
    </row>
    <row r="16" spans="1:6">
      <c r="A16" s="348" t="s">
        <v>6</v>
      </c>
      <c r="B16" s="334">
        <v>92</v>
      </c>
    </row>
    <row r="17" spans="1:6">
      <c r="A17" s="348" t="s">
        <v>7</v>
      </c>
      <c r="B17" s="334">
        <v>162</v>
      </c>
    </row>
    <row r="18" spans="1:6">
      <c r="A18" s="348" t="s">
        <v>8</v>
      </c>
      <c r="B18" s="334">
        <v>203</v>
      </c>
    </row>
    <row r="19" spans="1:6">
      <c r="A19" s="348" t="s">
        <v>9</v>
      </c>
      <c r="B19" s="334">
        <v>354</v>
      </c>
    </row>
    <row r="20" spans="1:6">
      <c r="A20" s="348" t="s">
        <v>10</v>
      </c>
      <c r="B20" s="334">
        <v>266</v>
      </c>
    </row>
    <row r="21" spans="1:6">
      <c r="A21" s="348" t="s">
        <v>11</v>
      </c>
      <c r="B21" s="334">
        <v>0</v>
      </c>
    </row>
    <row r="22" spans="1:6">
      <c r="A22" s="348" t="s">
        <v>12</v>
      </c>
      <c r="B22" s="334">
        <v>2</v>
      </c>
    </row>
    <row r="23" spans="1:6">
      <c r="A23" s="348" t="s">
        <v>13</v>
      </c>
      <c r="B23" s="334">
        <v>0</v>
      </c>
    </row>
    <row r="24" spans="1:6">
      <c r="A24" s="348" t="s">
        <v>14</v>
      </c>
      <c r="B24" s="334">
        <v>0</v>
      </c>
    </row>
    <row r="25" spans="1:6">
      <c r="A25" s="348" t="s">
        <v>15</v>
      </c>
      <c r="B25" s="334">
        <v>1</v>
      </c>
    </row>
    <row r="26" spans="1:6">
      <c r="A26" s="348" t="s">
        <v>16</v>
      </c>
      <c r="B26" s="334">
        <v>990</v>
      </c>
    </row>
    <row r="27" spans="1:6">
      <c r="A27" s="348" t="s">
        <v>17</v>
      </c>
      <c r="B27" s="334">
        <v>41</v>
      </c>
    </row>
    <row r="28" spans="1:6" s="356" customFormat="1">
      <c r="A28" s="355" t="s">
        <v>18</v>
      </c>
      <c r="B28" s="355">
        <v>64</v>
      </c>
    </row>
    <row r="29" spans="1:6">
      <c r="A29" s="355" t="s">
        <v>865</v>
      </c>
      <c r="B29" s="355">
        <v>126</v>
      </c>
      <c r="C29" s="356"/>
      <c r="D29" s="356"/>
      <c r="E29" s="356"/>
      <c r="F29" s="356"/>
    </row>
    <row r="30" spans="1:6">
      <c r="A30" s="341" t="s">
        <v>866</v>
      </c>
      <c r="B30" s="341">
        <v>38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3</v>
      </c>
      <c r="D35" s="334">
        <v>1038642</v>
      </c>
      <c r="E35" s="334">
        <v>17</v>
      </c>
      <c r="F35" s="334">
        <v>834078</v>
      </c>
    </row>
    <row r="36" spans="1:6">
      <c r="A36" s="348" t="s">
        <v>25</v>
      </c>
      <c r="B36" s="348" t="s">
        <v>27</v>
      </c>
      <c r="C36" s="334">
        <v>58</v>
      </c>
      <c r="D36" s="334">
        <v>17134676.485884901</v>
      </c>
      <c r="E36" s="334">
        <v>133</v>
      </c>
      <c r="F36" s="334">
        <v>12027386</v>
      </c>
    </row>
    <row r="37" spans="1:6">
      <c r="A37" s="348" t="s">
        <v>25</v>
      </c>
      <c r="B37" s="348" t="s">
        <v>28</v>
      </c>
      <c r="C37" s="334">
        <v>0</v>
      </c>
      <c r="D37" s="334">
        <v>0</v>
      </c>
      <c r="E37" s="334">
        <v>10</v>
      </c>
      <c r="F37" s="334">
        <v>20148699</v>
      </c>
    </row>
    <row r="38" spans="1:6">
      <c r="A38" s="348" t="s">
        <v>25</v>
      </c>
      <c r="B38" s="348" t="s">
        <v>29</v>
      </c>
      <c r="C38" s="334">
        <v>24</v>
      </c>
      <c r="D38" s="334">
        <v>197077416.756825</v>
      </c>
      <c r="E38" s="334">
        <v>23</v>
      </c>
      <c r="F38" s="334">
        <v>817063.4</v>
      </c>
    </row>
    <row r="39" spans="1:6">
      <c r="A39" s="348" t="s">
        <v>30</v>
      </c>
      <c r="B39" s="348" t="s">
        <v>31</v>
      </c>
      <c r="C39" s="334">
        <v>178728</v>
      </c>
      <c r="D39" s="334">
        <v>2145648529.35584</v>
      </c>
      <c r="E39" s="334">
        <v>235050</v>
      </c>
      <c r="F39" s="334">
        <v>659229213.39999998</v>
      </c>
    </row>
    <row r="40" spans="1:6">
      <c r="A40" s="348" t="s">
        <v>30</v>
      </c>
      <c r="B40" s="348" t="s">
        <v>29</v>
      </c>
      <c r="C40" s="334">
        <v>6</v>
      </c>
      <c r="D40" s="334">
        <v>517908.64200532401</v>
      </c>
      <c r="E40" s="334">
        <v>6</v>
      </c>
      <c r="F40" s="334">
        <v>132313.4</v>
      </c>
    </row>
    <row r="41" spans="1:6">
      <c r="A41" s="348" t="s">
        <v>32</v>
      </c>
      <c r="B41" s="348" t="s">
        <v>33</v>
      </c>
      <c r="C41" s="334">
        <v>1286</v>
      </c>
      <c r="D41" s="334">
        <v>37050961.893766999</v>
      </c>
      <c r="E41" s="334">
        <v>2711</v>
      </c>
      <c r="F41" s="334">
        <v>44758232</v>
      </c>
    </row>
    <row r="42" spans="1:6">
      <c r="A42" s="348" t="s">
        <v>32</v>
      </c>
      <c r="B42" s="348" t="s">
        <v>34</v>
      </c>
      <c r="C42" s="334">
        <v>9</v>
      </c>
      <c r="D42" s="334">
        <v>262277.23715696699</v>
      </c>
      <c r="E42" s="334">
        <v>29</v>
      </c>
      <c r="F42" s="334">
        <v>738995.5</v>
      </c>
    </row>
    <row r="43" spans="1:6">
      <c r="A43" s="348" t="s">
        <v>32</v>
      </c>
      <c r="B43" s="348" t="s">
        <v>35</v>
      </c>
      <c r="C43" s="334">
        <v>0</v>
      </c>
      <c r="D43" s="334">
        <v>0</v>
      </c>
      <c r="E43" s="334">
        <v>0</v>
      </c>
      <c r="F43" s="334">
        <v>0</v>
      </c>
    </row>
    <row r="44" spans="1:6">
      <c r="A44" s="348" t="s">
        <v>32</v>
      </c>
      <c r="B44" s="348" t="s">
        <v>36</v>
      </c>
      <c r="C44" s="334">
        <v>72</v>
      </c>
      <c r="D44" s="334">
        <v>4506197.0060724597</v>
      </c>
      <c r="E44" s="334">
        <v>341</v>
      </c>
      <c r="F44" s="334">
        <v>104634596</v>
      </c>
    </row>
    <row r="45" spans="1:6">
      <c r="A45" s="348" t="s">
        <v>32</v>
      </c>
      <c r="B45" s="348" t="s">
        <v>37</v>
      </c>
      <c r="C45" s="334">
        <v>0</v>
      </c>
      <c r="D45" s="334">
        <v>0</v>
      </c>
      <c r="E45" s="334">
        <v>27</v>
      </c>
      <c r="F45" s="334">
        <v>8714744.5999999996</v>
      </c>
    </row>
    <row r="46" spans="1:6">
      <c r="A46" s="348" t="s">
        <v>32</v>
      </c>
      <c r="B46" s="348" t="s">
        <v>38</v>
      </c>
      <c r="C46" s="334">
        <v>0</v>
      </c>
      <c r="D46" s="334">
        <v>0</v>
      </c>
      <c r="E46" s="334">
        <v>3</v>
      </c>
      <c r="F46" s="334">
        <v>10553.84</v>
      </c>
    </row>
    <row r="47" spans="1:6">
      <c r="A47" s="348" t="s">
        <v>32</v>
      </c>
      <c r="B47" s="348" t="s">
        <v>39</v>
      </c>
      <c r="C47" s="334">
        <v>74</v>
      </c>
      <c r="D47" s="334">
        <v>2136025.6154950899</v>
      </c>
      <c r="E47" s="334">
        <v>107</v>
      </c>
      <c r="F47" s="334">
        <v>4728776</v>
      </c>
    </row>
    <row r="48" spans="1:6">
      <c r="A48" s="348" t="s">
        <v>32</v>
      </c>
      <c r="B48" s="348" t="s">
        <v>29</v>
      </c>
      <c r="C48" s="334">
        <v>396</v>
      </c>
      <c r="D48" s="334">
        <v>240690160.65309799</v>
      </c>
      <c r="E48" s="334">
        <v>415</v>
      </c>
      <c r="F48" s="334">
        <v>55602804</v>
      </c>
    </row>
    <row r="49" spans="1:6">
      <c r="A49" s="348" t="s">
        <v>32</v>
      </c>
      <c r="B49" s="348" t="s">
        <v>40</v>
      </c>
      <c r="C49" s="334">
        <v>34</v>
      </c>
      <c r="D49" s="334">
        <v>1336660.6715534101</v>
      </c>
      <c r="E49" s="334">
        <v>81</v>
      </c>
      <c r="F49" s="334">
        <v>1800187</v>
      </c>
    </row>
    <row r="50" spans="1:6">
      <c r="A50" s="348" t="s">
        <v>32</v>
      </c>
      <c r="B50" s="348" t="s">
        <v>41</v>
      </c>
      <c r="C50" s="334">
        <v>227</v>
      </c>
      <c r="D50" s="334">
        <v>23216677.322298199</v>
      </c>
      <c r="E50" s="334">
        <v>329</v>
      </c>
      <c r="F50" s="334">
        <v>109716883</v>
      </c>
    </row>
    <row r="51" spans="1:6">
      <c r="A51" s="348" t="s">
        <v>42</v>
      </c>
      <c r="B51" s="348" t="s">
        <v>43</v>
      </c>
      <c r="C51" s="334">
        <v>80</v>
      </c>
      <c r="D51" s="334">
        <v>21641311.590090301</v>
      </c>
      <c r="E51" s="334">
        <v>150</v>
      </c>
      <c r="F51" s="334">
        <v>22392949</v>
      </c>
    </row>
    <row r="52" spans="1:6">
      <c r="A52" s="348" t="s">
        <v>42</v>
      </c>
      <c r="B52" s="348" t="s">
        <v>29</v>
      </c>
      <c r="C52" s="334">
        <v>27</v>
      </c>
      <c r="D52" s="334">
        <v>633113.12073767197</v>
      </c>
      <c r="E52" s="334">
        <v>41</v>
      </c>
      <c r="F52" s="334">
        <v>348255.3</v>
      </c>
    </row>
    <row r="53" spans="1:6">
      <c r="A53" s="348" t="s">
        <v>44</v>
      </c>
      <c r="B53" s="348" t="s">
        <v>45</v>
      </c>
      <c r="C53" s="334">
        <v>6576</v>
      </c>
      <c r="D53" s="334">
        <v>131152466.58969</v>
      </c>
      <c r="E53" s="334">
        <v>12050</v>
      </c>
      <c r="F53" s="334">
        <v>43043802</v>
      </c>
    </row>
    <row r="54" spans="1:6">
      <c r="A54" s="348" t="s">
        <v>46</v>
      </c>
      <c r="B54" s="348" t="s">
        <v>47</v>
      </c>
      <c r="C54" s="334">
        <v>0</v>
      </c>
      <c r="D54" s="334">
        <v>0</v>
      </c>
      <c r="E54" s="334">
        <v>72</v>
      </c>
      <c r="F54" s="334">
        <v>29431967</v>
      </c>
    </row>
    <row r="55" spans="1:6">
      <c r="A55" s="348" t="s">
        <v>46</v>
      </c>
      <c r="B55" s="348" t="s">
        <v>29</v>
      </c>
      <c r="C55" s="334">
        <v>0</v>
      </c>
      <c r="D55" s="334">
        <v>0</v>
      </c>
      <c r="E55" s="334">
        <v>0</v>
      </c>
      <c r="F55" s="334">
        <v>0</v>
      </c>
    </row>
    <row r="56" spans="1:6">
      <c r="A56" s="348" t="s">
        <v>48</v>
      </c>
      <c r="B56" s="348" t="s">
        <v>29</v>
      </c>
      <c r="C56" s="334">
        <v>374</v>
      </c>
      <c r="D56" s="334">
        <v>8421218</v>
      </c>
      <c r="E56" s="334">
        <v>632</v>
      </c>
      <c r="F56" s="334">
        <v>2989126</v>
      </c>
    </row>
    <row r="57" spans="1:6">
      <c r="A57" s="348" t="s">
        <v>49</v>
      </c>
      <c r="B57" s="348" t="s">
        <v>50</v>
      </c>
      <c r="C57" s="334">
        <v>1662</v>
      </c>
      <c r="D57" s="334">
        <v>85186212.819343001</v>
      </c>
      <c r="E57" s="334">
        <v>2578</v>
      </c>
      <c r="F57" s="334">
        <v>69330424.388140157</v>
      </c>
    </row>
    <row r="58" spans="1:6">
      <c r="A58" s="348" t="s">
        <v>49</v>
      </c>
      <c r="B58" s="348" t="s">
        <v>51</v>
      </c>
      <c r="C58" s="334">
        <v>970</v>
      </c>
      <c r="D58" s="334">
        <v>109850065.6021056</v>
      </c>
      <c r="E58" s="334">
        <v>1434</v>
      </c>
      <c r="F58" s="334">
        <v>59845712</v>
      </c>
    </row>
    <row r="59" spans="1:6">
      <c r="A59" s="348" t="s">
        <v>49</v>
      </c>
      <c r="B59" s="348" t="s">
        <v>52</v>
      </c>
      <c r="C59" s="334">
        <v>3784</v>
      </c>
      <c r="D59" s="334">
        <v>159330944.66297799</v>
      </c>
      <c r="E59" s="334">
        <v>7793</v>
      </c>
      <c r="F59" s="334">
        <v>242378340.34842911</v>
      </c>
    </row>
    <row r="60" spans="1:6">
      <c r="A60" s="348" t="s">
        <v>49</v>
      </c>
      <c r="B60" s="348" t="s">
        <v>53</v>
      </c>
      <c r="C60" s="334">
        <v>2428</v>
      </c>
      <c r="D60" s="334">
        <v>116796381.055858</v>
      </c>
      <c r="E60" s="334">
        <v>3070</v>
      </c>
      <c r="F60" s="334">
        <v>94757898</v>
      </c>
    </row>
    <row r="61" spans="1:6">
      <c r="A61" s="348" t="s">
        <v>49</v>
      </c>
      <c r="B61" s="348" t="s">
        <v>54</v>
      </c>
      <c r="C61" s="334">
        <v>8794</v>
      </c>
      <c r="D61" s="334">
        <v>772019354.91862404</v>
      </c>
      <c r="E61" s="334">
        <v>19703</v>
      </c>
      <c r="F61" s="334">
        <v>579822507.73883164</v>
      </c>
    </row>
    <row r="62" spans="1:6">
      <c r="A62" s="348" t="s">
        <v>49</v>
      </c>
      <c r="B62" s="348" t="s">
        <v>55</v>
      </c>
      <c r="C62" s="334">
        <v>787</v>
      </c>
      <c r="D62" s="334">
        <v>169841183.496663</v>
      </c>
      <c r="E62" s="334">
        <v>884</v>
      </c>
      <c r="F62" s="334">
        <v>56800761.899760194</v>
      </c>
    </row>
    <row r="63" spans="1:6">
      <c r="A63" s="348" t="s">
        <v>49</v>
      </c>
      <c r="B63" s="348" t="s">
        <v>29</v>
      </c>
      <c r="C63" s="334">
        <v>1138</v>
      </c>
      <c r="D63" s="334">
        <v>168285926.25113201</v>
      </c>
      <c r="E63" s="334">
        <v>1075</v>
      </c>
      <c r="F63" s="334">
        <v>69721033</v>
      </c>
    </row>
    <row r="64" spans="1:6">
      <c r="A64" s="348" t="s">
        <v>56</v>
      </c>
      <c r="B64" s="348" t="s">
        <v>57</v>
      </c>
      <c r="C64" s="334">
        <v>0</v>
      </c>
      <c r="D64" s="334">
        <v>0</v>
      </c>
      <c r="E64" s="334">
        <v>0</v>
      </c>
      <c r="F64" s="334">
        <v>0</v>
      </c>
    </row>
    <row r="65" spans="1:6">
      <c r="A65" s="348" t="s">
        <v>56</v>
      </c>
      <c r="B65" s="348" t="s">
        <v>29</v>
      </c>
      <c r="C65" s="334">
        <v>54</v>
      </c>
      <c r="D65" s="334">
        <v>16717850.368957501</v>
      </c>
      <c r="E65" s="334">
        <v>40</v>
      </c>
      <c r="F65" s="334">
        <v>583369.6</v>
      </c>
    </row>
    <row r="66" spans="1:6">
      <c r="A66" s="348" t="s">
        <v>56</v>
      </c>
      <c r="B66" s="348" t="s">
        <v>58</v>
      </c>
      <c r="C66" s="334">
        <v>11</v>
      </c>
      <c r="D66" s="334">
        <v>1278490.1169454199</v>
      </c>
      <c r="E66" s="334">
        <v>280</v>
      </c>
      <c r="F66" s="334">
        <v>16373370</v>
      </c>
    </row>
    <row r="67" spans="1:6">
      <c r="A67" s="355" t="s">
        <v>56</v>
      </c>
      <c r="B67" s="355" t="s">
        <v>59</v>
      </c>
      <c r="C67" s="334">
        <v>0</v>
      </c>
      <c r="D67" s="334">
        <v>0</v>
      </c>
      <c r="E67" s="334">
        <v>11</v>
      </c>
      <c r="F67" s="334">
        <v>3188874.9</v>
      </c>
    </row>
    <row r="68" spans="1:6">
      <c r="A68" s="341" t="s">
        <v>56</v>
      </c>
      <c r="B68" s="341" t="s">
        <v>60</v>
      </c>
      <c r="C68" s="334">
        <v>69</v>
      </c>
      <c r="D68" s="334">
        <v>9672882.4202160798</v>
      </c>
      <c r="E68" s="334">
        <v>242</v>
      </c>
      <c r="F68" s="334">
        <v>69191743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873073805</v>
      </c>
      <c r="E73" s="477">
        <v>854499489.19327724</v>
      </c>
    </row>
    <row r="74" spans="1:6">
      <c r="A74" s="348" t="s">
        <v>64</v>
      </c>
      <c r="B74" s="348" t="s">
        <v>714</v>
      </c>
      <c r="C74" s="1288" t="s">
        <v>716</v>
      </c>
      <c r="D74" s="477">
        <v>50833922.727516636</v>
      </c>
      <c r="E74" s="477">
        <v>50917983.072182335</v>
      </c>
    </row>
    <row r="75" spans="1:6">
      <c r="A75" s="348" t="s">
        <v>65</v>
      </c>
      <c r="B75" s="348" t="s">
        <v>713</v>
      </c>
      <c r="C75" s="1288" t="s">
        <v>717</v>
      </c>
      <c r="D75" s="477">
        <v>391623665</v>
      </c>
      <c r="E75" s="477">
        <v>382965229.39478666</v>
      </c>
    </row>
    <row r="76" spans="1:6">
      <c r="A76" s="348" t="s">
        <v>65</v>
      </c>
      <c r="B76" s="348" t="s">
        <v>714</v>
      </c>
      <c r="C76" s="1288" t="s">
        <v>718</v>
      </c>
      <c r="D76" s="477">
        <v>12169943.727516638</v>
      </c>
      <c r="E76" s="477">
        <v>12208507.554365799</v>
      </c>
    </row>
    <row r="77" spans="1:6">
      <c r="A77" s="348" t="s">
        <v>66</v>
      </c>
      <c r="B77" s="348" t="s">
        <v>713</v>
      </c>
      <c r="C77" s="1288" t="s">
        <v>719</v>
      </c>
      <c r="D77" s="477">
        <v>1603728555</v>
      </c>
      <c r="E77" s="477">
        <v>1754497767.3004313</v>
      </c>
    </row>
    <row r="78" spans="1:6">
      <c r="A78" s="341" t="s">
        <v>66</v>
      </c>
      <c r="B78" s="341" t="s">
        <v>714</v>
      </c>
      <c r="C78" s="341" t="s">
        <v>720</v>
      </c>
      <c r="D78" s="1284">
        <v>308303245</v>
      </c>
      <c r="E78" s="1284">
        <v>332518367.82161027</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13586476.544966724</v>
      </c>
      <c r="C83" s="477">
        <v>13432540.63130041</v>
      </c>
    </row>
    <row r="84" spans="1:6">
      <c r="A84" s="341" t="s">
        <v>337</v>
      </c>
      <c r="B84" s="1284">
        <v>9511591.6915882509</v>
      </c>
      <c r="C84" s="1284">
        <v>9684942.1892275959</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65610.176517411266</v>
      </c>
    </row>
    <row r="91" spans="1:6">
      <c r="A91" s="348" t="s">
        <v>68</v>
      </c>
      <c r="B91" s="334">
        <v>13015.745393087773</v>
      </c>
    </row>
    <row r="92" spans="1:6">
      <c r="A92" s="341" t="s">
        <v>69</v>
      </c>
      <c r="B92" s="342">
        <v>45368.665231950807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142544</v>
      </c>
    </row>
    <row r="98" spans="1:6">
      <c r="A98" s="348" t="s">
        <v>72</v>
      </c>
      <c r="B98" s="334">
        <v>436</v>
      </c>
    </row>
    <row r="99" spans="1:6">
      <c r="A99" s="348" t="s">
        <v>73</v>
      </c>
      <c r="B99" s="334">
        <v>504</v>
      </c>
    </row>
    <row r="100" spans="1:6">
      <c r="A100" s="348" t="s">
        <v>74</v>
      </c>
      <c r="B100" s="334">
        <v>12353</v>
      </c>
    </row>
    <row r="101" spans="1:6">
      <c r="A101" s="348" t="s">
        <v>75</v>
      </c>
      <c r="B101" s="334">
        <v>483</v>
      </c>
    </row>
    <row r="102" spans="1:6">
      <c r="A102" s="348" t="s">
        <v>76</v>
      </c>
      <c r="B102" s="334">
        <v>6918</v>
      </c>
    </row>
    <row r="103" spans="1:6">
      <c r="A103" s="348" t="s">
        <v>77</v>
      </c>
      <c r="B103" s="334">
        <v>1961</v>
      </c>
    </row>
    <row r="104" spans="1:6">
      <c r="A104" s="348" t="s">
        <v>78</v>
      </c>
      <c r="B104" s="334">
        <v>38687</v>
      </c>
    </row>
    <row r="105" spans="1:6">
      <c r="A105" s="341" t="s">
        <v>79</v>
      </c>
      <c r="B105" s="341">
        <v>225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1</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79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578</v>
      </c>
    </row>
    <row r="130" spans="1:6">
      <c r="A130" s="348" t="s">
        <v>295</v>
      </c>
      <c r="B130" s="334">
        <v>14</v>
      </c>
    </row>
    <row r="131" spans="1:6">
      <c r="A131" s="348" t="s">
        <v>296</v>
      </c>
      <c r="B131" s="334">
        <v>40</v>
      </c>
    </row>
    <row r="132" spans="1:6">
      <c r="A132" s="341" t="s">
        <v>297</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2292421.0689078253</v>
      </c>
      <c r="C3" s="43" t="s">
        <v>170</v>
      </c>
      <c r="D3" s="43"/>
      <c r="E3" s="154"/>
      <c r="F3" s="43"/>
      <c r="G3" s="43"/>
      <c r="H3" s="43"/>
      <c r="I3" s="43"/>
      <c r="J3" s="43"/>
      <c r="K3" s="96"/>
    </row>
    <row r="4" spans="1:11">
      <c r="A4" s="384" t="s">
        <v>171</v>
      </c>
      <c r="B4" s="49">
        <f>IF(ISERROR('SEAP template'!B69),0,'SEAP template'!B69)</f>
        <v>154581.27464244986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2570.9104411764706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0.20721913239095466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3672.7292016806728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15454.553571428572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29431.967000000001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29431.967000000001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0.20721913239095466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6098.8666662992091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659361.52679999999</v>
      </c>
      <c r="C5" s="17">
        <f>IF(ISERROR('Eigen informatie GS &amp; warmtenet'!B57),0,'Eigen informatie GS &amp; warmtenet'!B57)</f>
        <v>0</v>
      </c>
      <c r="D5" s="30">
        <f>(SUM(HH_hh_gas_kWh,HH_rest_gas_kWh)/1000)*0.902</f>
        <v>1935842.1270740563</v>
      </c>
      <c r="E5" s="17">
        <f>B46*B57</f>
        <v>28083.611563272527</v>
      </c>
      <c r="F5" s="17">
        <f>B51*B62</f>
        <v>150554.42807144753</v>
      </c>
      <c r="G5" s="18"/>
      <c r="H5" s="17"/>
      <c r="I5" s="17"/>
      <c r="J5" s="17">
        <f>B50*B61+C50*C61</f>
        <v>0</v>
      </c>
      <c r="K5" s="17"/>
      <c r="L5" s="17"/>
      <c r="M5" s="17"/>
      <c r="N5" s="17">
        <f>B48*B59+C48*C59</f>
        <v>102062.86103903131</v>
      </c>
      <c r="O5" s="17">
        <f>B69*B70*B71</f>
        <v>1027.1100000000001</v>
      </c>
      <c r="P5" s="17">
        <f>B77*B78*B79/1000-B77*B78*B79/1000/B80</f>
        <v>1391.8666666666668</v>
      </c>
    </row>
    <row r="6" spans="1:16">
      <c r="A6" s="16" t="s">
        <v>631</v>
      </c>
      <c r="B6" s="844">
        <f>kWh_PV_kleiner_dan_10kW</f>
        <v>13015.745393087773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672377.27219308773</v>
      </c>
      <c r="C8" s="21">
        <f>C5</f>
        <v>0</v>
      </c>
      <c r="D8" s="21">
        <f>D5</f>
        <v>1935842.1270740563</v>
      </c>
      <c r="E8" s="21">
        <f>E5</f>
        <v>28083.611563272527</v>
      </c>
      <c r="F8" s="21">
        <f>F5</f>
        <v>150554.42807144753</v>
      </c>
      <c r="G8" s="21"/>
      <c r="H8" s="21"/>
      <c r="I8" s="21"/>
      <c r="J8" s="21">
        <f>J5</f>
        <v>0</v>
      </c>
      <c r="K8" s="21"/>
      <c r="L8" s="21">
        <f>L5</f>
        <v>0</v>
      </c>
      <c r="M8" s="21">
        <f>M5</f>
        <v>0</v>
      </c>
      <c r="N8" s="21">
        <f>N5</f>
        <v>102062.86103903131</v>
      </c>
      <c r="O8" s="21">
        <f>O5</f>
        <v>1027.1100000000001</v>
      </c>
      <c r="P8" s="21">
        <f>P5</f>
        <v>1391.8666666666668</v>
      </c>
    </row>
    <row r="9" spans="1:16">
      <c r="B9" s="19"/>
      <c r="C9" s="19"/>
      <c r="D9" s="258"/>
      <c r="E9" s="19"/>
      <c r="F9" s="19"/>
      <c r="G9" s="19"/>
      <c r="H9" s="19"/>
      <c r="I9" s="19"/>
      <c r="J9" s="19"/>
      <c r="K9" s="19"/>
      <c r="L9" s="19"/>
      <c r="M9" s="19"/>
      <c r="N9" s="19"/>
      <c r="O9" s="19"/>
      <c r="P9" s="19"/>
    </row>
    <row r="10" spans="1:16">
      <c r="A10" s="24" t="s">
        <v>214</v>
      </c>
      <c r="B10" s="25">
        <f ca="1">'EF ele_warmte'!B12</f>
        <v>0.20721913239095466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139329.43498324841</v>
      </c>
      <c r="C12" s="23">
        <f ca="1">C10*C8</f>
        <v>0</v>
      </c>
      <c r="D12" s="23">
        <f>D8*D10</f>
        <v>391040.1096689594</v>
      </c>
      <c r="E12" s="23">
        <f>E10*E8</f>
        <v>6374.979824862864</v>
      </c>
      <c r="F12" s="23">
        <f>F10*F8</f>
        <v>40198.032295076497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142544</v>
      </c>
      <c r="C18" s="166" t="s">
        <v>111</v>
      </c>
      <c r="D18" s="228"/>
      <c r="E18" s="15"/>
    </row>
    <row r="19" spans="1:7">
      <c r="A19" s="171" t="s">
        <v>72</v>
      </c>
      <c r="B19" s="37">
        <f>aantalw2001_ander</f>
        <v>436</v>
      </c>
      <c r="C19" s="166" t="s">
        <v>111</v>
      </c>
      <c r="D19" s="229"/>
      <c r="E19" s="15"/>
    </row>
    <row r="20" spans="1:7">
      <c r="A20" s="171" t="s">
        <v>73</v>
      </c>
      <c r="B20" s="37">
        <f>aantalw2001_propaan</f>
        <v>504</v>
      </c>
      <c r="C20" s="167">
        <f>IF(ISERROR(B20/SUM($B$20,$B$21,$B$22)*100),0,B20/SUM($B$20,$B$21,$B$22)*100)</f>
        <v>3.7781109445277363</v>
      </c>
      <c r="D20" s="229"/>
      <c r="E20" s="15"/>
    </row>
    <row r="21" spans="1:7">
      <c r="A21" s="171" t="s">
        <v>74</v>
      </c>
      <c r="B21" s="37">
        <f>aantalw2001_elektriciteit</f>
        <v>12353</v>
      </c>
      <c r="C21" s="167">
        <f>IF(ISERROR(B21/SUM($B$20,$B$21,$B$22)*100),0,B21/SUM($B$20,$B$21,$B$22)*100)</f>
        <v>92.601199400299848</v>
      </c>
      <c r="D21" s="229"/>
      <c r="E21" s="15"/>
    </row>
    <row r="22" spans="1:7">
      <c r="A22" s="171" t="s">
        <v>75</v>
      </c>
      <c r="B22" s="37">
        <f>aantalw2001_hout</f>
        <v>483</v>
      </c>
      <c r="C22" s="167">
        <f>IF(ISERROR(B22/SUM($B$20,$B$21,$B$22)*100),0,B22/SUM($B$20,$B$21,$B$22)*100)</f>
        <v>3.6206896551724141</v>
      </c>
      <c r="D22" s="229"/>
      <c r="E22" s="15"/>
    </row>
    <row r="23" spans="1:7">
      <c r="A23" s="171" t="s">
        <v>76</v>
      </c>
      <c r="B23" s="37">
        <f>aantalw2001_niet_gespec</f>
        <v>6918</v>
      </c>
      <c r="C23" s="166" t="s">
        <v>111</v>
      </c>
      <c r="D23" s="228"/>
      <c r="E23" s="15"/>
    </row>
    <row r="24" spans="1:7">
      <c r="A24" s="171" t="s">
        <v>77</v>
      </c>
      <c r="B24" s="37">
        <f>aantalw2001_steenkool</f>
        <v>1961</v>
      </c>
      <c r="C24" s="166" t="s">
        <v>111</v>
      </c>
      <c r="D24" s="229"/>
      <c r="E24" s="15"/>
    </row>
    <row r="25" spans="1:7">
      <c r="A25" s="171" t="s">
        <v>78</v>
      </c>
      <c r="B25" s="37">
        <f>aantalw2001_stookolie</f>
        <v>38687</v>
      </c>
      <c r="C25" s="166" t="s">
        <v>111</v>
      </c>
      <c r="D25" s="228"/>
      <c r="E25" s="52"/>
    </row>
    <row r="26" spans="1:7">
      <c r="A26" s="171" t="s">
        <v>79</v>
      </c>
      <c r="B26" s="37">
        <f>aantalw2001_WP</f>
        <v>225</v>
      </c>
      <c r="C26" s="166" t="s">
        <v>111</v>
      </c>
      <c r="D26" s="228"/>
      <c r="E26" s="15"/>
    </row>
    <row r="27" spans="1:7" s="15" customFormat="1">
      <c r="A27" s="171"/>
      <c r="B27" s="29"/>
      <c r="C27" s="36"/>
      <c r="D27" s="228"/>
    </row>
    <row r="28" spans="1:7" s="15" customFormat="1">
      <c r="A28" s="230" t="s">
        <v>740</v>
      </c>
      <c r="B28" s="37">
        <f>aantalHuishoudens2011</f>
        <v>234742</v>
      </c>
      <c r="C28" s="36"/>
      <c r="D28" s="228"/>
    </row>
    <row r="29" spans="1:7" s="15" customFormat="1">
      <c r="A29" s="230" t="s">
        <v>741</v>
      </c>
      <c r="B29" s="37">
        <f>SUM(HH_hh_gas_aantal,HH_rest_gas_aantal)</f>
        <v>178734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178734</v>
      </c>
      <c r="C32" s="167">
        <f>IF(ISERROR(B32/SUM($B$32,$B$34,$B$35,$B$36,$B$38,$B$39)*100),0,B32/SUM($B$32,$B$34,$B$35,$B$36,$B$38,$B$39)*100)</f>
        <v>76.164299502703813</v>
      </c>
      <c r="D32" s="233"/>
      <c r="G32" s="15"/>
    </row>
    <row r="33" spans="1:7">
      <c r="A33" s="171" t="s">
        <v>72</v>
      </c>
      <c r="B33" s="34" t="s">
        <v>111</v>
      </c>
      <c r="C33" s="167"/>
      <c r="D33" s="233"/>
      <c r="G33" s="15"/>
    </row>
    <row r="34" spans="1:7">
      <c r="A34" s="171" t="s">
        <v>73</v>
      </c>
      <c r="B34" s="33">
        <f>IF((($B$28-$B$32-$B$39-$B$77-$B$38)*C20/100)&lt;0,0,($B$28-$B$32-$B$39-$B$77-$B$38)*C20/100)</f>
        <v>1882.217091454273</v>
      </c>
      <c r="C34" s="167">
        <f>IF(ISERROR(B34/SUM($B$32,$B$34,$B$35,$B$36,$B$38,$B$39)*100),0,B34/SUM($B$32,$B$34,$B$35,$B$36,$B$38,$B$39)*100)</f>
        <v>0.80207317176715853</v>
      </c>
      <c r="D34" s="233"/>
      <c r="G34" s="15"/>
    </row>
    <row r="35" spans="1:7">
      <c r="A35" s="171" t="s">
        <v>74</v>
      </c>
      <c r="B35" s="33">
        <f>IF((($B$28-$B$32-$B$39-$B$77-$B$38)*C21/100)&lt;0,0,($B$28-$B$32-$B$39-$B$77-$B$38)*C21/100)</f>
        <v>46132.991529235383</v>
      </c>
      <c r="C35" s="167">
        <f>IF(ISERROR(B35/SUM($B$32,$B$34,$B$35,$B$36,$B$38,$B$39)*100),0,B35/SUM($B$32,$B$34,$B$35,$B$36,$B$38,$B$39)*100)</f>
        <v>19.658749783412119</v>
      </c>
      <c r="D35" s="233"/>
      <c r="G35" s="15"/>
    </row>
    <row r="36" spans="1:7">
      <c r="A36" s="171" t="s">
        <v>75</v>
      </c>
      <c r="B36" s="33">
        <f>IF((($B$28-$B$32-$B$39-$B$77-$B$38)*C22/100)&lt;0,0,($B$28-$B$32-$B$39-$B$77-$B$38)*C22/100)</f>
        <v>1803.7913793103448</v>
      </c>
      <c r="C36" s="167">
        <f>IF(ISERROR(B36/SUM($B$32,$B$34,$B$35,$B$36,$B$38,$B$39)*100),0,B36/SUM($B$32,$B$34,$B$35,$B$36,$B$38,$B$39)*100)</f>
        <v>0.7686534562768601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6116</v>
      </c>
      <c r="C39" s="167">
        <f>IF(ISERROR(B39/SUM($B$32,$B$34,$B$35,$B$36,$B$38,$B$39)*100),0,B39/SUM($B$32,$B$34,$B$35,$B$36,$B$38,$B$39)*100)</f>
        <v>2.6062240858400556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178734</v>
      </c>
      <c r="C44" s="34" t="s">
        <v>111</v>
      </c>
      <c r="D44" s="174"/>
    </row>
    <row r="45" spans="1:7">
      <c r="A45" s="171" t="s">
        <v>72</v>
      </c>
      <c r="B45" s="33" t="str">
        <f t="shared" si="0"/>
        <v>-</v>
      </c>
      <c r="C45" s="34" t="s">
        <v>111</v>
      </c>
      <c r="D45" s="174"/>
    </row>
    <row r="46" spans="1:7">
      <c r="A46" s="171" t="s">
        <v>73</v>
      </c>
      <c r="B46" s="33">
        <f t="shared" si="0"/>
        <v>1882.217091454273</v>
      </c>
      <c r="C46" s="34" t="s">
        <v>111</v>
      </c>
      <c r="D46" s="174"/>
    </row>
    <row r="47" spans="1:7">
      <c r="A47" s="171" t="s">
        <v>74</v>
      </c>
      <c r="B47" s="33">
        <f t="shared" si="0"/>
        <v>46132.991529235383</v>
      </c>
      <c r="C47" s="34" t="s">
        <v>111</v>
      </c>
      <c r="D47" s="174"/>
    </row>
    <row r="48" spans="1:7">
      <c r="A48" s="171" t="s">
        <v>75</v>
      </c>
      <c r="B48" s="33">
        <f t="shared" si="0"/>
        <v>1803.7913793103448</v>
      </c>
      <c r="C48" s="33">
        <f>B48*10</f>
        <v>18037.913793103449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6116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657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1172656.6773751613</v>
      </c>
      <c r="C5" s="17">
        <f>IF(ISERROR('Eigen informatie GS &amp; warmtenet'!B58),0,'Eigen informatie GS &amp; warmtenet'!B58)</f>
        <v>0</v>
      </c>
      <c r="D5" s="30">
        <f>SUM(D6:D12)</f>
        <v>1426341.6820636468</v>
      </c>
      <c r="E5" s="17">
        <f>SUM(E6:E12)</f>
        <v>9215.7108102972506</v>
      </c>
      <c r="F5" s="17">
        <f>SUM(F6:F12)</f>
        <v>165268.6302974179</v>
      </c>
      <c r="G5" s="18"/>
      <c r="H5" s="17"/>
      <c r="I5" s="17"/>
      <c r="J5" s="17">
        <f>SUM(J6:J12)</f>
        <v>0</v>
      </c>
      <c r="K5" s="17"/>
      <c r="L5" s="17"/>
      <c r="M5" s="17"/>
      <c r="N5" s="17">
        <f>SUM(N6:N12)</f>
        <v>63117.159977898998</v>
      </c>
      <c r="O5" s="17">
        <f>B38*B39*B40</f>
        <v>21.88666666666667</v>
      </c>
      <c r="P5" s="17">
        <f>B46*B47*B48/1000-B46*B47*B48/1000/B49</f>
        <v>762.66666666666674</v>
      </c>
      <c r="R5" s="32"/>
    </row>
    <row r="6" spans="1:18">
      <c r="A6" s="32" t="s">
        <v>54</v>
      </c>
      <c r="B6" s="37">
        <f>B26</f>
        <v>579822.50773883169</v>
      </c>
      <c r="C6" s="33"/>
      <c r="D6" s="37">
        <f>IF(ISERROR(TER_kantoor_gas_kWh/1000),0,TER_kantoor_gas_kWh/1000)*0.902</f>
        <v>696361.45813659893</v>
      </c>
      <c r="E6" s="33">
        <f>$C$26*'E Balans VL '!I12/100/3.6*1000000</f>
        <v>1679.8308769438638</v>
      </c>
      <c r="F6" s="33">
        <f>$C$26*('E Balans VL '!L12+'E Balans VL '!N12)/100/3.6*1000000</f>
        <v>65623.133395754849</v>
      </c>
      <c r="G6" s="34"/>
      <c r="H6" s="33"/>
      <c r="I6" s="33"/>
      <c r="J6" s="33">
        <f>$C$26*('E Balans VL '!D12+'E Balans VL '!E12)/100/3.6*1000000</f>
        <v>0</v>
      </c>
      <c r="K6" s="33"/>
      <c r="L6" s="33"/>
      <c r="M6" s="33"/>
      <c r="N6" s="33">
        <f>$C$26*'E Balans VL '!Y12/100/3.6*1000000</f>
        <v>5803.5960701666072</v>
      </c>
      <c r="O6" s="33"/>
      <c r="P6" s="33"/>
      <c r="R6" s="32"/>
    </row>
    <row r="7" spans="1:18">
      <c r="A7" s="32" t="s">
        <v>53</v>
      </c>
      <c r="B7" s="37">
        <f t="shared" ref="B7:B12" si="0">B27</f>
        <v>94757.898000000001</v>
      </c>
      <c r="C7" s="33"/>
      <c r="D7" s="37">
        <f>IF(ISERROR(TER_horeca_gas_kWh/1000),0,TER_horeca_gas_kWh/1000)*0.902</f>
        <v>105350.33571238392</v>
      </c>
      <c r="E7" s="33">
        <f>$C$27*'E Balans VL '!I9/100/3.6*1000000</f>
        <v>3977.67180970543</v>
      </c>
      <c r="F7" s="33">
        <f>$C$27*('E Balans VL '!L9+'E Balans VL '!N9)/100/3.6*1000000</f>
        <v>20360.677579014202</v>
      </c>
      <c r="G7" s="34"/>
      <c r="H7" s="33"/>
      <c r="I7" s="33"/>
      <c r="J7" s="33">
        <f>$C$27*('E Balans VL '!D9+'E Balans VL '!E9)/100/3.6*1000000</f>
        <v>0</v>
      </c>
      <c r="K7" s="33"/>
      <c r="L7" s="33"/>
      <c r="M7" s="33"/>
      <c r="N7" s="33">
        <f>$C$27*'E Balans VL '!Y9/100/3.6*1000000</f>
        <v>24.418281626719423</v>
      </c>
      <c r="O7" s="33"/>
      <c r="P7" s="33"/>
      <c r="R7" s="32"/>
    </row>
    <row r="8" spans="1:18">
      <c r="A8" s="6" t="s">
        <v>52</v>
      </c>
      <c r="B8" s="37">
        <f t="shared" si="0"/>
        <v>242378.3403484291</v>
      </c>
      <c r="C8" s="33"/>
      <c r="D8" s="37">
        <f>IF(ISERROR(TER_handel_gas_kWh/1000),0,TER_handel_gas_kWh/1000)*0.902</f>
        <v>143716.51208600617</v>
      </c>
      <c r="E8" s="33">
        <f>$C$28*'E Balans VL '!I13/100/3.6*1000000</f>
        <v>2603.3451011004249</v>
      </c>
      <c r="F8" s="33">
        <f>$C$28*('E Balans VL '!L13+'E Balans VL '!N13)/100/3.6*1000000</f>
        <v>31377.877677177839</v>
      </c>
      <c r="G8" s="34"/>
      <c r="H8" s="33"/>
      <c r="I8" s="33"/>
      <c r="J8" s="33">
        <f>$C$28*('E Balans VL '!D13+'E Balans VL '!E13)/100/3.6*1000000</f>
        <v>0</v>
      </c>
      <c r="K8" s="33"/>
      <c r="L8" s="33"/>
      <c r="M8" s="33"/>
      <c r="N8" s="33">
        <f>$C$28*'E Balans VL '!Y13/100/3.6*1000000</f>
        <v>1966.1863313392669</v>
      </c>
      <c r="O8" s="33"/>
      <c r="P8" s="33"/>
      <c r="R8" s="32"/>
    </row>
    <row r="9" spans="1:18">
      <c r="A9" s="32" t="s">
        <v>51</v>
      </c>
      <c r="B9" s="37">
        <f t="shared" si="0"/>
        <v>59845.712</v>
      </c>
      <c r="C9" s="33"/>
      <c r="D9" s="37">
        <f>IF(ISERROR(TER_gezond_gas_kWh/1000),0,TER_gezond_gas_kWh/1000)*0.902</f>
        <v>99084.759173099257</v>
      </c>
      <c r="E9" s="33">
        <f>$C$29*'E Balans VL '!I10/100/3.6*1000000</f>
        <v>47.641057468952589</v>
      </c>
      <c r="F9" s="33">
        <f>$C$29*('E Balans VL '!L10+'E Balans VL '!N10)/100/3.6*1000000</f>
        <v>7275.1111420356492</v>
      </c>
      <c r="G9" s="34"/>
      <c r="H9" s="33"/>
      <c r="I9" s="33"/>
      <c r="J9" s="33">
        <f>$C$29*('E Balans VL '!D10+'E Balans VL '!E10)/100/3.6*1000000</f>
        <v>0</v>
      </c>
      <c r="K9" s="33"/>
      <c r="L9" s="33"/>
      <c r="M9" s="33"/>
      <c r="N9" s="33">
        <f>$C$29*'E Balans VL '!Y10/100/3.6*1000000</f>
        <v>483.4178064563431</v>
      </c>
      <c r="O9" s="33"/>
      <c r="P9" s="33"/>
      <c r="R9" s="32"/>
    </row>
    <row r="10" spans="1:18">
      <c r="A10" s="32" t="s">
        <v>50</v>
      </c>
      <c r="B10" s="37">
        <f t="shared" si="0"/>
        <v>69330.424388140164</v>
      </c>
      <c r="C10" s="33"/>
      <c r="D10" s="37">
        <f>IF(ISERROR(TER_ander_gas_kWh/1000),0,TER_ander_gas_kWh/1000)*0.902</f>
        <v>76837.963963047383</v>
      </c>
      <c r="E10" s="33">
        <f>$C$30*'E Balans VL '!I14/100/3.6*1000000</f>
        <v>237.59900653178076</v>
      </c>
      <c r="F10" s="33">
        <f>$C$30*('E Balans VL '!L14+'E Balans VL '!N14)/100/3.6*1000000</f>
        <v>15485.599551726349</v>
      </c>
      <c r="G10" s="34"/>
      <c r="H10" s="33"/>
      <c r="I10" s="33"/>
      <c r="J10" s="33">
        <f>$C$30*('E Balans VL '!D14+'E Balans VL '!E14)/100/3.6*1000000</f>
        <v>0</v>
      </c>
      <c r="K10" s="33"/>
      <c r="L10" s="33"/>
      <c r="M10" s="33"/>
      <c r="N10" s="33">
        <f>$C$30*'E Balans VL '!Y14/100/3.6*1000000</f>
        <v>48836.729683710939</v>
      </c>
      <c r="O10" s="33"/>
      <c r="P10" s="33"/>
      <c r="R10" s="32"/>
    </row>
    <row r="11" spans="1:18">
      <c r="A11" s="32" t="s">
        <v>55</v>
      </c>
      <c r="B11" s="37">
        <f t="shared" si="0"/>
        <v>56800.761899760197</v>
      </c>
      <c r="C11" s="33"/>
      <c r="D11" s="37">
        <f>IF(ISERROR(TER_onderwijs_gas_kWh/1000),0,TER_onderwijs_gas_kWh/1000)*0.902</f>
        <v>153196.74751399003</v>
      </c>
      <c r="E11" s="33">
        <f>$C$31*'E Balans VL '!I11/100/3.6*1000000</f>
        <v>39.264617375511833</v>
      </c>
      <c r="F11" s="33">
        <f>$C$31*('E Balans VL '!L11+'E Balans VL '!N11)/100/3.6*1000000</f>
        <v>14868.789515175842</v>
      </c>
      <c r="G11" s="34"/>
      <c r="H11" s="33"/>
      <c r="I11" s="33"/>
      <c r="J11" s="33">
        <f>$C$31*('E Balans VL '!D11+'E Balans VL '!E11)/100/3.6*1000000</f>
        <v>0</v>
      </c>
      <c r="K11" s="33"/>
      <c r="L11" s="33"/>
      <c r="M11" s="33"/>
      <c r="N11" s="33">
        <f>$C$31*'E Balans VL '!Y11/100/3.6*1000000</f>
        <v>56.54032055970972</v>
      </c>
      <c r="O11" s="33"/>
      <c r="P11" s="33"/>
      <c r="R11" s="32"/>
    </row>
    <row r="12" spans="1:18">
      <c r="A12" s="32" t="s">
        <v>260</v>
      </c>
      <c r="B12" s="37">
        <f t="shared" si="0"/>
        <v>69721.032999999996</v>
      </c>
      <c r="C12" s="33"/>
      <c r="D12" s="37">
        <f>IF(ISERROR(TER_rest_gas_kWh/1000),0,TER_rest_gas_kWh/1000)*0.902</f>
        <v>151793.90547852108</v>
      </c>
      <c r="E12" s="33">
        <f>$C$32*'E Balans VL '!I8/100/3.6*1000000</f>
        <v>630.35834117128741</v>
      </c>
      <c r="F12" s="33">
        <f>$C$32*('E Balans VL '!L8+'E Balans VL '!N8)/100/3.6*1000000</f>
        <v>10277.441436533216</v>
      </c>
      <c r="G12" s="34"/>
      <c r="H12" s="33"/>
      <c r="I12" s="33"/>
      <c r="J12" s="33">
        <f>$C$32*('E Balans VL '!D8+'E Balans VL '!E8)/100/3.6*1000000</f>
        <v>0</v>
      </c>
      <c r="K12" s="33"/>
      <c r="L12" s="33"/>
      <c r="M12" s="33"/>
      <c r="N12" s="33">
        <f>$C$32*'E Balans VL '!Y8/100/3.6*1000000</f>
        <v>5946.2714840394092</v>
      </c>
      <c r="O12" s="33"/>
      <c r="P12" s="33"/>
      <c r="R12" s="32"/>
    </row>
    <row r="13" spans="1:18">
      <c r="A13" s="16" t="s">
        <v>494</v>
      </c>
      <c r="B13" s="247">
        <f ca="1">'lokale energieproductie'!N90+'lokale energieproductie'!N59</f>
        <v>26959.6875</v>
      </c>
      <c r="C13" s="247">
        <f ca="1">'lokale energieproductie'!O90+'lokale energieproductie'!O59</f>
        <v>10273.125</v>
      </c>
      <c r="D13" s="310">
        <f ca="1">('lokale energieproductie'!P59+'lokale energieproductie'!P90)*(-1)</f>
        <v>-20546.25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-56481.428571428572</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1199616.3648751613</v>
      </c>
      <c r="C16" s="21">
        <f t="shared" ca="1" si="1"/>
        <v>10273.125</v>
      </c>
      <c r="D16" s="21">
        <f t="shared" ca="1" si="1"/>
        <v>1405795.4320636468</v>
      </c>
      <c r="E16" s="21">
        <f t="shared" si="1"/>
        <v>9215.7108102972506</v>
      </c>
      <c r="F16" s="21">
        <f t="shared" ca="1" si="1"/>
        <v>165268.6302974179</v>
      </c>
      <c r="G16" s="21">
        <f t="shared" si="1"/>
        <v>0</v>
      </c>
      <c r="H16" s="21">
        <f t="shared" si="1"/>
        <v>0</v>
      </c>
      <c r="I16" s="21">
        <f t="shared" si="1"/>
        <v>0</v>
      </c>
      <c r="J16" s="21">
        <f t="shared" si="1"/>
        <v>0</v>
      </c>
      <c r="K16" s="21">
        <f t="shared" si="1"/>
        <v>0</v>
      </c>
      <c r="L16" s="21">
        <f t="shared" ca="1" si="1"/>
        <v>0</v>
      </c>
      <c r="M16" s="21">
        <f t="shared" si="1"/>
        <v>0</v>
      </c>
      <c r="N16" s="21">
        <f t="shared" ca="1" si="1"/>
        <v>6635.731406470426</v>
      </c>
      <c r="O16" s="21">
        <f>O5</f>
        <v>21.88666666666667</v>
      </c>
      <c r="P16" s="21">
        <f>P5</f>
        <v>762.66666666666674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0.20721913239095466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248583.46233142182</v>
      </c>
      <c r="C20" s="23">
        <f t="shared" ref="C20:P20" ca="1" si="2">C16*C18</f>
        <v>2441.3779411764708</v>
      </c>
      <c r="D20" s="23">
        <f t="shared" ca="1" si="2"/>
        <v>283970.67727685667</v>
      </c>
      <c r="E20" s="23">
        <f t="shared" si="2"/>
        <v>2091.966353937476</v>
      </c>
      <c r="F20" s="23">
        <f t="shared" ca="1" si="2"/>
        <v>44126.72428941058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579822.50773883169</v>
      </c>
      <c r="C26" s="39">
        <f>IF(ISERROR(B26*3.6/1000000/'E Balans VL '!Z12*100),0,B26*3.6/1000000/'E Balans VL '!Z12*100)</f>
        <v>12.736471724428577</v>
      </c>
      <c r="D26" s="237" t="s">
        <v>692</v>
      </c>
      <c r="F26" s="6"/>
    </row>
    <row r="27" spans="1:18">
      <c r="A27" s="231" t="s">
        <v>53</v>
      </c>
      <c r="B27" s="33">
        <f>IF(ISERROR(TER_horeca_ele_kWh/1000),0,TER_horeca_ele_kWh/1000)</f>
        <v>94757.898000000001</v>
      </c>
      <c r="C27" s="39">
        <f>IF(ISERROR(B27*3.6/1000000/'E Balans VL '!Z9*100),0,B27*3.6/1000000/'E Balans VL '!Z9*100)</f>
        <v>7.614741662183512</v>
      </c>
      <c r="D27" s="237" t="s">
        <v>692</v>
      </c>
      <c r="F27" s="6"/>
    </row>
    <row r="28" spans="1:18">
      <c r="A28" s="171" t="s">
        <v>52</v>
      </c>
      <c r="B28" s="33">
        <f>IF(ISERROR(TER_handel_ele_kWh/1000),0,TER_handel_ele_kWh/1000)</f>
        <v>242378.3403484291</v>
      </c>
      <c r="C28" s="39">
        <f>IF(ISERROR(B28*3.6/1000000/'E Balans VL '!Z13*100),0,B28*3.6/1000000/'E Balans VL '!Z13*100)</f>
        <v>7.1669581950391512</v>
      </c>
      <c r="D28" s="237" t="s">
        <v>692</v>
      </c>
      <c r="F28" s="6"/>
    </row>
    <row r="29" spans="1:18">
      <c r="A29" s="231" t="s">
        <v>51</v>
      </c>
      <c r="B29" s="33">
        <f>IF(ISERROR(TER_gezond_ele_kWh/1000),0,TER_gezond_ele_kWh/1000)</f>
        <v>59845.712</v>
      </c>
      <c r="C29" s="39">
        <f>IF(ISERROR(B29*3.6/1000000/'E Balans VL '!Z10*100),0,B29*3.6/1000000/'E Balans VL '!Z10*100)</f>
        <v>6.7430666623153144</v>
      </c>
      <c r="D29" s="237" t="s">
        <v>692</v>
      </c>
      <c r="F29" s="6"/>
    </row>
    <row r="30" spans="1:18">
      <c r="A30" s="231" t="s">
        <v>50</v>
      </c>
      <c r="B30" s="33">
        <f>IF(ISERROR(TER_ander_ele_kWh/1000),0,TER_ander_ele_kWh/1000)</f>
        <v>69330.424388140164</v>
      </c>
      <c r="C30" s="39">
        <f>IF(ISERROR(B30*3.6/1000000/'E Balans VL '!Z14*100),0,B30*3.6/1000000/'E Balans VL '!Z14*100)</f>
        <v>5.2433414814678798</v>
      </c>
      <c r="D30" s="237" t="s">
        <v>692</v>
      </c>
      <c r="F30" s="6"/>
    </row>
    <row r="31" spans="1:18">
      <c r="A31" s="231" t="s">
        <v>55</v>
      </c>
      <c r="B31" s="33">
        <f>IF(ISERROR(TER_onderwijs_ele_kWh/1000),0,TER_onderwijs_ele_kWh/1000)</f>
        <v>56800.761899760197</v>
      </c>
      <c r="C31" s="39">
        <f>IF(ISERROR(B31*3.6/1000000/'E Balans VL '!Z11*100),0,B31*3.6/1000000/'E Balans VL '!Z11*100)</f>
        <v>11.790519597309617</v>
      </c>
      <c r="D31" s="237" t="s">
        <v>692</v>
      </c>
    </row>
    <row r="32" spans="1:18">
      <c r="A32" s="231" t="s">
        <v>260</v>
      </c>
      <c r="B32" s="33">
        <f>IF(ISERROR(TER_rest_ele_kWh/1000),0,TER_rest_ele_kWh/1000)</f>
        <v>69721.032999999996</v>
      </c>
      <c r="C32" s="39">
        <f>IF(ISERROR(B32*3.6/1000000/'E Balans VL '!Z8*100),0,B32*3.6/1000000/'E Balans VL '!Z8*100)</f>
        <v>0.58735868753026121</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330705.77194000001</v>
      </c>
      <c r="C5" s="17">
        <f>IF(ISERROR('Eigen informatie GS &amp; warmtenet'!B59),0,'Eigen informatie GS &amp; warmtenet'!B59)</f>
        <v>0</v>
      </c>
      <c r="D5" s="30">
        <f>SUM(D6:D15)</f>
        <v>278897.46228029591</v>
      </c>
      <c r="E5" s="17">
        <f>SUM(E6:E15)</f>
        <v>18916.280409622934</v>
      </c>
      <c r="F5" s="17">
        <f>SUM(F6:F15)</f>
        <v>288455.96829229902</v>
      </c>
      <c r="G5" s="18"/>
      <c r="H5" s="17"/>
      <c r="I5" s="17"/>
      <c r="J5" s="17">
        <f>SUM(J6:J15)</f>
        <v>2877.0319145416179</v>
      </c>
      <c r="K5" s="17"/>
      <c r="L5" s="17"/>
      <c r="M5" s="17"/>
      <c r="N5" s="17">
        <f>SUM(N6:N15)</f>
        <v>87424.725910705951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10.553840000000001</v>
      </c>
      <c r="C7" s="33"/>
      <c r="D7" s="37">
        <f>IF( ISERROR(IND_nonf_gas_kWhh/1000),0,IND_nonf_gas_kWh/1000)*0.902</f>
        <v>0</v>
      </c>
      <c r="E7" s="33">
        <f>C29*'E Balans VL '!I17/100/3.6*1000000</f>
        <v>4.5258620483979238E-2</v>
      </c>
      <c r="F7" s="33">
        <f>C29*'E Balans VL '!L17/100/3.6*1000000+C29*'E Balans VL '!N17/100/3.6*1000000</f>
        <v>2.0926275811473332</v>
      </c>
      <c r="G7" s="34"/>
      <c r="H7" s="33"/>
      <c r="I7" s="33"/>
      <c r="J7" s="40">
        <f>C29*'E Balans VL '!D17/100/3.6*1000000+C29*'E Balans VL '!E17/100/3.6*1000000</f>
        <v>4.9537456468262873</v>
      </c>
      <c r="K7" s="33"/>
      <c r="L7" s="33"/>
      <c r="M7" s="33"/>
      <c r="N7" s="33">
        <f>C29*'E Balans VL '!Y17/100/3.6*1000000</f>
        <v>0</v>
      </c>
      <c r="O7" s="33"/>
      <c r="P7" s="33"/>
      <c r="R7" s="32"/>
    </row>
    <row r="8" spans="1:18">
      <c r="A8" s="6" t="s">
        <v>36</v>
      </c>
      <c r="B8" s="37">
        <f t="shared" si="0"/>
        <v>104634.59600000001</v>
      </c>
      <c r="C8" s="33"/>
      <c r="D8" s="37">
        <f>IF( ISERROR(IND_metaal_Gas_kWH/1000),0,IND_metaal_Gas_kWH/1000)*0.902</f>
        <v>4064.5896994773589</v>
      </c>
      <c r="E8" s="33">
        <f>C30*'E Balans VL '!I18/100/3.6*1000000</f>
        <v>2618.6377246396069</v>
      </c>
      <c r="F8" s="33">
        <f>C30*'E Balans VL '!L18/100/3.6*1000000+C30*'E Balans VL '!N18/100/3.6*1000000</f>
        <v>32793.002865647693</v>
      </c>
      <c r="G8" s="34"/>
      <c r="H8" s="33"/>
      <c r="I8" s="33"/>
      <c r="J8" s="40">
        <f>C30*'E Balans VL '!D18/100/3.6*1000000+C30*'E Balans VL '!E18/100/3.6*1000000</f>
        <v>0</v>
      </c>
      <c r="K8" s="33"/>
      <c r="L8" s="33"/>
      <c r="M8" s="33"/>
      <c r="N8" s="33">
        <f>C30*'E Balans VL '!Y18/100/3.6*1000000</f>
        <v>2628.6926019760022</v>
      </c>
      <c r="O8" s="33"/>
      <c r="P8" s="33"/>
      <c r="R8" s="32"/>
    </row>
    <row r="9" spans="1:18">
      <c r="A9" s="6" t="s">
        <v>33</v>
      </c>
      <c r="B9" s="37">
        <f t="shared" si="0"/>
        <v>44758.232000000004</v>
      </c>
      <c r="C9" s="33"/>
      <c r="D9" s="37">
        <f>IF( ISERROR(IND_andere_gas_kWh/1000),0,IND_andere_gas_kWh/1000)*0.902</f>
        <v>33419.967628177837</v>
      </c>
      <c r="E9" s="33">
        <f>C31*'E Balans VL '!I19/100/3.6*1000000</f>
        <v>12306.678038626222</v>
      </c>
      <c r="F9" s="33">
        <f>C31*'E Balans VL '!L19/100/3.6*1000000+C31*'E Balans VL '!N19/100/3.6*1000000</f>
        <v>35277.275307565811</v>
      </c>
      <c r="G9" s="34"/>
      <c r="H9" s="33"/>
      <c r="I9" s="33"/>
      <c r="J9" s="40">
        <f>C31*'E Balans VL '!D19/100/3.6*1000000+C31*'E Balans VL '!E19/100/3.6*1000000</f>
        <v>0</v>
      </c>
      <c r="K9" s="33"/>
      <c r="L9" s="33"/>
      <c r="M9" s="33"/>
      <c r="N9" s="33">
        <f>C31*'E Balans VL '!Y19/100/3.6*1000000</f>
        <v>14489.421118027047</v>
      </c>
      <c r="O9" s="33"/>
      <c r="P9" s="33"/>
      <c r="R9" s="32"/>
    </row>
    <row r="10" spans="1:18">
      <c r="A10" s="6" t="s">
        <v>41</v>
      </c>
      <c r="B10" s="37">
        <f t="shared" si="0"/>
        <v>109716.883</v>
      </c>
      <c r="C10" s="33"/>
      <c r="D10" s="37">
        <f>IF( ISERROR(IND_voed_gas_kWh/1000),0,IND_voed_gas_kWh/1000)*0.902</f>
        <v>20941.442944712973</v>
      </c>
      <c r="E10" s="33">
        <f>C32*'E Balans VL '!I20/100/3.6*1000000</f>
        <v>1118.5031788092642</v>
      </c>
      <c r="F10" s="33">
        <f>C32*'E Balans VL '!L20/100/3.6*1000000+C32*'E Balans VL '!N20/100/3.6*1000000</f>
        <v>207254.50577413765</v>
      </c>
      <c r="G10" s="34"/>
      <c r="H10" s="33"/>
      <c r="I10" s="33"/>
      <c r="J10" s="40">
        <f>C32*'E Balans VL '!D20/100/3.6*1000000+C32*'E Balans VL '!E20/100/3.6*1000000</f>
        <v>2625.8840054564903</v>
      </c>
      <c r="K10" s="33"/>
      <c r="L10" s="33"/>
      <c r="M10" s="33"/>
      <c r="N10" s="33">
        <f>C32*'E Balans VL '!Y20/100/3.6*1000000</f>
        <v>57833.43517622519</v>
      </c>
      <c r="O10" s="33"/>
      <c r="P10" s="33"/>
      <c r="R10" s="32"/>
    </row>
    <row r="11" spans="1:18">
      <c r="A11" s="6" t="s">
        <v>40</v>
      </c>
      <c r="B11" s="37">
        <f t="shared" si="0"/>
        <v>1800.1869999999999</v>
      </c>
      <c r="C11" s="33"/>
      <c r="D11" s="37">
        <f>IF( ISERROR(IND_textiel_gas_kWh/1000),0,IND_textiel_gas_kWh/1000)*0.902</f>
        <v>1205.6679257411758</v>
      </c>
      <c r="E11" s="33">
        <f>C33*'E Balans VL '!I21/100/3.6*1000000</f>
        <v>4.7713762329880627</v>
      </c>
      <c r="F11" s="33">
        <f>C33*'E Balans VL '!L21/100/3.6*1000000+C33*'E Balans VL '!N21/100/3.6*1000000</f>
        <v>80.398208451168699</v>
      </c>
      <c r="G11" s="34"/>
      <c r="H11" s="33"/>
      <c r="I11" s="33"/>
      <c r="J11" s="40">
        <f>C33*'E Balans VL '!D21/100/3.6*1000000+C33*'E Balans VL '!E21/100/3.6*1000000</f>
        <v>0</v>
      </c>
      <c r="K11" s="33"/>
      <c r="L11" s="33"/>
      <c r="M11" s="33"/>
      <c r="N11" s="33">
        <f>C33*'E Balans VL '!Y21/100/3.6*1000000</f>
        <v>16.965475625525329</v>
      </c>
      <c r="O11" s="33"/>
      <c r="P11" s="33"/>
      <c r="R11" s="32"/>
    </row>
    <row r="12" spans="1:18">
      <c r="A12" s="6" t="s">
        <v>37</v>
      </c>
      <c r="B12" s="37">
        <f t="shared" si="0"/>
        <v>8714.7446</v>
      </c>
      <c r="C12" s="33"/>
      <c r="D12" s="37">
        <f>IF( ISERROR(IND_min_gas_kWh/1000),0,IND_min_gas_kWh/1000)*0.902</f>
        <v>0</v>
      </c>
      <c r="E12" s="33">
        <f>C34*'E Balans VL '!I22/100/3.6*1000000</f>
        <v>26.393019253120972</v>
      </c>
      <c r="F12" s="33">
        <f>C34*'E Balans VL '!L22/100/3.6*1000000+C34*'E Balans VL '!N22/100/3.6*1000000</f>
        <v>272.34326113057847</v>
      </c>
      <c r="G12" s="34"/>
      <c r="H12" s="33"/>
      <c r="I12" s="33"/>
      <c r="J12" s="40">
        <f>C34*'E Balans VL '!D22/100/3.6*1000000+C34*'E Balans VL '!E22/100/3.6*1000000</f>
        <v>12.922031668185509</v>
      </c>
      <c r="K12" s="33"/>
      <c r="L12" s="33"/>
      <c r="M12" s="33"/>
      <c r="N12" s="33">
        <f>C34*'E Balans VL '!Y22/100/3.6*1000000</f>
        <v>0</v>
      </c>
      <c r="O12" s="33"/>
      <c r="P12" s="33"/>
      <c r="R12" s="32"/>
    </row>
    <row r="13" spans="1:18">
      <c r="A13" s="6" t="s">
        <v>39</v>
      </c>
      <c r="B13" s="37">
        <f t="shared" si="0"/>
        <v>4728.7759999999998</v>
      </c>
      <c r="C13" s="33"/>
      <c r="D13" s="37">
        <f>IF( ISERROR(IND_papier_gas_kWh/1000),0,IND_papier_gas_kWh/1000)*0.902</f>
        <v>1926.6951051765711</v>
      </c>
      <c r="E13" s="33">
        <f>C35*'E Balans VL '!I23/100/3.6*1000000</f>
        <v>9.7936142806941664</v>
      </c>
      <c r="F13" s="33">
        <f>C35*'E Balans VL '!L23/100/3.6*1000000+C35*'E Balans VL '!N23/100/3.6*1000000</f>
        <v>93.781765769992489</v>
      </c>
      <c r="G13" s="34"/>
      <c r="H13" s="33"/>
      <c r="I13" s="33"/>
      <c r="J13" s="40">
        <f>C35*'E Balans VL '!D23/100/3.6*1000000+C35*'E Balans VL '!E23/100/3.6*1000000</f>
        <v>0</v>
      </c>
      <c r="K13" s="33"/>
      <c r="L13" s="33"/>
      <c r="M13" s="33"/>
      <c r="N13" s="33">
        <f>C35*'E Balans VL '!Y23/100/3.6*1000000</f>
        <v>1996.7155879392164</v>
      </c>
      <c r="O13" s="33"/>
      <c r="P13" s="33"/>
      <c r="R13" s="32"/>
    </row>
    <row r="14" spans="1:18">
      <c r="A14" s="6" t="s">
        <v>34</v>
      </c>
      <c r="B14" s="37">
        <f t="shared" si="0"/>
        <v>738.99549999999999</v>
      </c>
      <c r="C14" s="33"/>
      <c r="D14" s="37">
        <f>IF( ISERROR(IND_chemie_gas_kWh/1000),0,IND_chemie_gas_kWh/1000)*0.902</f>
        <v>236.57406791558421</v>
      </c>
      <c r="E14" s="33">
        <f>C36*'E Balans VL '!I24/100/3.6*1000000</f>
        <v>2.7706155783941919</v>
      </c>
      <c r="F14" s="33">
        <f>C36*'E Balans VL '!L24/100/3.6*1000000+C36*'E Balans VL '!N24/100/3.6*1000000</f>
        <v>8.5974385580433363</v>
      </c>
      <c r="G14" s="34"/>
      <c r="H14" s="33"/>
      <c r="I14" s="33"/>
      <c r="J14" s="40">
        <f>C36*'E Balans VL '!D24/100/3.6*1000000+C36*'E Balans VL '!E24/100/3.6*1000000</f>
        <v>0</v>
      </c>
      <c r="K14" s="33"/>
      <c r="L14" s="33"/>
      <c r="M14" s="33"/>
      <c r="N14" s="33">
        <f>C36*'E Balans VL '!Y24/100/3.6*1000000</f>
        <v>12.625383459144269</v>
      </c>
      <c r="O14" s="33"/>
      <c r="P14" s="33"/>
      <c r="R14" s="32"/>
    </row>
    <row r="15" spans="1:18">
      <c r="A15" s="6" t="s">
        <v>270</v>
      </c>
      <c r="B15" s="37">
        <f t="shared" si="0"/>
        <v>55602.803999999996</v>
      </c>
      <c r="C15" s="33"/>
      <c r="D15" s="37">
        <f>IF( ISERROR(IND_rest_gas_kWh/1000),0,IND_rest_gas_kWh/1000)*0.902</f>
        <v>217102.52490909438</v>
      </c>
      <c r="E15" s="33">
        <f>C37*'E Balans VL '!I15/100/3.6*1000000</f>
        <v>2828.6875835821597</v>
      </c>
      <c r="F15" s="33">
        <f>C37*'E Balans VL '!L15/100/3.6*1000000+C37*'E Balans VL '!N15/100/3.6*1000000</f>
        <v>12673.971043456942</v>
      </c>
      <c r="G15" s="34"/>
      <c r="H15" s="33"/>
      <c r="I15" s="33"/>
      <c r="J15" s="40">
        <f>C37*'E Balans VL '!D15/100/3.6*1000000+C37*'E Balans VL '!E15/100/3.6*1000000</f>
        <v>233.27213177011629</v>
      </c>
      <c r="K15" s="33"/>
      <c r="L15" s="33"/>
      <c r="M15" s="33"/>
      <c r="N15" s="33">
        <f>C37*'E Balans VL '!Y15/100/3.6*1000000</f>
        <v>10446.870567453825</v>
      </c>
      <c r="O15" s="33"/>
      <c r="P15" s="33"/>
      <c r="R15" s="32"/>
    </row>
    <row r="16" spans="1:18">
      <c r="A16" s="16" t="s">
        <v>494</v>
      </c>
      <c r="B16" s="247">
        <f>'lokale energieproductie'!N89+'lokale energieproductie'!N58</f>
        <v>3627</v>
      </c>
      <c r="C16" s="247">
        <f>'lokale energieproductie'!O89+'lokale energieproductie'!O58</f>
        <v>5181.4285714285716</v>
      </c>
      <c r="D16" s="310">
        <f>('lokale energieproductie'!P58+'lokale energieproductie'!P89)*(-1)</f>
        <v>-10362.857142857143</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334332.77194000001</v>
      </c>
      <c r="C18" s="21">
        <f>C5+C16</f>
        <v>5181.4285714285716</v>
      </c>
      <c r="D18" s="21">
        <f>MAX((D5+D16),0)</f>
        <v>268534.60513743875</v>
      </c>
      <c r="E18" s="21">
        <f>MAX((E5+E16),0)</f>
        <v>18916.280409622934</v>
      </c>
      <c r="F18" s="21">
        <f>MAX((F5+F16),0)</f>
        <v>288455.96829229902</v>
      </c>
      <c r="G18" s="21"/>
      <c r="H18" s="21"/>
      <c r="I18" s="21"/>
      <c r="J18" s="21">
        <f>MAX((J5+J16),0)</f>
        <v>2877.0319145416179</v>
      </c>
      <c r="K18" s="21"/>
      <c r="L18" s="21">
        <f>MAX((L5+L16),0)</f>
        <v>0</v>
      </c>
      <c r="M18" s="21"/>
      <c r="N18" s="21">
        <f>MAX((N5+N16),0)</f>
        <v>87424.725910705951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0.20721913239095466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69280.146931269715</v>
      </c>
      <c r="C22" s="23">
        <f ca="1">C18*C20</f>
        <v>1231.3512605042017</v>
      </c>
      <c r="D22" s="23">
        <f>D18*D20</f>
        <v>54243.990237762628</v>
      </c>
      <c r="E22" s="23">
        <f>E18*E20</f>
        <v>4293.9956529844058</v>
      </c>
      <c r="F22" s="23">
        <f>F18*F20</f>
        <v>77017.743534043839</v>
      </c>
      <c r="G22" s="23"/>
      <c r="H22" s="23"/>
      <c r="I22" s="23"/>
      <c r="J22" s="23">
        <f>J18*J20</f>
        <v>1018.4692977477326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10.553840000000001</v>
      </c>
      <c r="C29" s="39">
        <f>IF(ISERROR(B29*3.6/1000000/'E Balans VL '!Z17*100),0,B29*3.6/1000000/'E Balans VL '!Z17*100)</f>
        <v>1.1883078552618657E-2</v>
      </c>
      <c r="D29" s="237" t="s">
        <v>692</v>
      </c>
    </row>
    <row r="30" spans="1:18">
      <c r="A30" s="171" t="s">
        <v>36</v>
      </c>
      <c r="B30" s="37">
        <f>IF( ISERROR(IND_metaal_ele_kWh/1000),0,IND_metaal_ele_kWh/1000)</f>
        <v>104634.59600000001</v>
      </c>
      <c r="C30" s="39">
        <f>IF(ISERROR(B30*3.6/1000000/'E Balans VL '!Z18*100),0,B30*3.6/1000000/'E Balans VL '!Z18*100)</f>
        <v>14.645356453566496</v>
      </c>
      <c r="D30" s="237" t="s">
        <v>692</v>
      </c>
    </row>
    <row r="31" spans="1:18">
      <c r="A31" s="6" t="s">
        <v>33</v>
      </c>
      <c r="B31" s="37">
        <f>IF( ISERROR(IND_ander_ele_kWh/1000),0,IND_ander_ele_kWh/1000)</f>
        <v>44758.232000000004</v>
      </c>
      <c r="C31" s="39">
        <f>IF(ISERROR(B31*3.6/1000000/'E Balans VL '!Z19*100),0,B31*3.6/1000000/'E Balans VL '!Z19*100)</f>
        <v>1.9590605538231938</v>
      </c>
      <c r="D31" s="237" t="s">
        <v>692</v>
      </c>
    </row>
    <row r="32" spans="1:18">
      <c r="A32" s="171" t="s">
        <v>41</v>
      </c>
      <c r="B32" s="37">
        <f>IF( ISERROR(IND_voed_ele_kWh/1000),0,IND_voed_ele_kWh/1000)</f>
        <v>109716.883</v>
      </c>
      <c r="C32" s="39">
        <f>IF(ISERROR(B32*3.6/1000000/'E Balans VL '!Z20*100),0,B32*3.6/1000000/'E Balans VL '!Z20*100)</f>
        <v>27.162256712833848</v>
      </c>
      <c r="D32" s="237" t="s">
        <v>692</v>
      </c>
    </row>
    <row r="33" spans="1:5">
      <c r="A33" s="171" t="s">
        <v>40</v>
      </c>
      <c r="B33" s="37">
        <f>IF( ISERROR(IND_textiel_ele_kWh/1000),0,IND_textiel_ele_kWh/1000)</f>
        <v>1800.1869999999999</v>
      </c>
      <c r="C33" s="39">
        <f>IF(ISERROR(B33*3.6/1000000/'E Balans VL '!Z21*100),0,B33*3.6/1000000/'E Balans VL '!Z21*100)</f>
        <v>0.20284936431384468</v>
      </c>
      <c r="D33" s="237" t="s">
        <v>692</v>
      </c>
    </row>
    <row r="34" spans="1:5">
      <c r="A34" s="171" t="s">
        <v>37</v>
      </c>
      <c r="B34" s="37">
        <f>IF( ISERROR(IND_min_ele_kWh/1000),0,IND_min_ele_kWh/1000)</f>
        <v>8714.7446</v>
      </c>
      <c r="C34" s="39">
        <f>IF(ISERROR(B34*3.6/1000000/'E Balans VL '!Z22*100),0,B34*3.6/1000000/'E Balans VL '!Z22*100)</f>
        <v>0.24728889750087563</v>
      </c>
      <c r="D34" s="237" t="s">
        <v>692</v>
      </c>
    </row>
    <row r="35" spans="1:5">
      <c r="A35" s="171" t="s">
        <v>39</v>
      </c>
      <c r="B35" s="37">
        <f>IF( ISERROR(IND_papier_ele_kWh/1000),0,IND_papier_ele_kWh/1000)</f>
        <v>4728.7759999999998</v>
      </c>
      <c r="C35" s="39">
        <f>IF(ISERROR(B35*3.6/1000000/'E Balans VL '!Z22*100),0,B35*3.6/1000000/'E Balans VL '!Z22*100)</f>
        <v>0.13418337051077789</v>
      </c>
      <c r="D35" s="237" t="s">
        <v>692</v>
      </c>
    </row>
    <row r="36" spans="1:5">
      <c r="A36" s="171" t="s">
        <v>34</v>
      </c>
      <c r="B36" s="37">
        <f>IF( ISERROR(IND_chemie_ele_kWh/1000),0,IND_chemie_ele_kWh/1000)</f>
        <v>738.99549999999999</v>
      </c>
      <c r="C36" s="39">
        <f>IF(ISERROR(B36*3.6/1000000/'E Balans VL '!Z24*100),0,B36*3.6/1000000/'E Balans VL '!Z24*100)</f>
        <v>1.8843257293885408E-2</v>
      </c>
      <c r="D36" s="237" t="s">
        <v>692</v>
      </c>
    </row>
    <row r="37" spans="1:5">
      <c r="A37" s="171" t="s">
        <v>270</v>
      </c>
      <c r="B37" s="37">
        <f>IF( ISERROR(IND_rest_ele_kWh/1000),0,IND_rest_ele_kWh/1000)</f>
        <v>55602.803999999996</v>
      </c>
      <c r="C37" s="39">
        <f>IF(ISERROR(B37*3.6/1000000/'E Balans VL '!Z15*100),0,B37*3.6/1000000/'E Balans VL '!Z15*100)</f>
        <v>0.41228527205711946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22741.204300000001</v>
      </c>
      <c r="C5" s="17">
        <f>'Eigen informatie GS &amp; warmtenet'!B60</f>
        <v>0</v>
      </c>
      <c r="D5" s="30">
        <f>IF(ISERROR(SUM(LB_lb_gas_kWh,LB_rest_gas_kWh,onbekend_gas_kWh)/1000),0,SUM(LB_lb_gas_kWh,LB_rest_gas_kWh,onbekend_gas_kWh)/1000)*0.902</f>
        <v>138391.05595306723</v>
      </c>
      <c r="E5" s="17">
        <f>B17*'E Balans VL '!I25/3.6*1000000/100</f>
        <v>210.63855911850723</v>
      </c>
      <c r="F5" s="17">
        <f>B17*('E Balans VL '!L25/3.6*1000000+'E Balans VL '!N25/3.6*1000000)/100</f>
        <v>57698.767504073374</v>
      </c>
      <c r="G5" s="18"/>
      <c r="H5" s="17"/>
      <c r="I5" s="17"/>
      <c r="J5" s="17">
        <f>('E Balans VL '!D25+'E Balans VL '!E25)/3.6*1000000*landbouw!B17/100</f>
        <v>3486.4804117707063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22741.204300000001</v>
      </c>
      <c r="C8" s="21">
        <f>C5+C6</f>
        <v>0</v>
      </c>
      <c r="D8" s="21">
        <f>MAX((D5+D6),0)</f>
        <v>138391.05595306723</v>
      </c>
      <c r="E8" s="21">
        <f>MAX((E5+E6),0)</f>
        <v>210.63855911850723</v>
      </c>
      <c r="F8" s="21">
        <f>MAX((F5+F6),0)</f>
        <v>57698.767504073374</v>
      </c>
      <c r="G8" s="21"/>
      <c r="H8" s="21"/>
      <c r="I8" s="21"/>
      <c r="J8" s="21">
        <f>MAX((J5+J6),0)</f>
        <v>3486.4804117707063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0.20721913239095466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4712.4126245714479</v>
      </c>
      <c r="C12" s="23">
        <f ca="1">C8*C10</f>
        <v>0</v>
      </c>
      <c r="D12" s="23">
        <f>D8*D10</f>
        <v>27954.993302519582</v>
      </c>
      <c r="E12" s="23">
        <f>E8*E10</f>
        <v>47.814952919901145</v>
      </c>
      <c r="F12" s="23">
        <f>F8*F10</f>
        <v>15405.570923587591</v>
      </c>
      <c r="G12" s="23"/>
      <c r="H12" s="23"/>
      <c r="I12" s="23"/>
      <c r="J12" s="23">
        <f>J8*J10</f>
        <v>1234.2140657668299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3.2333170545815584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74.793892733056367</v>
      </c>
      <c r="C26" s="247">
        <f>B26*'GWP N2O_CH4'!B5</f>
        <v>1570.6717473941837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8.8754654340965331</v>
      </c>
      <c r="C27" s="247">
        <f>B27*'GWP N2O_CH4'!B5</f>
        <v>186.38477411602719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1.004424969982723</v>
      </c>
      <c r="C28" s="247">
        <f>B28*'GWP N2O_CH4'!B4</f>
        <v>311.37174069464413</v>
      </c>
      <c r="D28" s="50"/>
    </row>
    <row r="29" spans="1:4">
      <c r="A29" s="41" t="s">
        <v>277</v>
      </c>
      <c r="B29" s="247">
        <f>B34*'ha_N2O bodem landbouw'!B4</f>
        <v>9.9296807213840665</v>
      </c>
      <c r="C29" s="247">
        <f>B29*'GWP N2O_CH4'!B4</f>
        <v>3078.2010236290607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2.2270524515393387E-3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1.4152603922205317E-3</v>
      </c>
      <c r="C5" s="464" t="s">
        <v>211</v>
      </c>
      <c r="D5" s="449">
        <f>SUM(D6:D11)</f>
        <v>3.7060016159432491E-3</v>
      </c>
      <c r="E5" s="449">
        <f>SUM(E6:E11)</f>
        <v>2.6817629617814788E-2</v>
      </c>
      <c r="F5" s="462" t="s">
        <v>211</v>
      </c>
      <c r="G5" s="449">
        <f>SUM(G6:G11)</f>
        <v>8.5497449307525493</v>
      </c>
      <c r="H5" s="449">
        <f>SUM(H6:H11)</f>
        <v>1.4349848621985122</v>
      </c>
      <c r="I5" s="464" t="s">
        <v>211</v>
      </c>
      <c r="J5" s="464" t="s">
        <v>211</v>
      </c>
      <c r="K5" s="464" t="s">
        <v>211</v>
      </c>
      <c r="L5" s="464" t="s">
        <v>211</v>
      </c>
      <c r="M5" s="449">
        <f>SUM(M6:M11)</f>
        <v>0.53873769591325671</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4.307682209450641E-4</v>
      </c>
      <c r="C6" s="450"/>
      <c r="D6" s="963">
        <f>vkm_2011_GW_PW*SUMIFS(TableVerdeelsleutelVkm[CNG],TableVerdeelsleutelVkm[Voertuigtype],"Lichte voertuigen")*SUMIFS(TableECFTransport[EnergieConsumptieFactor (PJ per km)],TableECFTransport[Index],CONCATENATE($A6,"_CNG_CNG"))</f>
        <v>9.9641432066246787E-4</v>
      </c>
      <c r="E6" s="963">
        <f>vkm_2011_GW_PW*SUMIFS(TableVerdeelsleutelVkm[LPG],TableVerdeelsleutelVkm[Voertuigtype],"Lichte voertuigen")*SUMIFS(TableECFTransport[EnergieConsumptieFactor (PJ per km)],TableECFTransport[Index],CONCATENATE($A6,"_LPG_LPG"))</f>
        <v>6.4880483384002711E-3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1.347844041969849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0.37992938140196969</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8.9662484013398949E-2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0.47422175891383556</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1.6217522928021073E-4</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2.7436416764080443E-2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1.9322424803712418E-4</v>
      </c>
      <c r="C8" s="450"/>
      <c r="D8" s="452">
        <f>vkm_2011_NGW_PW*SUMIFS(TableVerdeelsleutelVkm[CNG],TableVerdeelsleutelVkm[Voertuigtype],"Lichte voertuigen")*SUMIFS(TableECFTransport[EnergieConsumptieFactor (PJ per km)],TableECFTransport[Index],CONCATENATE($A8,"_CNG_CNG"))</f>
        <v>7.9052209002253987E-4</v>
      </c>
      <c r="E8" s="452">
        <f>vkm_2011_NGW_PW*SUMIFS(TableVerdeelsleutelVkm[LPG],TableVerdeelsleutelVkm[Voertuigtype],"Lichte voertuigen")*SUMIFS(TableECFTransport[EnergieConsumptieFactor (PJ per km)],TableECFTransport[Index],CONCATENATE($A8,"_LPG_LPG"))</f>
        <v>4.7505169521890643E-3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0.9225434132991911</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0.29145513204960627</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6.2337199377652537E-2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0.1448363635454821</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4.6867360090182414E-5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8.3795225873043479E-3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7.9126792323834343E-4</v>
      </c>
      <c r="C10" s="450"/>
      <c r="D10" s="452">
        <f>vkm_2011_SW_PW*SUMIFS(TableVerdeelsleutelVkm[CNG],TableVerdeelsleutelVkm[Voertuigtype],"Lichte voertuigen")*SUMIFS(TableECFTransport[EnergieConsumptieFactor (PJ per km)],TableECFTransport[Index],CONCATENATE($A10,"_CNG_CNG"))</f>
        <v>1.9190652052582416E-3</v>
      </c>
      <c r="E10" s="452">
        <f>vkm_2011_SW_PW*SUMIFS(TableVerdeelsleutelVkm[LPG],TableVerdeelsleutelVkm[Voertuigtype],"Lichte voertuigen")*SUMIFS(TableECFTransport[EnergieConsumptieFactor (PJ per km)],TableECFTransport[Index],CONCATENATE($A10,"_LPG_LPG"))</f>
        <v>1.5579064327225452E-2</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2.9137323428405408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0.7623790252057141</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0.19201535590203092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2.7465670101836506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1.0122809518517794E-3</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0.15890671726878955</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393.12788672792544</v>
      </c>
      <c r="C14" s="21"/>
      <c r="D14" s="21">
        <f t="shared" ref="D14:M14" si="0">((D5)*10^9/3600)+D12</f>
        <v>1029.4448933175693</v>
      </c>
      <c r="E14" s="21">
        <f t="shared" si="0"/>
        <v>7449.3415605041073</v>
      </c>
      <c r="F14" s="21"/>
      <c r="G14" s="21">
        <f t="shared" si="0"/>
        <v>2374929.1474312637</v>
      </c>
      <c r="H14" s="21">
        <f t="shared" si="0"/>
        <v>398606.90616625338</v>
      </c>
      <c r="I14" s="21"/>
      <c r="J14" s="21"/>
      <c r="K14" s="21"/>
      <c r="L14" s="21"/>
      <c r="M14" s="21">
        <f t="shared" si="0"/>
        <v>149649.35997590466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0.20721913239095466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81.463619606450209</v>
      </c>
      <c r="C18" s="23"/>
      <c r="D18" s="23">
        <f t="shared" ref="D18:M18" si="1">D14*D16</f>
        <v>207.947868450149</v>
      </c>
      <c r="E18" s="23">
        <f t="shared" si="1"/>
        <v>1691.0005342344325</v>
      </c>
      <c r="F18" s="23"/>
      <c r="G18" s="23">
        <f t="shared" si="1"/>
        <v>634106.08236414741</v>
      </c>
      <c r="H18" s="23">
        <f t="shared" si="1"/>
        <v>99253.119635397088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0.1207020985662549</v>
      </c>
      <c r="C50" s="321">
        <f t="shared" ref="C50:P50" si="2">SUM(C51:C52)</f>
        <v>0</v>
      </c>
      <c r="D50" s="321">
        <f t="shared" si="2"/>
        <v>0</v>
      </c>
      <c r="E50" s="321">
        <f t="shared" si="2"/>
        <v>0</v>
      </c>
      <c r="F50" s="321">
        <f t="shared" si="2"/>
        <v>0</v>
      </c>
      <c r="G50" s="321">
        <f t="shared" si="2"/>
        <v>0.17316015737849524</v>
      </c>
      <c r="H50" s="321">
        <f t="shared" si="2"/>
        <v>0</v>
      </c>
      <c r="I50" s="321">
        <f t="shared" si="2"/>
        <v>0</v>
      </c>
      <c r="J50" s="321">
        <f t="shared" si="2"/>
        <v>0</v>
      </c>
      <c r="K50" s="321">
        <f t="shared" si="2"/>
        <v>0</v>
      </c>
      <c r="L50" s="321">
        <f t="shared" si="2"/>
        <v>0</v>
      </c>
      <c r="M50" s="321">
        <f t="shared" si="2"/>
        <v>9.874818986168243E-3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0.17316015737849524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9.874818986168243E-3</v>
      </c>
      <c r="N51" s="323"/>
      <c r="O51" s="323"/>
      <c r="P51" s="326"/>
    </row>
    <row r="52" spans="1:18">
      <c r="A52" s="4" t="s">
        <v>330</v>
      </c>
      <c r="B52" s="964">
        <f>vkm_2011_tram*SUMIFS(TableECFTransport[EnergieConsumptieFactor (PJ per km)],TableECFTransport[Index],"Tram_gemiddeld_Electric_Electric")</f>
        <v>0.1207020985662549</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33528.360712848582</v>
      </c>
      <c r="C54" s="21">
        <f t="shared" ref="C54:P54" si="3">(C50)*10^9/3600</f>
        <v>0</v>
      </c>
      <c r="D54" s="21">
        <f t="shared" si="3"/>
        <v>0</v>
      </c>
      <c r="E54" s="21">
        <f t="shared" si="3"/>
        <v>0</v>
      </c>
      <c r="F54" s="21">
        <f t="shared" si="3"/>
        <v>0</v>
      </c>
      <c r="G54" s="21">
        <f t="shared" si="3"/>
        <v>48100.043716248678</v>
      </c>
      <c r="H54" s="21">
        <f t="shared" si="3"/>
        <v>0</v>
      </c>
      <c r="I54" s="21">
        <f t="shared" si="3"/>
        <v>0</v>
      </c>
      <c r="J54" s="21">
        <f t="shared" si="3"/>
        <v>0</v>
      </c>
      <c r="K54" s="21">
        <f t="shared" si="3"/>
        <v>0</v>
      </c>
      <c r="L54" s="21">
        <f t="shared" si="3"/>
        <v>0</v>
      </c>
      <c r="M54" s="21">
        <f t="shared" si="3"/>
        <v>2743.0052739356229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0.20721913239095466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6947.7178174074534</v>
      </c>
      <c r="C58" s="23">
        <f t="shared" ref="C58:P58" ca="1" si="4">C54*C56</f>
        <v>0</v>
      </c>
      <c r="D58" s="23">
        <f t="shared" si="4"/>
        <v>0</v>
      </c>
      <c r="E58" s="23">
        <f t="shared" si="4"/>
        <v>0</v>
      </c>
      <c r="F58" s="23">
        <f t="shared" si="4"/>
        <v>0</v>
      </c>
      <c r="G58" s="23">
        <f t="shared" si="4"/>
        <v>12842.711672238398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4"/>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65610.176517411266</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58384.410625038581</v>
      </c>
      <c r="C6" s="1223"/>
      <c r="D6" s="1226"/>
      <c r="E6" s="1226"/>
      <c r="F6" s="1229"/>
      <c r="G6" s="1232"/>
      <c r="H6" s="1220"/>
      <c r="I6" s="1226"/>
      <c r="J6" s="1226"/>
      <c r="K6" s="1226"/>
      <c r="L6" s="1256"/>
      <c r="M6" s="576"/>
      <c r="N6" s="1268"/>
      <c r="O6" s="1269"/>
      <c r="Q6" s="574"/>
      <c r="R6" s="1253"/>
      <c r="S6" s="1253"/>
    </row>
    <row r="7" spans="1:19" s="564" customFormat="1">
      <c r="A7" s="577" t="s">
        <v>252</v>
      </c>
      <c r="B7" s="578">
        <f>N57</f>
        <v>10818.1875</v>
      </c>
      <c r="C7" s="579">
        <f>B100</f>
        <v>12727.279411764706</v>
      </c>
      <c r="D7" s="580"/>
      <c r="E7" s="580">
        <f>E100</f>
        <v>0</v>
      </c>
      <c r="F7" s="581"/>
      <c r="G7" s="582"/>
      <c r="H7" s="580">
        <f>I100</f>
        <v>0</v>
      </c>
      <c r="I7" s="580">
        <f>G100+F100</f>
        <v>0</v>
      </c>
      <c r="J7" s="580">
        <f>H100+D100+C100</f>
        <v>0</v>
      </c>
      <c r="K7" s="580"/>
      <c r="L7" s="583"/>
      <c r="M7" s="584">
        <f>C7*$C$11+D7*$D$11+E7*$E$11+F7*$F$11+G7*$G$11+H7*$H$11+I7*$I$11+J7*$J$11</f>
        <v>2570.9104411764706</v>
      </c>
      <c r="N7" s="1268"/>
      <c r="O7" s="1269"/>
      <c r="Q7" s="574"/>
      <c r="R7" s="1253"/>
      <c r="S7" s="1253"/>
    </row>
    <row r="8" spans="1:19" s="564" customFormat="1" ht="17.45" customHeight="1" thickBot="1">
      <c r="A8" s="585" t="s">
        <v>248</v>
      </c>
      <c r="B8" s="586">
        <f>N88+'Eigen informatie GS &amp; warmtenet'!B12</f>
        <v>19768.5</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154581.27464244986</v>
      </c>
      <c r="C9" s="595">
        <f t="shared" ref="C9:L9" si="0">SUM(C7:C8)</f>
        <v>12727.279411764706</v>
      </c>
      <c r="D9" s="595">
        <f t="shared" si="0"/>
        <v>0</v>
      </c>
      <c r="E9" s="595">
        <f t="shared" si="0"/>
        <v>0</v>
      </c>
      <c r="F9" s="595">
        <f t="shared" si="0"/>
        <v>0</v>
      </c>
      <c r="G9" s="595">
        <f t="shared" si="0"/>
        <v>0</v>
      </c>
      <c r="H9" s="595">
        <f t="shared" si="0"/>
        <v>0</v>
      </c>
      <c r="I9" s="595">
        <f t="shared" si="0"/>
        <v>0</v>
      </c>
      <c r="J9" s="595">
        <f t="shared" si="0"/>
        <v>56481.428571428572</v>
      </c>
      <c r="K9" s="595">
        <f t="shared" si="0"/>
        <v>0</v>
      </c>
      <c r="L9" s="595">
        <f t="shared" si="0"/>
        <v>0</v>
      </c>
      <c r="M9" s="596">
        <f>SUM(M4:M8)</f>
        <v>2570.9104411764706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15454.553571428572</v>
      </c>
      <c r="C16" s="611">
        <f>B101</f>
        <v>18181.827731092439</v>
      </c>
      <c r="D16" s="612"/>
      <c r="E16" s="612">
        <f>E101</f>
        <v>0</v>
      </c>
      <c r="F16" s="613"/>
      <c r="G16" s="614"/>
      <c r="H16" s="611">
        <f>I101</f>
        <v>0</v>
      </c>
      <c r="I16" s="612">
        <f>G101+F101</f>
        <v>0</v>
      </c>
      <c r="J16" s="612">
        <f>H101+D101+C101</f>
        <v>0</v>
      </c>
      <c r="K16" s="612"/>
      <c r="L16" s="615"/>
      <c r="M16" s="616">
        <f>C16*$C$21+E16*$E$21+H16*$H$21+I16*$I$21+J16*$J$21+D16*$D$21+F16*$F$21+G16*$G$21+K16*$K$21+L16*$L$21</f>
        <v>3672.7292016806728</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15454.553571428572</v>
      </c>
      <c r="C19" s="594">
        <f>SUM(C16:C18)</f>
        <v>18181.827731092439</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3672.7292016806728</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11002</v>
      </c>
      <c r="C27" s="852">
        <v>2018</v>
      </c>
      <c r="D27" s="673" t="s">
        <v>871</v>
      </c>
      <c r="E27" s="672" t="s">
        <v>872</v>
      </c>
      <c r="F27" s="672" t="s">
        <v>873</v>
      </c>
      <c r="G27" s="672" t="s">
        <v>874</v>
      </c>
      <c r="H27" s="672" t="s">
        <v>875</v>
      </c>
      <c r="I27" s="672" t="s">
        <v>872</v>
      </c>
      <c r="J27" s="851">
        <v>39370</v>
      </c>
      <c r="K27" s="851">
        <v>39448</v>
      </c>
      <c r="L27" s="672" t="s">
        <v>876</v>
      </c>
      <c r="M27" s="672">
        <v>220</v>
      </c>
      <c r="N27" s="672">
        <v>990</v>
      </c>
      <c r="O27" s="672">
        <v>1414.2857142857142</v>
      </c>
      <c r="P27" s="672">
        <v>2828.5714285714289</v>
      </c>
      <c r="Q27" s="672">
        <v>0</v>
      </c>
      <c r="R27" s="672">
        <v>0</v>
      </c>
      <c r="S27" s="672">
        <v>0</v>
      </c>
      <c r="T27" s="672">
        <v>0</v>
      </c>
      <c r="U27" s="672">
        <v>0</v>
      </c>
      <c r="V27" s="672">
        <v>0</v>
      </c>
      <c r="W27" s="672">
        <v>0</v>
      </c>
      <c r="X27" s="672">
        <v>1500</v>
      </c>
      <c r="Y27" s="672" t="s">
        <v>51</v>
      </c>
      <c r="Z27" s="674" t="s">
        <v>156</v>
      </c>
    </row>
    <row r="28" spans="1:26" s="626" customFormat="1" ht="25.5">
      <c r="A28" s="625"/>
      <c r="B28" s="852">
        <v>11002</v>
      </c>
      <c r="C28" s="852">
        <v>2170</v>
      </c>
      <c r="D28" s="673" t="s">
        <v>877</v>
      </c>
      <c r="E28" s="672" t="s">
        <v>878</v>
      </c>
      <c r="F28" s="672" t="s">
        <v>879</v>
      </c>
      <c r="G28" s="672" t="s">
        <v>874</v>
      </c>
      <c r="H28" s="672" t="s">
        <v>875</v>
      </c>
      <c r="I28" s="672" t="s">
        <v>878</v>
      </c>
      <c r="J28" s="851">
        <v>39797</v>
      </c>
      <c r="K28" s="851">
        <v>39812</v>
      </c>
      <c r="L28" s="672" t="s">
        <v>876</v>
      </c>
      <c r="M28" s="672">
        <v>806</v>
      </c>
      <c r="N28" s="672">
        <v>3627</v>
      </c>
      <c r="O28" s="672">
        <v>5181.4285714285716</v>
      </c>
      <c r="P28" s="672">
        <v>10362.857142857143</v>
      </c>
      <c r="Q28" s="672">
        <v>0</v>
      </c>
      <c r="R28" s="672">
        <v>0</v>
      </c>
      <c r="S28" s="672">
        <v>0</v>
      </c>
      <c r="T28" s="672">
        <v>0</v>
      </c>
      <c r="U28" s="672">
        <v>0</v>
      </c>
      <c r="V28" s="672">
        <v>0</v>
      </c>
      <c r="W28" s="672">
        <v>0</v>
      </c>
      <c r="X28" s="672">
        <v>500</v>
      </c>
      <c r="Y28" s="672" t="s">
        <v>41</v>
      </c>
      <c r="Z28" s="674" t="s">
        <v>389</v>
      </c>
    </row>
    <row r="29" spans="1:26" s="626" customFormat="1" ht="38.25">
      <c r="A29" s="625"/>
      <c r="B29" s="852">
        <v>11002</v>
      </c>
      <c r="C29" s="852">
        <v>2020</v>
      </c>
      <c r="D29" s="673" t="s">
        <v>880</v>
      </c>
      <c r="E29" s="672" t="s">
        <v>881</v>
      </c>
      <c r="F29" s="672" t="s">
        <v>882</v>
      </c>
      <c r="G29" s="672" t="s">
        <v>874</v>
      </c>
      <c r="H29" s="672" t="s">
        <v>875</v>
      </c>
      <c r="I29" s="672" t="s">
        <v>881</v>
      </c>
      <c r="J29" s="851">
        <v>40483</v>
      </c>
      <c r="K29" s="851">
        <v>40603</v>
      </c>
      <c r="L29" s="672" t="s">
        <v>876</v>
      </c>
      <c r="M29" s="672">
        <v>834</v>
      </c>
      <c r="N29" s="672">
        <v>3753</v>
      </c>
      <c r="O29" s="672">
        <v>5361.4285714285716</v>
      </c>
      <c r="P29" s="672">
        <v>10722.857142857143</v>
      </c>
      <c r="Q29" s="672">
        <v>0</v>
      </c>
      <c r="R29" s="672">
        <v>0</v>
      </c>
      <c r="S29" s="672">
        <v>0</v>
      </c>
      <c r="T29" s="672">
        <v>0</v>
      </c>
      <c r="U29" s="672">
        <v>0</v>
      </c>
      <c r="V29" s="672">
        <v>0</v>
      </c>
      <c r="W29" s="672">
        <v>0</v>
      </c>
      <c r="X29" s="672">
        <v>1500</v>
      </c>
      <c r="Y29" s="672" t="s">
        <v>51</v>
      </c>
      <c r="Z29" s="674" t="s">
        <v>156</v>
      </c>
    </row>
    <row r="30" spans="1:26" s="626" customFormat="1" ht="38.25">
      <c r="A30" s="625"/>
      <c r="B30" s="852">
        <v>11002</v>
      </c>
      <c r="C30" s="852">
        <v>2018</v>
      </c>
      <c r="D30" s="673" t="s">
        <v>883</v>
      </c>
      <c r="E30" s="672" t="s">
        <v>884</v>
      </c>
      <c r="F30" s="672" t="s">
        <v>885</v>
      </c>
      <c r="G30" s="672" t="s">
        <v>874</v>
      </c>
      <c r="H30" s="672" t="s">
        <v>875</v>
      </c>
      <c r="I30" s="672" t="s">
        <v>884</v>
      </c>
      <c r="J30" s="851">
        <v>40470</v>
      </c>
      <c r="K30" s="851">
        <v>40756</v>
      </c>
      <c r="L30" s="672" t="s">
        <v>876</v>
      </c>
      <c r="M30" s="672">
        <v>60</v>
      </c>
      <c r="N30" s="672">
        <v>270</v>
      </c>
      <c r="O30" s="672">
        <v>385.71428571428572</v>
      </c>
      <c r="P30" s="672">
        <v>771.42857142857144</v>
      </c>
      <c r="Q30" s="672">
        <v>0</v>
      </c>
      <c r="R30" s="672">
        <v>0</v>
      </c>
      <c r="S30" s="672">
        <v>0</v>
      </c>
      <c r="T30" s="672">
        <v>0</v>
      </c>
      <c r="U30" s="672">
        <v>0</v>
      </c>
      <c r="V30" s="672">
        <v>0</v>
      </c>
      <c r="W30" s="672">
        <v>0</v>
      </c>
      <c r="X30" s="672">
        <v>1500</v>
      </c>
      <c r="Y30" s="672" t="s">
        <v>51</v>
      </c>
      <c r="Z30" s="674" t="s">
        <v>156</v>
      </c>
    </row>
    <row r="31" spans="1:26" s="626" customFormat="1" ht="63.75">
      <c r="A31" s="625"/>
      <c r="B31" s="852">
        <v>11002</v>
      </c>
      <c r="C31" s="852">
        <v>2170</v>
      </c>
      <c r="D31" s="673" t="s">
        <v>886</v>
      </c>
      <c r="E31" s="672" t="s">
        <v>887</v>
      </c>
      <c r="F31" s="672" t="s">
        <v>888</v>
      </c>
      <c r="G31" s="672" t="s">
        <v>874</v>
      </c>
      <c r="H31" s="672" t="s">
        <v>875</v>
      </c>
      <c r="I31" s="672" t="s">
        <v>889</v>
      </c>
      <c r="J31" s="851">
        <v>41023</v>
      </c>
      <c r="K31" s="851">
        <v>40942</v>
      </c>
      <c r="L31" s="672" t="s">
        <v>876</v>
      </c>
      <c r="M31" s="672">
        <v>70</v>
      </c>
      <c r="N31" s="672">
        <v>315.00000000000006</v>
      </c>
      <c r="O31" s="672">
        <v>450.00000000000011</v>
      </c>
      <c r="P31" s="672">
        <v>900.00000000000023</v>
      </c>
      <c r="Q31" s="672">
        <v>0</v>
      </c>
      <c r="R31" s="672">
        <v>0</v>
      </c>
      <c r="S31" s="672">
        <v>0</v>
      </c>
      <c r="T31" s="672">
        <v>0</v>
      </c>
      <c r="U31" s="672">
        <v>0</v>
      </c>
      <c r="V31" s="672">
        <v>0</v>
      </c>
      <c r="W31" s="672">
        <v>0</v>
      </c>
      <c r="X31" s="672">
        <v>1600</v>
      </c>
      <c r="Y31" s="672" t="s">
        <v>50</v>
      </c>
      <c r="Z31" s="674" t="s">
        <v>156</v>
      </c>
    </row>
    <row r="32" spans="1:26" s="626" customFormat="1" ht="63.75">
      <c r="A32" s="625"/>
      <c r="B32" s="852">
        <v>11002</v>
      </c>
      <c r="C32" s="852">
        <v>2610</v>
      </c>
      <c r="D32" s="673" t="s">
        <v>886</v>
      </c>
      <c r="E32" s="672" t="s">
        <v>887</v>
      </c>
      <c r="F32" s="672" t="s">
        <v>890</v>
      </c>
      <c r="G32" s="672" t="s">
        <v>874</v>
      </c>
      <c r="H32" s="672" t="s">
        <v>875</v>
      </c>
      <c r="I32" s="672" t="s">
        <v>891</v>
      </c>
      <c r="J32" s="851">
        <v>40963</v>
      </c>
      <c r="K32" s="851">
        <v>41153</v>
      </c>
      <c r="L32" s="672" t="s">
        <v>876</v>
      </c>
      <c r="M32" s="672">
        <v>70</v>
      </c>
      <c r="N32" s="672">
        <v>315.00000000000006</v>
      </c>
      <c r="O32" s="672">
        <v>450.00000000000011</v>
      </c>
      <c r="P32" s="672">
        <v>900.00000000000023</v>
      </c>
      <c r="Q32" s="672">
        <v>0</v>
      </c>
      <c r="R32" s="672">
        <v>0</v>
      </c>
      <c r="S32" s="672">
        <v>0</v>
      </c>
      <c r="T32" s="672">
        <v>0</v>
      </c>
      <c r="U32" s="672">
        <v>0</v>
      </c>
      <c r="V32" s="672">
        <v>0</v>
      </c>
      <c r="W32" s="672">
        <v>0</v>
      </c>
      <c r="X32" s="672">
        <v>1600</v>
      </c>
      <c r="Y32" s="672" t="s">
        <v>50</v>
      </c>
      <c r="Z32" s="674" t="s">
        <v>156</v>
      </c>
    </row>
    <row r="33" spans="1:26" s="626" customFormat="1" ht="63.75">
      <c r="A33" s="625"/>
      <c r="B33" s="852">
        <v>11002</v>
      </c>
      <c r="C33" s="852">
        <v>2018</v>
      </c>
      <c r="D33" s="673" t="s">
        <v>886</v>
      </c>
      <c r="E33" s="672" t="s">
        <v>887</v>
      </c>
      <c r="F33" s="672" t="s">
        <v>892</v>
      </c>
      <c r="G33" s="672" t="s">
        <v>874</v>
      </c>
      <c r="H33" s="672" t="s">
        <v>875</v>
      </c>
      <c r="I33" s="672" t="s">
        <v>893</v>
      </c>
      <c r="J33" s="851">
        <v>40963</v>
      </c>
      <c r="K33" s="851">
        <v>41183</v>
      </c>
      <c r="L33" s="672" t="s">
        <v>876</v>
      </c>
      <c r="M33" s="672">
        <v>199</v>
      </c>
      <c r="N33" s="672">
        <v>895.5</v>
      </c>
      <c r="O33" s="672">
        <v>1279.2857142857142</v>
      </c>
      <c r="P33" s="672">
        <v>2558.5714285714289</v>
      </c>
      <c r="Q33" s="672">
        <v>0</v>
      </c>
      <c r="R33" s="672">
        <v>0</v>
      </c>
      <c r="S33" s="672">
        <v>0</v>
      </c>
      <c r="T33" s="672">
        <v>0</v>
      </c>
      <c r="U33" s="672">
        <v>0</v>
      </c>
      <c r="V33" s="672">
        <v>0</v>
      </c>
      <c r="W33" s="672">
        <v>0</v>
      </c>
      <c r="X33" s="672">
        <v>1600</v>
      </c>
      <c r="Y33" s="672" t="s">
        <v>50</v>
      </c>
      <c r="Z33" s="674" t="s">
        <v>156</v>
      </c>
    </row>
    <row r="34" spans="1:26" s="626" customFormat="1" ht="63.75">
      <c r="A34" s="625"/>
      <c r="B34" s="852">
        <v>11002</v>
      </c>
      <c r="C34" s="852">
        <v>2660</v>
      </c>
      <c r="D34" s="673" t="s">
        <v>886</v>
      </c>
      <c r="E34" s="672" t="s">
        <v>887</v>
      </c>
      <c r="F34" s="672" t="s">
        <v>894</v>
      </c>
      <c r="G34" s="672" t="s">
        <v>874</v>
      </c>
      <c r="H34" s="672" t="s">
        <v>875</v>
      </c>
      <c r="I34" s="672" t="s">
        <v>895</v>
      </c>
      <c r="J34" s="851">
        <v>41257</v>
      </c>
      <c r="K34" s="851">
        <v>41183</v>
      </c>
      <c r="L34" s="672" t="s">
        <v>896</v>
      </c>
      <c r="M34" s="672">
        <v>70</v>
      </c>
      <c r="N34" s="672">
        <v>315.00000000000006</v>
      </c>
      <c r="O34" s="672">
        <v>450.00000000000011</v>
      </c>
      <c r="P34" s="672">
        <v>900.00000000000023</v>
      </c>
      <c r="Q34" s="672">
        <v>0</v>
      </c>
      <c r="R34" s="672">
        <v>0</v>
      </c>
      <c r="S34" s="672">
        <v>0</v>
      </c>
      <c r="T34" s="672">
        <v>0</v>
      </c>
      <c r="U34" s="672">
        <v>0</v>
      </c>
      <c r="V34" s="672">
        <v>0</v>
      </c>
      <c r="W34" s="672">
        <v>0</v>
      </c>
      <c r="X34" s="672">
        <v>1600</v>
      </c>
      <c r="Y34" s="672" t="s">
        <v>50</v>
      </c>
      <c r="Z34" s="674" t="s">
        <v>156</v>
      </c>
    </row>
    <row r="35" spans="1:26" s="626" customFormat="1" ht="63.75">
      <c r="A35" s="625"/>
      <c r="B35" s="852">
        <v>11002</v>
      </c>
      <c r="C35" s="852">
        <v>2140</v>
      </c>
      <c r="D35" s="673" t="s">
        <v>886</v>
      </c>
      <c r="E35" s="672" t="s">
        <v>887</v>
      </c>
      <c r="F35" s="672" t="s">
        <v>897</v>
      </c>
      <c r="G35" s="672" t="s">
        <v>874</v>
      </c>
      <c r="H35" s="672" t="s">
        <v>875</v>
      </c>
      <c r="I35" s="672" t="s">
        <v>898</v>
      </c>
      <c r="J35" s="851">
        <v>41753</v>
      </c>
      <c r="K35" s="851">
        <v>41629</v>
      </c>
      <c r="L35" s="672" t="s">
        <v>876</v>
      </c>
      <c r="M35" s="672">
        <v>70</v>
      </c>
      <c r="N35" s="672">
        <v>315.00000000000006</v>
      </c>
      <c r="O35" s="672">
        <v>450.00000000000011</v>
      </c>
      <c r="P35" s="672">
        <v>900.00000000000023</v>
      </c>
      <c r="Q35" s="672">
        <v>0</v>
      </c>
      <c r="R35" s="672">
        <v>0</v>
      </c>
      <c r="S35" s="672">
        <v>0</v>
      </c>
      <c r="T35" s="672">
        <v>0</v>
      </c>
      <c r="U35" s="672">
        <v>0</v>
      </c>
      <c r="V35" s="672">
        <v>0</v>
      </c>
      <c r="W35" s="672">
        <v>0</v>
      </c>
      <c r="X35" s="672">
        <v>1600</v>
      </c>
      <c r="Y35" s="672" t="s">
        <v>50</v>
      </c>
      <c r="Z35" s="674" t="s">
        <v>156</v>
      </c>
    </row>
    <row r="36" spans="1:26" s="626" customFormat="1" ht="25.5">
      <c r="A36" s="625"/>
      <c r="B36" s="852">
        <v>11002</v>
      </c>
      <c r="C36" s="852">
        <v>2000</v>
      </c>
      <c r="D36" s="673" t="s">
        <v>899</v>
      </c>
      <c r="E36" s="672" t="s">
        <v>900</v>
      </c>
      <c r="F36" s="672" t="s">
        <v>901</v>
      </c>
      <c r="G36" s="672" t="s">
        <v>874</v>
      </c>
      <c r="H36" s="672" t="s">
        <v>875</v>
      </c>
      <c r="I36" s="672" t="s">
        <v>902</v>
      </c>
      <c r="J36" s="851">
        <v>41654</v>
      </c>
      <c r="K36" s="851">
        <v>41656</v>
      </c>
      <c r="L36" s="672" t="s">
        <v>896</v>
      </c>
      <c r="M36" s="672">
        <v>5.5</v>
      </c>
      <c r="N36" s="672">
        <v>22.6875</v>
      </c>
      <c r="O36" s="672">
        <v>32.410714285714285</v>
      </c>
      <c r="P36" s="672">
        <v>64.821428571428569</v>
      </c>
      <c r="Q36" s="672">
        <v>0</v>
      </c>
      <c r="R36" s="672">
        <v>0</v>
      </c>
      <c r="S36" s="672">
        <v>0</v>
      </c>
      <c r="T36" s="672">
        <v>0</v>
      </c>
      <c r="U36" s="672">
        <v>0</v>
      </c>
      <c r="V36" s="672">
        <v>0</v>
      </c>
      <c r="W36" s="672">
        <v>0</v>
      </c>
      <c r="X36" s="672">
        <v>1300</v>
      </c>
      <c r="Y36" s="672" t="s">
        <v>54</v>
      </c>
      <c r="Z36" s="674" t="s">
        <v>156</v>
      </c>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2404.5</v>
      </c>
      <c r="N57" s="630">
        <f>SUM(N27:N56)</f>
        <v>10818.1875</v>
      </c>
      <c r="O57" s="630">
        <f t="shared" ref="O57:W57" si="2">SUM(O27:O56)</f>
        <v>15454.553571428572</v>
      </c>
      <c r="P57" s="630">
        <f t="shared" si="2"/>
        <v>30909.107142857145</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806</v>
      </c>
      <c r="N58" s="630">
        <f t="shared" ref="N58:W58" si="3">SUMIF($Z$27:$Z$56,"industrie",N27:N56)</f>
        <v>3627</v>
      </c>
      <c r="O58" s="630">
        <f t="shared" si="3"/>
        <v>5181.4285714285716</v>
      </c>
      <c r="P58" s="630">
        <f t="shared" si="3"/>
        <v>10362.857142857143</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1598.5</v>
      </c>
      <c r="N59" s="630">
        <f ca="1">SUMIF($Z$27:AB56,"tertiair",N27:N56)</f>
        <v>7191.1875</v>
      </c>
      <c r="O59" s="630">
        <f ca="1">SUMIF($Z$27:AC56,"tertiair",O27:O56)</f>
        <v>10273.125</v>
      </c>
      <c r="P59" s="630">
        <f ca="1">SUMIF($Z$27:AD56,"tertiair",P27:P56)</f>
        <v>20546.25</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11002</v>
      </c>
      <c r="C63" s="852">
        <v>2020</v>
      </c>
      <c r="D63" s="675" t="s">
        <v>903</v>
      </c>
      <c r="E63" s="675" t="s">
        <v>904</v>
      </c>
      <c r="F63" s="675" t="s">
        <v>905</v>
      </c>
      <c r="G63" s="675" t="s">
        <v>906</v>
      </c>
      <c r="H63" s="675" t="s">
        <v>907</v>
      </c>
      <c r="I63" s="675" t="s">
        <v>908</v>
      </c>
      <c r="J63" s="851">
        <v>38169</v>
      </c>
      <c r="K63" s="851">
        <v>38261</v>
      </c>
      <c r="L63" s="675" t="s">
        <v>896</v>
      </c>
      <c r="M63" s="675">
        <v>300</v>
      </c>
      <c r="N63" s="675">
        <v>1350</v>
      </c>
      <c r="O63" s="675">
        <v>0</v>
      </c>
      <c r="P63" s="675">
        <v>0</v>
      </c>
      <c r="Q63" s="675">
        <v>3857.1428571428573</v>
      </c>
      <c r="R63" s="675">
        <v>0</v>
      </c>
      <c r="S63" s="675">
        <v>0</v>
      </c>
      <c r="T63" s="675">
        <v>0</v>
      </c>
      <c r="U63" s="675">
        <v>0</v>
      </c>
      <c r="V63" s="675">
        <v>0</v>
      </c>
      <c r="W63" s="675">
        <v>0</v>
      </c>
      <c r="X63" s="675">
        <v>1600</v>
      </c>
      <c r="Y63" s="675" t="s">
        <v>50</v>
      </c>
      <c r="Z63" s="676" t="s">
        <v>156</v>
      </c>
    </row>
    <row r="64" spans="1:26" s="641" customFormat="1" ht="63.75">
      <c r="A64" s="627"/>
      <c r="B64" s="852">
        <v>11002</v>
      </c>
      <c r="C64" s="852">
        <v>2030</v>
      </c>
      <c r="D64" s="675" t="s">
        <v>909</v>
      </c>
      <c r="E64" s="675" t="s">
        <v>910</v>
      </c>
      <c r="F64" s="675" t="s">
        <v>911</v>
      </c>
      <c r="G64" s="675" t="s">
        <v>912</v>
      </c>
      <c r="H64" s="675" t="s">
        <v>907</v>
      </c>
      <c r="I64" s="675" t="s">
        <v>913</v>
      </c>
      <c r="J64" s="851">
        <v>38183</v>
      </c>
      <c r="K64" s="851">
        <v>38200</v>
      </c>
      <c r="L64" s="675" t="s">
        <v>876</v>
      </c>
      <c r="M64" s="675">
        <v>4093</v>
      </c>
      <c r="N64" s="675">
        <v>18418.5</v>
      </c>
      <c r="O64" s="675">
        <v>0</v>
      </c>
      <c r="P64" s="675">
        <v>0</v>
      </c>
      <c r="Q64" s="675">
        <v>0</v>
      </c>
      <c r="R64" s="675">
        <v>52624.285714285717</v>
      </c>
      <c r="S64" s="675">
        <v>0</v>
      </c>
      <c r="T64" s="675">
        <v>0</v>
      </c>
      <c r="U64" s="675">
        <v>0</v>
      </c>
      <c r="V64" s="675">
        <v>0</v>
      </c>
      <c r="W64" s="675">
        <v>0</v>
      </c>
      <c r="X64" s="675">
        <v>1600</v>
      </c>
      <c r="Y64" s="675" t="s">
        <v>50</v>
      </c>
      <c r="Z64" s="676" t="s">
        <v>156</v>
      </c>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4393</v>
      </c>
      <c r="N88" s="630">
        <f t="shared" ref="N88:W88" si="5">SUM(N63:N87)</f>
        <v>19768.5</v>
      </c>
      <c r="O88" s="630">
        <f t="shared" si="5"/>
        <v>0</v>
      </c>
      <c r="P88" s="630">
        <f t="shared" si="5"/>
        <v>0</v>
      </c>
      <c r="Q88" s="630">
        <f t="shared" si="5"/>
        <v>3857.1428571428573</v>
      </c>
      <c r="R88" s="630">
        <f t="shared" si="5"/>
        <v>52624.285714285717</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4393</v>
      </c>
      <c r="N90" s="630">
        <f t="shared" ref="N90:W90" si="7">SUMIF($Z$63:$Z$88,"tertiair",N63:N88)</f>
        <v>19768.5</v>
      </c>
      <c r="O90" s="630">
        <f t="shared" si="7"/>
        <v>0</v>
      </c>
      <c r="P90" s="630">
        <f t="shared" si="7"/>
        <v>0</v>
      </c>
      <c r="Q90" s="630">
        <f t="shared" si="7"/>
        <v>3857.1428571428573</v>
      </c>
      <c r="R90" s="630">
        <f t="shared" si="7"/>
        <v>52624.285714285717</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12727.279411764706</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18181.827731092439</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1229048.3318751613</v>
      </c>
      <c r="D10" s="719">
        <f ca="1">tertiair!C16</f>
        <v>10273.125</v>
      </c>
      <c r="E10" s="719">
        <f ca="1">tertiair!D16</f>
        <v>1405795.4320636468</v>
      </c>
      <c r="F10" s="719">
        <f>tertiair!E16</f>
        <v>9215.7108102972506</v>
      </c>
      <c r="G10" s="719">
        <f ca="1">tertiair!F16</f>
        <v>165268.6302974179</v>
      </c>
      <c r="H10" s="719">
        <f>tertiair!G16</f>
        <v>0</v>
      </c>
      <c r="I10" s="719">
        <f>tertiair!H16</f>
        <v>0</v>
      </c>
      <c r="J10" s="719">
        <f>tertiair!I16</f>
        <v>0</v>
      </c>
      <c r="K10" s="719">
        <f>tertiair!J16</f>
        <v>0</v>
      </c>
      <c r="L10" s="719">
        <f>tertiair!K16</f>
        <v>0</v>
      </c>
      <c r="M10" s="719">
        <f ca="1">tertiair!L16</f>
        <v>0</v>
      </c>
      <c r="N10" s="719">
        <f>tertiair!M16</f>
        <v>0</v>
      </c>
      <c r="O10" s="719">
        <f ca="1">tertiair!N16</f>
        <v>6635.731406470426</v>
      </c>
      <c r="P10" s="719">
        <f>tertiair!O16</f>
        <v>21.88666666666667</v>
      </c>
      <c r="Q10" s="720">
        <f>tertiair!P16</f>
        <v>762.66666666666674</v>
      </c>
      <c r="R10" s="722">
        <f ca="1">SUM(C10:Q10)</f>
        <v>2827021.5147863263</v>
      </c>
      <c r="S10" s="67"/>
    </row>
    <row r="11" spans="1:19" s="475" customFormat="1">
      <c r="A11" s="871" t="s">
        <v>225</v>
      </c>
      <c r="B11" s="876"/>
      <c r="C11" s="719">
        <f>huishoudens!B8</f>
        <v>672377.27219308773</v>
      </c>
      <c r="D11" s="719">
        <f>huishoudens!C8</f>
        <v>0</v>
      </c>
      <c r="E11" s="719">
        <f>huishoudens!D8</f>
        <v>1935842.1270740563</v>
      </c>
      <c r="F11" s="719">
        <f>huishoudens!E8</f>
        <v>28083.611563272527</v>
      </c>
      <c r="G11" s="719">
        <f>huishoudens!F8</f>
        <v>150554.42807144753</v>
      </c>
      <c r="H11" s="719">
        <f>huishoudens!G8</f>
        <v>0</v>
      </c>
      <c r="I11" s="719">
        <f>huishoudens!H8</f>
        <v>0</v>
      </c>
      <c r="J11" s="719">
        <f>huishoudens!I8</f>
        <v>0</v>
      </c>
      <c r="K11" s="719">
        <f>huishoudens!J8</f>
        <v>0</v>
      </c>
      <c r="L11" s="719">
        <f>huishoudens!K8</f>
        <v>0</v>
      </c>
      <c r="M11" s="719">
        <f>huishoudens!L8</f>
        <v>0</v>
      </c>
      <c r="N11" s="719">
        <f>huishoudens!M8</f>
        <v>0</v>
      </c>
      <c r="O11" s="719">
        <f>huishoudens!N8</f>
        <v>102062.86103903131</v>
      </c>
      <c r="P11" s="719">
        <f>huishoudens!O8</f>
        <v>1027.1100000000001</v>
      </c>
      <c r="Q11" s="720">
        <f>huishoudens!P8</f>
        <v>1391.8666666666668</v>
      </c>
      <c r="R11" s="722">
        <f>SUM(C11:Q11)</f>
        <v>2891339.2766075619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334332.77194000001</v>
      </c>
      <c r="D13" s="719">
        <f>industrie!C18</f>
        <v>5181.4285714285716</v>
      </c>
      <c r="E13" s="719">
        <f>industrie!D18</f>
        <v>268534.60513743875</v>
      </c>
      <c r="F13" s="719">
        <f>industrie!E18</f>
        <v>18916.280409622934</v>
      </c>
      <c r="G13" s="719">
        <f>industrie!F18</f>
        <v>288455.96829229902</v>
      </c>
      <c r="H13" s="719">
        <f>industrie!G18</f>
        <v>0</v>
      </c>
      <c r="I13" s="719">
        <f>industrie!H18</f>
        <v>0</v>
      </c>
      <c r="J13" s="719">
        <f>industrie!I18</f>
        <v>0</v>
      </c>
      <c r="K13" s="719">
        <f>industrie!J18</f>
        <v>2877.0319145416179</v>
      </c>
      <c r="L13" s="719">
        <f>industrie!K18</f>
        <v>0</v>
      </c>
      <c r="M13" s="719">
        <f>industrie!L18</f>
        <v>0</v>
      </c>
      <c r="N13" s="719">
        <f>industrie!M18</f>
        <v>0</v>
      </c>
      <c r="O13" s="719">
        <f>industrie!N18</f>
        <v>87424.725910705951</v>
      </c>
      <c r="P13" s="719">
        <f>industrie!O18</f>
        <v>0</v>
      </c>
      <c r="Q13" s="720">
        <f>industrie!P18</f>
        <v>0</v>
      </c>
      <c r="R13" s="722">
        <f>SUM(C13:Q13)</f>
        <v>1005722.8121760368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2235758.3760082489</v>
      </c>
      <c r="D15" s="724">
        <f t="shared" ref="D15:Q15" ca="1" si="0">SUM(D9:D14)</f>
        <v>15454.553571428572</v>
      </c>
      <c r="E15" s="724">
        <f t="shared" ca="1" si="0"/>
        <v>3610172.1642751414</v>
      </c>
      <c r="F15" s="724">
        <f t="shared" si="0"/>
        <v>56215.602783192706</v>
      </c>
      <c r="G15" s="724">
        <f t="shared" ca="1" si="0"/>
        <v>604279.02666116436</v>
      </c>
      <c r="H15" s="724">
        <f t="shared" si="0"/>
        <v>0</v>
      </c>
      <c r="I15" s="724">
        <f t="shared" si="0"/>
        <v>0</v>
      </c>
      <c r="J15" s="724">
        <f t="shared" si="0"/>
        <v>0</v>
      </c>
      <c r="K15" s="724">
        <f t="shared" si="0"/>
        <v>2877.0319145416179</v>
      </c>
      <c r="L15" s="724">
        <f t="shared" si="0"/>
        <v>0</v>
      </c>
      <c r="M15" s="724">
        <f t="shared" ca="1" si="0"/>
        <v>0</v>
      </c>
      <c r="N15" s="724">
        <f t="shared" si="0"/>
        <v>0</v>
      </c>
      <c r="O15" s="724">
        <f t="shared" ca="1" si="0"/>
        <v>196123.31835620769</v>
      </c>
      <c r="P15" s="724">
        <f t="shared" si="0"/>
        <v>1048.9966666666669</v>
      </c>
      <c r="Q15" s="725">
        <f t="shared" si="0"/>
        <v>2154.5333333333338</v>
      </c>
      <c r="R15" s="726">
        <f ca="1">SUM(R9:R14)</f>
        <v>6724083.6035699248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33528.360712848582</v>
      </c>
      <c r="D18" s="719">
        <f>transport!C54</f>
        <v>0</v>
      </c>
      <c r="E18" s="719">
        <f>transport!D54</f>
        <v>0</v>
      </c>
      <c r="F18" s="719">
        <f>transport!E54</f>
        <v>0</v>
      </c>
      <c r="G18" s="719">
        <f>transport!F54</f>
        <v>0</v>
      </c>
      <c r="H18" s="719">
        <f>transport!G54</f>
        <v>48100.043716248678</v>
      </c>
      <c r="I18" s="719">
        <f>transport!H54</f>
        <v>0</v>
      </c>
      <c r="J18" s="719">
        <f>transport!I54</f>
        <v>0</v>
      </c>
      <c r="K18" s="719">
        <f>transport!J54</f>
        <v>0</v>
      </c>
      <c r="L18" s="719">
        <f>transport!K54</f>
        <v>0</v>
      </c>
      <c r="M18" s="719">
        <f>transport!L54</f>
        <v>0</v>
      </c>
      <c r="N18" s="719">
        <f>transport!M54</f>
        <v>2743.0052739356229</v>
      </c>
      <c r="O18" s="719">
        <f>transport!N54</f>
        <v>0</v>
      </c>
      <c r="P18" s="719">
        <f>transport!O54</f>
        <v>0</v>
      </c>
      <c r="Q18" s="720">
        <f>transport!P54</f>
        <v>0</v>
      </c>
      <c r="R18" s="722">
        <f>SUM(C18:Q18)</f>
        <v>84371.40970303287</v>
      </c>
      <c r="S18" s="67"/>
    </row>
    <row r="19" spans="1:19" s="475" customFormat="1" ht="15" thickBot="1">
      <c r="A19" s="871" t="s">
        <v>307</v>
      </c>
      <c r="B19" s="876"/>
      <c r="C19" s="728">
        <f>transport!B14</f>
        <v>393.12788672792544</v>
      </c>
      <c r="D19" s="728">
        <f>transport!C14</f>
        <v>0</v>
      </c>
      <c r="E19" s="728">
        <f>transport!D14</f>
        <v>1029.4448933175693</v>
      </c>
      <c r="F19" s="728">
        <f>transport!E14</f>
        <v>7449.3415605041073</v>
      </c>
      <c r="G19" s="728">
        <f>transport!F14</f>
        <v>0</v>
      </c>
      <c r="H19" s="728">
        <f>transport!G14</f>
        <v>2374929.1474312637</v>
      </c>
      <c r="I19" s="728">
        <f>transport!H14</f>
        <v>398606.90616625338</v>
      </c>
      <c r="J19" s="728">
        <f>transport!I14</f>
        <v>0</v>
      </c>
      <c r="K19" s="728">
        <f>transport!J14</f>
        <v>0</v>
      </c>
      <c r="L19" s="728">
        <f>transport!K14</f>
        <v>0</v>
      </c>
      <c r="M19" s="728">
        <f>transport!L14</f>
        <v>0</v>
      </c>
      <c r="N19" s="728">
        <f>transport!M14</f>
        <v>149649.35997590466</v>
      </c>
      <c r="O19" s="728">
        <f>transport!N14</f>
        <v>0</v>
      </c>
      <c r="P19" s="728">
        <f>transport!O14</f>
        <v>0</v>
      </c>
      <c r="Q19" s="729">
        <f>transport!P14</f>
        <v>0</v>
      </c>
      <c r="R19" s="730">
        <f>SUM(C19:Q19)</f>
        <v>2932057.3279139712</v>
      </c>
      <c r="S19" s="67"/>
    </row>
    <row r="20" spans="1:19" s="475" customFormat="1" ht="15.75" thickBot="1">
      <c r="A20" s="731" t="s">
        <v>230</v>
      </c>
      <c r="B20" s="879"/>
      <c r="C20" s="874">
        <f>SUM(C17:C19)</f>
        <v>33921.488599576507</v>
      </c>
      <c r="D20" s="732">
        <f t="shared" ref="D20:R20" si="1">SUM(D17:D19)</f>
        <v>0</v>
      </c>
      <c r="E20" s="732">
        <f t="shared" si="1"/>
        <v>1029.4448933175693</v>
      </c>
      <c r="F20" s="732">
        <f t="shared" si="1"/>
        <v>7449.3415605041073</v>
      </c>
      <c r="G20" s="732">
        <f t="shared" si="1"/>
        <v>0</v>
      </c>
      <c r="H20" s="732">
        <f t="shared" si="1"/>
        <v>2423029.1911475123</v>
      </c>
      <c r="I20" s="732">
        <f t="shared" si="1"/>
        <v>398606.90616625338</v>
      </c>
      <c r="J20" s="732">
        <f t="shared" si="1"/>
        <v>0</v>
      </c>
      <c r="K20" s="732">
        <f t="shared" si="1"/>
        <v>0</v>
      </c>
      <c r="L20" s="732">
        <f t="shared" si="1"/>
        <v>0</v>
      </c>
      <c r="M20" s="732">
        <f t="shared" si="1"/>
        <v>0</v>
      </c>
      <c r="N20" s="732">
        <f t="shared" si="1"/>
        <v>152392.36524984028</v>
      </c>
      <c r="O20" s="732">
        <f t="shared" si="1"/>
        <v>0</v>
      </c>
      <c r="P20" s="732">
        <f t="shared" si="1"/>
        <v>0</v>
      </c>
      <c r="Q20" s="733">
        <f t="shared" si="1"/>
        <v>0</v>
      </c>
      <c r="R20" s="734">
        <f t="shared" si="1"/>
        <v>3016428.7376170042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22741.204300000001</v>
      </c>
      <c r="D22" s="728">
        <f>+landbouw!C8</f>
        <v>0</v>
      </c>
      <c r="E22" s="728">
        <f>+landbouw!D8</f>
        <v>138391.05595306723</v>
      </c>
      <c r="F22" s="728">
        <f>+landbouw!E8</f>
        <v>210.63855911850723</v>
      </c>
      <c r="G22" s="728">
        <f>+landbouw!F8</f>
        <v>57698.767504073374</v>
      </c>
      <c r="H22" s="728">
        <f>+landbouw!G8</f>
        <v>0</v>
      </c>
      <c r="I22" s="728">
        <f>+landbouw!H8</f>
        <v>0</v>
      </c>
      <c r="J22" s="728">
        <f>+landbouw!I8</f>
        <v>0</v>
      </c>
      <c r="K22" s="728">
        <f>+landbouw!J8</f>
        <v>3486.4804117707063</v>
      </c>
      <c r="L22" s="728">
        <f>+landbouw!K8</f>
        <v>0</v>
      </c>
      <c r="M22" s="728">
        <f>+landbouw!L8</f>
        <v>0</v>
      </c>
      <c r="N22" s="728">
        <f>+landbouw!M8</f>
        <v>0</v>
      </c>
      <c r="O22" s="728">
        <f>+landbouw!N8</f>
        <v>0</v>
      </c>
      <c r="P22" s="728">
        <f>+landbouw!O8</f>
        <v>0</v>
      </c>
      <c r="Q22" s="729">
        <f>+landbouw!P8</f>
        <v>0</v>
      </c>
      <c r="R22" s="730">
        <f>SUM(C22:Q22)</f>
        <v>222528.14672802982</v>
      </c>
      <c r="S22" s="67"/>
    </row>
    <row r="23" spans="1:19" s="475" customFormat="1" ht="17.25" thickTop="1" thickBot="1">
      <c r="A23" s="735" t="s">
        <v>116</v>
      </c>
      <c r="B23" s="865"/>
      <c r="C23" s="736">
        <f ca="1">C20+C15+C22</f>
        <v>2292421.0689078253</v>
      </c>
      <c r="D23" s="736">
        <f t="shared" ref="D23:Q23" ca="1" si="2">D20+D15+D22</f>
        <v>15454.553571428572</v>
      </c>
      <c r="E23" s="736">
        <f t="shared" ca="1" si="2"/>
        <v>3749592.6651215265</v>
      </c>
      <c r="F23" s="736">
        <f t="shared" si="2"/>
        <v>63875.582902815324</v>
      </c>
      <c r="G23" s="736">
        <f t="shared" ca="1" si="2"/>
        <v>661977.79416523769</v>
      </c>
      <c r="H23" s="736">
        <f t="shared" si="2"/>
        <v>2423029.1911475123</v>
      </c>
      <c r="I23" s="736">
        <f t="shared" si="2"/>
        <v>398606.90616625338</v>
      </c>
      <c r="J23" s="736">
        <f t="shared" si="2"/>
        <v>0</v>
      </c>
      <c r="K23" s="736">
        <f t="shared" si="2"/>
        <v>6363.5123263123241</v>
      </c>
      <c r="L23" s="736">
        <f t="shared" si="2"/>
        <v>0</v>
      </c>
      <c r="M23" s="736">
        <f t="shared" ca="1" si="2"/>
        <v>0</v>
      </c>
      <c r="N23" s="736">
        <f t="shared" si="2"/>
        <v>152392.36524984028</v>
      </c>
      <c r="O23" s="736">
        <f t="shared" ca="1" si="2"/>
        <v>196123.31835620769</v>
      </c>
      <c r="P23" s="736">
        <f t="shared" si="2"/>
        <v>1048.9966666666669</v>
      </c>
      <c r="Q23" s="737">
        <f t="shared" si="2"/>
        <v>2154.5333333333338</v>
      </c>
      <c r="R23" s="738">
        <f ca="1">R20+R15+R22</f>
        <v>9963040.487914959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254682.32899772102</v>
      </c>
      <c r="D36" s="719">
        <f ca="1">tertiair!C20</f>
        <v>2441.3779411764708</v>
      </c>
      <c r="E36" s="719">
        <f ca="1">tertiair!D20</f>
        <v>283970.67727685667</v>
      </c>
      <c r="F36" s="719">
        <f>tertiair!E20</f>
        <v>2091.966353937476</v>
      </c>
      <c r="G36" s="719">
        <f ca="1">tertiair!F20</f>
        <v>44126.72428941058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587313.07485910237</v>
      </c>
    </row>
    <row r="37" spans="1:18">
      <c r="A37" s="886" t="s">
        <v>225</v>
      </c>
      <c r="B37" s="893"/>
      <c r="C37" s="719">
        <f ca="1">huishoudens!B12</f>
        <v>139329.43498324841</v>
      </c>
      <c r="D37" s="719">
        <f ca="1">huishoudens!C12</f>
        <v>0</v>
      </c>
      <c r="E37" s="719">
        <f>huishoudens!D12</f>
        <v>391040.1096689594</v>
      </c>
      <c r="F37" s="719">
        <f>huishoudens!E12</f>
        <v>6374.979824862864</v>
      </c>
      <c r="G37" s="719">
        <f>huishoudens!F12</f>
        <v>40198.032295076497</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576942.55677214719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69280.146931269715</v>
      </c>
      <c r="D39" s="719">
        <f ca="1">industrie!C22</f>
        <v>1231.3512605042017</v>
      </c>
      <c r="E39" s="719">
        <f>industrie!D22</f>
        <v>54243.990237762628</v>
      </c>
      <c r="F39" s="719">
        <f>industrie!E22</f>
        <v>4293.9956529844058</v>
      </c>
      <c r="G39" s="719">
        <f>industrie!F22</f>
        <v>77017.743534043839</v>
      </c>
      <c r="H39" s="719">
        <f>industrie!G22</f>
        <v>0</v>
      </c>
      <c r="I39" s="719">
        <f>industrie!H22</f>
        <v>0</v>
      </c>
      <c r="J39" s="719">
        <f>industrie!I22</f>
        <v>0</v>
      </c>
      <c r="K39" s="719">
        <f>industrie!J22</f>
        <v>1018.4692977477326</v>
      </c>
      <c r="L39" s="719">
        <f>industrie!K22</f>
        <v>0</v>
      </c>
      <c r="M39" s="719">
        <f>industrie!L22</f>
        <v>0</v>
      </c>
      <c r="N39" s="719">
        <f>industrie!M22</f>
        <v>0</v>
      </c>
      <c r="O39" s="719">
        <f>industrie!N22</f>
        <v>0</v>
      </c>
      <c r="P39" s="719">
        <f>industrie!O22</f>
        <v>0</v>
      </c>
      <c r="Q39" s="829">
        <f>industrie!P22</f>
        <v>0</v>
      </c>
      <c r="R39" s="919">
        <f ca="1">SUM(C39:Q39)</f>
        <v>207085.69691431252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463291.91091223917</v>
      </c>
      <c r="D41" s="764">
        <f t="shared" ref="D41:R41" ca="1" si="4">SUM(D35:D40)</f>
        <v>3672.7292016806723</v>
      </c>
      <c r="E41" s="764">
        <f t="shared" ca="1" si="4"/>
        <v>729254.77718357882</v>
      </c>
      <c r="F41" s="764">
        <f t="shared" si="4"/>
        <v>12760.941831784745</v>
      </c>
      <c r="G41" s="764">
        <f t="shared" ca="1" si="4"/>
        <v>161342.50011853091</v>
      </c>
      <c r="H41" s="764">
        <f t="shared" si="4"/>
        <v>0</v>
      </c>
      <c r="I41" s="764">
        <f t="shared" si="4"/>
        <v>0</v>
      </c>
      <c r="J41" s="764">
        <f t="shared" si="4"/>
        <v>0</v>
      </c>
      <c r="K41" s="764">
        <f t="shared" si="4"/>
        <v>1018.4692977477326</v>
      </c>
      <c r="L41" s="764">
        <f t="shared" si="4"/>
        <v>0</v>
      </c>
      <c r="M41" s="764">
        <f t="shared" ca="1" si="4"/>
        <v>0</v>
      </c>
      <c r="N41" s="764">
        <f t="shared" si="4"/>
        <v>0</v>
      </c>
      <c r="O41" s="764">
        <f t="shared" ca="1" si="4"/>
        <v>0</v>
      </c>
      <c r="P41" s="764">
        <f t="shared" si="4"/>
        <v>0</v>
      </c>
      <c r="Q41" s="765">
        <f t="shared" si="4"/>
        <v>0</v>
      </c>
      <c r="R41" s="766">
        <f t="shared" ca="1" si="4"/>
        <v>1371341.328545562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6947.7178174074534</v>
      </c>
      <c r="D44" s="719">
        <f ca="1">transport!C58</f>
        <v>0</v>
      </c>
      <c r="E44" s="719">
        <f>transport!D58</f>
        <v>0</v>
      </c>
      <c r="F44" s="719">
        <f>transport!E58</f>
        <v>0</v>
      </c>
      <c r="G44" s="719">
        <f>transport!F58</f>
        <v>0</v>
      </c>
      <c r="H44" s="719">
        <f>transport!G58</f>
        <v>12842.711672238398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19790.429489645852</v>
      </c>
    </row>
    <row r="45" spans="1:18" ht="15" thickBot="1">
      <c r="A45" s="889" t="s">
        <v>307</v>
      </c>
      <c r="B45" s="899"/>
      <c r="C45" s="728">
        <f ca="1">transport!B18</f>
        <v>81.463619606450209</v>
      </c>
      <c r="D45" s="728">
        <f>transport!C18</f>
        <v>0</v>
      </c>
      <c r="E45" s="728">
        <f>transport!D18</f>
        <v>207.947868450149</v>
      </c>
      <c r="F45" s="728">
        <f>transport!E18</f>
        <v>1691.0005342344325</v>
      </c>
      <c r="G45" s="728">
        <f>transport!F18</f>
        <v>0</v>
      </c>
      <c r="H45" s="728">
        <f>transport!G18</f>
        <v>634106.08236414741</v>
      </c>
      <c r="I45" s="728">
        <f>transport!H18</f>
        <v>99253.119635397088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735339.6140218355</v>
      </c>
    </row>
    <row r="46" spans="1:18" ht="15.75" thickBot="1">
      <c r="A46" s="887" t="s">
        <v>230</v>
      </c>
      <c r="B46" s="900"/>
      <c r="C46" s="764">
        <f t="shared" ref="C46:R46" ca="1" si="5">SUM(C43:C45)</f>
        <v>7029.1814370139036</v>
      </c>
      <c r="D46" s="764">
        <f t="shared" ca="1" si="5"/>
        <v>0</v>
      </c>
      <c r="E46" s="764">
        <f t="shared" si="5"/>
        <v>207.947868450149</v>
      </c>
      <c r="F46" s="764">
        <f t="shared" si="5"/>
        <v>1691.0005342344325</v>
      </c>
      <c r="G46" s="764">
        <f t="shared" si="5"/>
        <v>0</v>
      </c>
      <c r="H46" s="764">
        <f t="shared" si="5"/>
        <v>646948.79403638584</v>
      </c>
      <c r="I46" s="764">
        <f t="shared" si="5"/>
        <v>99253.119635397088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755130.04351148137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4712.4126245714479</v>
      </c>
      <c r="D48" s="719">
        <f ca="1">+landbouw!C12</f>
        <v>0</v>
      </c>
      <c r="E48" s="719">
        <f>+landbouw!D12</f>
        <v>27954.993302519582</v>
      </c>
      <c r="F48" s="719">
        <f>+landbouw!E12</f>
        <v>47.814952919901145</v>
      </c>
      <c r="G48" s="719">
        <f>+landbouw!F12</f>
        <v>15405.570923587591</v>
      </c>
      <c r="H48" s="719">
        <f>+landbouw!G12</f>
        <v>0</v>
      </c>
      <c r="I48" s="719">
        <f>+landbouw!H12</f>
        <v>0</v>
      </c>
      <c r="J48" s="719">
        <f>+landbouw!I12</f>
        <v>0</v>
      </c>
      <c r="K48" s="719">
        <f>+landbouw!J12</f>
        <v>1234.2140657668299</v>
      </c>
      <c r="L48" s="719">
        <f>+landbouw!K12</f>
        <v>0</v>
      </c>
      <c r="M48" s="719">
        <f>+landbouw!L12</f>
        <v>0</v>
      </c>
      <c r="N48" s="719">
        <f>+landbouw!M12</f>
        <v>0</v>
      </c>
      <c r="O48" s="719">
        <f>+landbouw!N12</f>
        <v>0</v>
      </c>
      <c r="P48" s="719">
        <f>+landbouw!O12</f>
        <v>0</v>
      </c>
      <c r="Q48" s="720">
        <f>+landbouw!P12</f>
        <v>0</v>
      </c>
      <c r="R48" s="762">
        <f ca="1">SUM(C48:Q48)</f>
        <v>49355.005869365348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475033.50497382454</v>
      </c>
      <c r="D53" s="774">
        <f t="shared" ref="D53:Q53" ca="1" si="6">D41+D46+D48</f>
        <v>3672.7292016806723</v>
      </c>
      <c r="E53" s="774">
        <f t="shared" ca="1" si="6"/>
        <v>757417.71835454856</v>
      </c>
      <c r="F53" s="774">
        <f t="shared" si="6"/>
        <v>14499.757318939079</v>
      </c>
      <c r="G53" s="774">
        <f t="shared" ca="1" si="6"/>
        <v>176748.07104211851</v>
      </c>
      <c r="H53" s="774">
        <f t="shared" si="6"/>
        <v>646948.79403638584</v>
      </c>
      <c r="I53" s="774">
        <f t="shared" si="6"/>
        <v>99253.119635397088</v>
      </c>
      <c r="J53" s="774">
        <f t="shared" si="6"/>
        <v>0</v>
      </c>
      <c r="K53" s="774">
        <f t="shared" si="6"/>
        <v>2252.6833635145626</v>
      </c>
      <c r="L53" s="774">
        <f t="shared" si="6"/>
        <v>0</v>
      </c>
      <c r="M53" s="774">
        <f t="shared" ca="1" si="6"/>
        <v>0</v>
      </c>
      <c r="N53" s="774">
        <f t="shared" si="6"/>
        <v>0</v>
      </c>
      <c r="O53" s="774">
        <f t="shared" ca="1" si="6"/>
        <v>0</v>
      </c>
      <c r="P53" s="774">
        <f>P41+P46+P48</f>
        <v>0</v>
      </c>
      <c r="Q53" s="775">
        <f t="shared" si="6"/>
        <v>0</v>
      </c>
      <c r="R53" s="776">
        <f ca="1">R41+R46+R48</f>
        <v>2175826.3779264088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0.20721913239095471</v>
      </c>
      <c r="D55" s="837">
        <f t="shared" ca="1" si="7"/>
        <v>0.23764705882352941</v>
      </c>
      <c r="E55" s="837">
        <f t="shared" ca="1" si="7"/>
        <v>0.20200000000000007</v>
      </c>
      <c r="F55" s="837">
        <f t="shared" si="7"/>
        <v>0.22700000000000001</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65610.176517411266</v>
      </c>
      <c r="C64" s="796">
        <f>'lokale energieproductie'!B4</f>
        <v>65610.176517411266</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58384.410625038581</v>
      </c>
      <c r="C66" s="796">
        <f>'lokale energieproductie'!B6</f>
        <v>58384.410625038581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10818.1875</v>
      </c>
      <c r="C67" s="795">
        <f>B67*IFERROR(SUM(J67:L67)/SUM(D67:M67),0)</f>
        <v>0</v>
      </c>
      <c r="D67" s="827">
        <f>'lokale energieproductie'!C7</f>
        <v>12727.279411764706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2570.9104411764706</v>
      </c>
      <c r="P67" s="923">
        <v>0</v>
      </c>
      <c r="Q67" s="786"/>
      <c r="R67" s="743"/>
    </row>
    <row r="68" spans="1:18" ht="30.75" thickBot="1">
      <c r="A68" s="802" t="s">
        <v>353</v>
      </c>
      <c r="B68" s="795">
        <f>'lokale energieproductie'!B8</f>
        <v>19768.5</v>
      </c>
      <c r="C68" s="795">
        <f>B68*IFERROR(SUM(J68:L68)/SUM(D68:M68),0)</f>
        <v>19768.5</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56481.428571428572</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154581.27464244986</v>
      </c>
      <c r="C69" s="804">
        <f>SUM(C64:C68)</f>
        <v>143763.08714244986</v>
      </c>
      <c r="D69" s="805">
        <f t="shared" ref="D69:M69" si="8">SUM(D67:D68)</f>
        <v>12727.279411764706</v>
      </c>
      <c r="E69" s="805">
        <f t="shared" si="8"/>
        <v>0</v>
      </c>
      <c r="F69" s="805">
        <f t="shared" si="8"/>
        <v>0</v>
      </c>
      <c r="G69" s="805">
        <f t="shared" si="8"/>
        <v>0</v>
      </c>
      <c r="H69" s="805">
        <f t="shared" si="8"/>
        <v>0</v>
      </c>
      <c r="I69" s="805">
        <f t="shared" si="8"/>
        <v>0</v>
      </c>
      <c r="J69" s="805">
        <f t="shared" si="8"/>
        <v>0</v>
      </c>
      <c r="K69" s="805">
        <f t="shared" si="8"/>
        <v>56481.428571428572</v>
      </c>
      <c r="L69" s="805">
        <f t="shared" si="8"/>
        <v>0</v>
      </c>
      <c r="M69" s="931">
        <f t="shared" si="8"/>
        <v>0</v>
      </c>
      <c r="N69" s="806">
        <v>0</v>
      </c>
      <c r="O69" s="806">
        <f>SUM(O67:O68)</f>
        <v>2570.9104411764706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15454.553571428572</v>
      </c>
      <c r="C78" s="818">
        <f>B78*IFERROR(SUM(I78:L78)/SUM(D78:M78),0)</f>
        <v>0</v>
      </c>
      <c r="D78" s="833">
        <f>'lokale energieproductie'!C16</f>
        <v>18181.827731092439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3672.7292016806728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15454.553571428572</v>
      </c>
      <c r="C81" s="804">
        <f>SUM(C78:C80)</f>
        <v>0</v>
      </c>
      <c r="D81" s="804">
        <f t="shared" ref="D81:P81" si="9">SUM(D78:D80)</f>
        <v>18181.827731092439</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3672.7292016806728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672377.27219308773</v>
      </c>
      <c r="C4" s="479">
        <f>huishoudens!C8</f>
        <v>0</v>
      </c>
      <c r="D4" s="479">
        <f>huishoudens!D8</f>
        <v>1935842.1270740563</v>
      </c>
      <c r="E4" s="479">
        <f>huishoudens!E8</f>
        <v>28083.611563272527</v>
      </c>
      <c r="F4" s="479">
        <f>huishoudens!F8</f>
        <v>150554.42807144753</v>
      </c>
      <c r="G4" s="479">
        <f>huishoudens!G8</f>
        <v>0</v>
      </c>
      <c r="H4" s="479">
        <f>huishoudens!H8</f>
        <v>0</v>
      </c>
      <c r="I4" s="479">
        <f>huishoudens!I8</f>
        <v>0</v>
      </c>
      <c r="J4" s="479">
        <f>huishoudens!J8</f>
        <v>0</v>
      </c>
      <c r="K4" s="479">
        <f>huishoudens!K8</f>
        <v>0</v>
      </c>
      <c r="L4" s="479">
        <f>huishoudens!L8</f>
        <v>0</v>
      </c>
      <c r="M4" s="479">
        <f>huishoudens!M8</f>
        <v>0</v>
      </c>
      <c r="N4" s="479">
        <f>huishoudens!N8</f>
        <v>102062.86103903131</v>
      </c>
      <c r="O4" s="479">
        <f>huishoudens!O8</f>
        <v>1027.1100000000001</v>
      </c>
      <c r="P4" s="480">
        <f>huishoudens!P8</f>
        <v>1391.8666666666668</v>
      </c>
      <c r="Q4" s="481">
        <f>SUM(B4:P4)</f>
        <v>2891339.2766075619</v>
      </c>
    </row>
    <row r="5" spans="1:17">
      <c r="A5" s="478" t="s">
        <v>156</v>
      </c>
      <c r="B5" s="479">
        <f ca="1">tertiair!B16</f>
        <v>1199616.3648751613</v>
      </c>
      <c r="C5" s="479">
        <f ca="1">tertiair!C16</f>
        <v>10273.125</v>
      </c>
      <c r="D5" s="479">
        <f ca="1">tertiair!D16</f>
        <v>1405795.4320636468</v>
      </c>
      <c r="E5" s="479">
        <f>tertiair!E16</f>
        <v>9215.7108102972506</v>
      </c>
      <c r="F5" s="479">
        <f ca="1">tertiair!F16</f>
        <v>165268.6302974179</v>
      </c>
      <c r="G5" s="479">
        <f>tertiair!G16</f>
        <v>0</v>
      </c>
      <c r="H5" s="479">
        <f>tertiair!H16</f>
        <v>0</v>
      </c>
      <c r="I5" s="479">
        <f>tertiair!I16</f>
        <v>0</v>
      </c>
      <c r="J5" s="479">
        <f>tertiair!J16</f>
        <v>0</v>
      </c>
      <c r="K5" s="479">
        <f>tertiair!K16</f>
        <v>0</v>
      </c>
      <c r="L5" s="479">
        <f ca="1">tertiair!L16</f>
        <v>0</v>
      </c>
      <c r="M5" s="479">
        <f>tertiair!M16</f>
        <v>0</v>
      </c>
      <c r="N5" s="479">
        <f ca="1">tertiair!N16</f>
        <v>6635.731406470426</v>
      </c>
      <c r="O5" s="479">
        <f>tertiair!O16</f>
        <v>21.88666666666667</v>
      </c>
      <c r="P5" s="480">
        <f>tertiair!P16</f>
        <v>762.66666666666674</v>
      </c>
      <c r="Q5" s="478">
        <f t="shared" ref="Q5:Q13" ca="1" si="0">SUM(B5:P5)</f>
        <v>2797589.5477863266</v>
      </c>
    </row>
    <row r="6" spans="1:17">
      <c r="A6" s="478" t="s">
        <v>194</v>
      </c>
      <c r="B6" s="479">
        <f>'openbare verlichting'!B8</f>
        <v>29431.967000000001</v>
      </c>
      <c r="C6" s="479"/>
      <c r="D6" s="479"/>
      <c r="E6" s="479"/>
      <c r="F6" s="479"/>
      <c r="G6" s="479"/>
      <c r="H6" s="479"/>
      <c r="I6" s="479"/>
      <c r="J6" s="479"/>
      <c r="K6" s="479"/>
      <c r="L6" s="479"/>
      <c r="M6" s="479"/>
      <c r="N6" s="479"/>
      <c r="O6" s="479"/>
      <c r="P6" s="480"/>
      <c r="Q6" s="478">
        <f t="shared" si="0"/>
        <v>29431.967000000001</v>
      </c>
    </row>
    <row r="7" spans="1:17">
      <c r="A7" s="478" t="s">
        <v>112</v>
      </c>
      <c r="B7" s="479">
        <f>landbouw!B8</f>
        <v>22741.204300000001</v>
      </c>
      <c r="C7" s="479">
        <f>landbouw!C8</f>
        <v>0</v>
      </c>
      <c r="D7" s="479">
        <f>landbouw!D8</f>
        <v>138391.05595306723</v>
      </c>
      <c r="E7" s="479">
        <f>landbouw!E8</f>
        <v>210.63855911850723</v>
      </c>
      <c r="F7" s="479">
        <f>landbouw!F8</f>
        <v>57698.767504073374</v>
      </c>
      <c r="G7" s="479">
        <f>landbouw!G8</f>
        <v>0</v>
      </c>
      <c r="H7" s="479">
        <f>landbouw!H8</f>
        <v>0</v>
      </c>
      <c r="I7" s="479">
        <f>landbouw!I8</f>
        <v>0</v>
      </c>
      <c r="J7" s="479">
        <f>landbouw!J8</f>
        <v>3486.4804117707063</v>
      </c>
      <c r="K7" s="479">
        <f>landbouw!K8</f>
        <v>0</v>
      </c>
      <c r="L7" s="479">
        <f>landbouw!L8</f>
        <v>0</v>
      </c>
      <c r="M7" s="479">
        <f>landbouw!M8</f>
        <v>0</v>
      </c>
      <c r="N7" s="479">
        <f>landbouw!N8</f>
        <v>0</v>
      </c>
      <c r="O7" s="479">
        <f>landbouw!O8</f>
        <v>0</v>
      </c>
      <c r="P7" s="480">
        <f>landbouw!P8</f>
        <v>0</v>
      </c>
      <c r="Q7" s="478">
        <f t="shared" si="0"/>
        <v>222528.14672802982</v>
      </c>
    </row>
    <row r="8" spans="1:17">
      <c r="A8" s="478" t="s">
        <v>650</v>
      </c>
      <c r="B8" s="479">
        <f>industrie!B18</f>
        <v>334332.77194000001</v>
      </c>
      <c r="C8" s="479">
        <f>industrie!C18</f>
        <v>5181.4285714285716</v>
      </c>
      <c r="D8" s="479">
        <f>industrie!D18</f>
        <v>268534.60513743875</v>
      </c>
      <c r="E8" s="479">
        <f>industrie!E18</f>
        <v>18916.280409622934</v>
      </c>
      <c r="F8" s="479">
        <f>industrie!F18</f>
        <v>288455.96829229902</v>
      </c>
      <c r="G8" s="479">
        <f>industrie!G18</f>
        <v>0</v>
      </c>
      <c r="H8" s="479">
        <f>industrie!H18</f>
        <v>0</v>
      </c>
      <c r="I8" s="479">
        <f>industrie!I18</f>
        <v>0</v>
      </c>
      <c r="J8" s="479">
        <f>industrie!J18</f>
        <v>2877.0319145416179</v>
      </c>
      <c r="K8" s="479">
        <f>industrie!K18</f>
        <v>0</v>
      </c>
      <c r="L8" s="479">
        <f>industrie!L18</f>
        <v>0</v>
      </c>
      <c r="M8" s="479">
        <f>industrie!M18</f>
        <v>0</v>
      </c>
      <c r="N8" s="479">
        <f>industrie!N18</f>
        <v>87424.725910705951</v>
      </c>
      <c r="O8" s="479">
        <f>industrie!O18</f>
        <v>0</v>
      </c>
      <c r="P8" s="480">
        <f>industrie!P18</f>
        <v>0</v>
      </c>
      <c r="Q8" s="478">
        <f t="shared" si="0"/>
        <v>1005722.8121760368</v>
      </c>
    </row>
    <row r="9" spans="1:17" s="484" customFormat="1">
      <c r="A9" s="482" t="s">
        <v>571</v>
      </c>
      <c r="B9" s="483">
        <f>transport!B14</f>
        <v>393.12788672792544</v>
      </c>
      <c r="C9" s="483"/>
      <c r="D9" s="483">
        <f>transport!D14</f>
        <v>1029.4448933175693</v>
      </c>
      <c r="E9" s="483">
        <f>transport!E14</f>
        <v>7449.3415605041073</v>
      </c>
      <c r="F9" s="483"/>
      <c r="G9" s="483">
        <f>transport!G14</f>
        <v>2374929.1474312637</v>
      </c>
      <c r="H9" s="483">
        <f>transport!H14</f>
        <v>398606.90616625338</v>
      </c>
      <c r="I9" s="483"/>
      <c r="J9" s="483"/>
      <c r="K9" s="483"/>
      <c r="L9" s="483"/>
      <c r="M9" s="483">
        <f>transport!M14</f>
        <v>149649.35997590466</v>
      </c>
      <c r="N9" s="483"/>
      <c r="O9" s="483"/>
      <c r="P9" s="483"/>
      <c r="Q9" s="482">
        <f>SUM(B9:P9)</f>
        <v>2932057.3279139712</v>
      </c>
    </row>
    <row r="10" spans="1:17">
      <c r="A10" s="478" t="s">
        <v>561</v>
      </c>
      <c r="B10" s="479">
        <f>transport!B54</f>
        <v>33528.360712848582</v>
      </c>
      <c r="C10" s="479"/>
      <c r="D10" s="479">
        <f>transport!D54</f>
        <v>0</v>
      </c>
      <c r="E10" s="479"/>
      <c r="F10" s="479"/>
      <c r="G10" s="479">
        <f>transport!G54</f>
        <v>48100.043716248678</v>
      </c>
      <c r="H10" s="479"/>
      <c r="I10" s="479"/>
      <c r="J10" s="479"/>
      <c r="K10" s="479"/>
      <c r="L10" s="479"/>
      <c r="M10" s="479">
        <f>transport!M54</f>
        <v>2743.0052739356229</v>
      </c>
      <c r="N10" s="479"/>
      <c r="O10" s="479"/>
      <c r="P10" s="480"/>
      <c r="Q10" s="478">
        <f t="shared" si="0"/>
        <v>84371.40970303287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2292421.0689078257</v>
      </c>
      <c r="C14" s="489">
        <f t="shared" ref="C14:Q14" ca="1" si="1">SUM(C4:C13)</f>
        <v>15454.553571428572</v>
      </c>
      <c r="D14" s="489">
        <f t="shared" ca="1" si="1"/>
        <v>3749592.6651215269</v>
      </c>
      <c r="E14" s="489">
        <f t="shared" si="1"/>
        <v>63875.582902815324</v>
      </c>
      <c r="F14" s="489">
        <f t="shared" ca="1" si="1"/>
        <v>661977.79416523781</v>
      </c>
      <c r="G14" s="489">
        <f t="shared" si="1"/>
        <v>2423029.1911475123</v>
      </c>
      <c r="H14" s="489">
        <f t="shared" si="1"/>
        <v>398606.90616625338</v>
      </c>
      <c r="I14" s="489">
        <f t="shared" si="1"/>
        <v>0</v>
      </c>
      <c r="J14" s="489">
        <f t="shared" si="1"/>
        <v>6363.5123263123241</v>
      </c>
      <c r="K14" s="489">
        <f t="shared" si="1"/>
        <v>0</v>
      </c>
      <c r="L14" s="489">
        <f t="shared" ca="1" si="1"/>
        <v>0</v>
      </c>
      <c r="M14" s="489">
        <f t="shared" si="1"/>
        <v>152392.36524984028</v>
      </c>
      <c r="N14" s="489">
        <f t="shared" ca="1" si="1"/>
        <v>196123.31835620769</v>
      </c>
      <c r="O14" s="489">
        <f t="shared" si="1"/>
        <v>1048.9966666666669</v>
      </c>
      <c r="P14" s="490">
        <f t="shared" si="1"/>
        <v>2154.5333333333338</v>
      </c>
      <c r="Q14" s="490">
        <f t="shared" ca="1" si="1"/>
        <v>9963040.487914959</v>
      </c>
    </row>
    <row r="16" spans="1:17">
      <c r="A16" s="492" t="s">
        <v>566</v>
      </c>
      <c r="B16" s="842">
        <f ca="1">huishoudens!B10</f>
        <v>0.20721913239095466</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139329.43498324841</v>
      </c>
      <c r="C21" s="479">
        <f t="shared" ref="C21:C28" ca="1" si="3">C4*$C$16</f>
        <v>0</v>
      </c>
      <c r="D21" s="479">
        <f t="shared" ref="D21:D30" si="4">D4*$D$16</f>
        <v>391040.1096689594</v>
      </c>
      <c r="E21" s="479">
        <f t="shared" ref="E21:E30" si="5">E4*$E$16</f>
        <v>6374.979824862864</v>
      </c>
      <c r="F21" s="479">
        <f t="shared" ref="F21:F28" si="6">F4*$F$16</f>
        <v>40198.032295076497</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576942.55677214719</v>
      </c>
    </row>
    <row r="22" spans="1:17">
      <c r="A22" s="478" t="s">
        <v>156</v>
      </c>
      <c r="B22" s="479">
        <f t="shared" ca="1" si="2"/>
        <v>248583.46233142182</v>
      </c>
      <c r="C22" s="479">
        <f t="shared" ca="1" si="3"/>
        <v>2441.3779411764708</v>
      </c>
      <c r="D22" s="479">
        <f t="shared" ca="1" si="4"/>
        <v>283970.67727685667</v>
      </c>
      <c r="E22" s="479">
        <f t="shared" si="5"/>
        <v>2091.966353937476</v>
      </c>
      <c r="F22" s="479">
        <f t="shared" ca="1" si="6"/>
        <v>44126.72428941058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581214.20819280308</v>
      </c>
    </row>
    <row r="23" spans="1:17">
      <c r="A23" s="478" t="s">
        <v>194</v>
      </c>
      <c r="B23" s="479">
        <f t="shared" ca="1" si="2"/>
        <v>6098.8666662992091</v>
      </c>
      <c r="C23" s="479"/>
      <c r="D23" s="479"/>
      <c r="E23" s="479"/>
      <c r="F23" s="479"/>
      <c r="G23" s="479"/>
      <c r="H23" s="479"/>
      <c r="I23" s="479"/>
      <c r="J23" s="479"/>
      <c r="K23" s="479"/>
      <c r="L23" s="479"/>
      <c r="M23" s="479"/>
      <c r="N23" s="479"/>
      <c r="O23" s="479"/>
      <c r="P23" s="480"/>
      <c r="Q23" s="478">
        <f t="shared" ca="1" si="17"/>
        <v>6098.8666662992091</v>
      </c>
    </row>
    <row r="24" spans="1:17">
      <c r="A24" s="478" t="s">
        <v>112</v>
      </c>
      <c r="B24" s="479">
        <f t="shared" ca="1" si="2"/>
        <v>4712.4126245714479</v>
      </c>
      <c r="C24" s="479">
        <f t="shared" ca="1" si="3"/>
        <v>0</v>
      </c>
      <c r="D24" s="479">
        <f t="shared" si="4"/>
        <v>27954.993302519582</v>
      </c>
      <c r="E24" s="479">
        <f t="shared" si="5"/>
        <v>47.814952919901145</v>
      </c>
      <c r="F24" s="479">
        <f t="shared" si="6"/>
        <v>15405.570923587591</v>
      </c>
      <c r="G24" s="479">
        <f t="shared" si="7"/>
        <v>0</v>
      </c>
      <c r="H24" s="479">
        <f t="shared" si="8"/>
        <v>0</v>
      </c>
      <c r="I24" s="479">
        <f t="shared" si="9"/>
        <v>0</v>
      </c>
      <c r="J24" s="479">
        <f t="shared" si="10"/>
        <v>1234.2140657668299</v>
      </c>
      <c r="K24" s="479">
        <f t="shared" si="11"/>
        <v>0</v>
      </c>
      <c r="L24" s="479">
        <f t="shared" si="12"/>
        <v>0</v>
      </c>
      <c r="M24" s="479">
        <f t="shared" si="13"/>
        <v>0</v>
      </c>
      <c r="N24" s="479">
        <f t="shared" si="14"/>
        <v>0</v>
      </c>
      <c r="O24" s="479">
        <f t="shared" si="15"/>
        <v>0</v>
      </c>
      <c r="P24" s="480">
        <f t="shared" si="16"/>
        <v>0</v>
      </c>
      <c r="Q24" s="478">
        <f t="shared" ca="1" si="17"/>
        <v>49355.005869365348</v>
      </c>
    </row>
    <row r="25" spans="1:17">
      <c r="A25" s="478" t="s">
        <v>650</v>
      </c>
      <c r="B25" s="479">
        <f t="shared" ca="1" si="2"/>
        <v>69280.146931269715</v>
      </c>
      <c r="C25" s="479">
        <f t="shared" ca="1" si="3"/>
        <v>1231.3512605042017</v>
      </c>
      <c r="D25" s="479">
        <f t="shared" si="4"/>
        <v>54243.990237762628</v>
      </c>
      <c r="E25" s="479">
        <f t="shared" si="5"/>
        <v>4293.9956529844058</v>
      </c>
      <c r="F25" s="479">
        <f t="shared" si="6"/>
        <v>77017.743534043839</v>
      </c>
      <c r="G25" s="479">
        <f t="shared" si="7"/>
        <v>0</v>
      </c>
      <c r="H25" s="479">
        <f t="shared" si="8"/>
        <v>0</v>
      </c>
      <c r="I25" s="479">
        <f t="shared" si="9"/>
        <v>0</v>
      </c>
      <c r="J25" s="479">
        <f t="shared" si="10"/>
        <v>1018.4692977477326</v>
      </c>
      <c r="K25" s="479">
        <f t="shared" si="11"/>
        <v>0</v>
      </c>
      <c r="L25" s="479">
        <f t="shared" si="12"/>
        <v>0</v>
      </c>
      <c r="M25" s="479">
        <f t="shared" si="13"/>
        <v>0</v>
      </c>
      <c r="N25" s="479">
        <f t="shared" si="14"/>
        <v>0</v>
      </c>
      <c r="O25" s="479">
        <f t="shared" si="15"/>
        <v>0</v>
      </c>
      <c r="P25" s="480">
        <f t="shared" si="16"/>
        <v>0</v>
      </c>
      <c r="Q25" s="478">
        <f t="shared" ca="1" si="17"/>
        <v>207085.69691431252</v>
      </c>
    </row>
    <row r="26" spans="1:17" s="484" customFormat="1">
      <c r="A26" s="482" t="s">
        <v>571</v>
      </c>
      <c r="B26" s="836">
        <f t="shared" ca="1" si="2"/>
        <v>81.463619606450209</v>
      </c>
      <c r="C26" s="483"/>
      <c r="D26" s="483">
        <f t="shared" si="4"/>
        <v>207.947868450149</v>
      </c>
      <c r="E26" s="483">
        <f t="shared" si="5"/>
        <v>1691.0005342344325</v>
      </c>
      <c r="F26" s="483"/>
      <c r="G26" s="483">
        <f t="shared" si="7"/>
        <v>634106.08236414741</v>
      </c>
      <c r="H26" s="483">
        <f t="shared" si="8"/>
        <v>99253.119635397088</v>
      </c>
      <c r="I26" s="483"/>
      <c r="J26" s="483"/>
      <c r="K26" s="483"/>
      <c r="L26" s="483"/>
      <c r="M26" s="483">
        <f t="shared" si="13"/>
        <v>0</v>
      </c>
      <c r="N26" s="483"/>
      <c r="O26" s="483"/>
      <c r="P26" s="494"/>
      <c r="Q26" s="482">
        <f t="shared" ca="1" si="17"/>
        <v>735339.6140218355</v>
      </c>
    </row>
    <row r="27" spans="1:17">
      <c r="A27" s="478" t="s">
        <v>561</v>
      </c>
      <c r="B27" s="479">
        <f t="shared" ca="1" si="2"/>
        <v>6947.7178174074534</v>
      </c>
      <c r="C27" s="479"/>
      <c r="D27" s="483">
        <f t="shared" si="4"/>
        <v>0</v>
      </c>
      <c r="E27" s="479"/>
      <c r="F27" s="479"/>
      <c r="G27" s="479">
        <f t="shared" si="7"/>
        <v>12842.711672238398</v>
      </c>
      <c r="H27" s="479"/>
      <c r="I27" s="479"/>
      <c r="J27" s="479"/>
      <c r="K27" s="479"/>
      <c r="L27" s="479"/>
      <c r="M27" s="479">
        <f t="shared" si="13"/>
        <v>0</v>
      </c>
      <c r="N27" s="479"/>
      <c r="O27" s="479"/>
      <c r="P27" s="480"/>
      <c r="Q27" s="478">
        <f t="shared" ca="1" si="17"/>
        <v>19790.429489645852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475033.5049738246</v>
      </c>
      <c r="C31" s="489">
        <f t="shared" ca="1" si="18"/>
        <v>3672.7292016806723</v>
      </c>
      <c r="D31" s="489">
        <f t="shared" ca="1" si="18"/>
        <v>757417.71835454844</v>
      </c>
      <c r="E31" s="489">
        <f t="shared" si="18"/>
        <v>14499.757318939079</v>
      </c>
      <c r="F31" s="489">
        <f t="shared" ca="1" si="18"/>
        <v>176748.07104211851</v>
      </c>
      <c r="G31" s="489">
        <f t="shared" si="18"/>
        <v>646948.79403638584</v>
      </c>
      <c r="H31" s="489">
        <f t="shared" si="18"/>
        <v>99253.119635397088</v>
      </c>
      <c r="I31" s="489">
        <f t="shared" si="18"/>
        <v>0</v>
      </c>
      <c r="J31" s="489">
        <f t="shared" si="18"/>
        <v>2252.6833635145626</v>
      </c>
      <c r="K31" s="489">
        <f t="shared" si="18"/>
        <v>0</v>
      </c>
      <c r="L31" s="489">
        <f t="shared" ca="1" si="18"/>
        <v>0</v>
      </c>
      <c r="M31" s="489">
        <f t="shared" si="18"/>
        <v>0</v>
      </c>
      <c r="N31" s="489">
        <f t="shared" ca="1" si="18"/>
        <v>0</v>
      </c>
      <c r="O31" s="489">
        <f t="shared" si="18"/>
        <v>0</v>
      </c>
      <c r="P31" s="490">
        <f t="shared" si="18"/>
        <v>0</v>
      </c>
      <c r="Q31" s="490">
        <f t="shared" ca="1" si="18"/>
        <v>2175826.3779264083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0.20721913239095466</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0.20721913239095466</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0.20721913239095466</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2019-01-01T21:29:36Z</dcterms:modified>
</cp:coreProperties>
</file>