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E13" i="14" l="1"/>
  <c r="E7" i="48"/>
  <c r="E24" s="1"/>
  <c r="L7"/>
  <c r="L24" s="1"/>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Q7" i="48"/>
  <c r="E4"/>
  <c r="E21" s="1"/>
  <c r="F11" i="14"/>
  <c r="J4" i="48"/>
  <c r="J12" i="13"/>
  <c r="K37" i="14" s="1"/>
  <c r="K11"/>
  <c r="N5" i="48"/>
  <c r="L20" i="15"/>
  <c r="O31" i="48" l="1"/>
  <c r="D31"/>
  <c r="J20" i="15"/>
  <c r="K36" i="14" s="1"/>
  <c r="F10"/>
  <c r="R10"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J8" i="48"/>
  <c r="J25" s="1"/>
  <c r="F15" i="14"/>
  <c r="F23" s="1"/>
  <c r="K13"/>
  <c r="K15" s="1"/>
  <c r="K2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<sst xmlns="http://schemas.openxmlformats.org/spreadsheetml/2006/main" count="2151" uniqueCount="878">
  <si>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</si>
  <si>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</si>
  <si>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</si>
  <si>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</si>
  <si>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</si>
  <si>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</si>
  <si>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</si>
  <si>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</si>
  <si>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</si>
  <si>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</si>
  <si>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</si>
  <si>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</si>
  <si>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</si>
  <si>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</si>
  <si>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</si>
  <si>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</si>
  <si>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</si>
  <si>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</si>
  <si>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</si>
  <si>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</si>
  <si>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</si>
  <si>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</si>
  <si>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</si>
  <si>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</si>
  <si>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</si>
  <si>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</si>
  <si>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</si>
  <si>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</si>
  <si>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</si>
  <si>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</si>
  <si>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</si>
  <si>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</si>
  <si>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</si>
  <si>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</si>
  <si>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</si>
  <si>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</si>
  <si>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</si>
  <si>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</si>
  <si>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</si>
  <si>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</si>
  <si>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</si>
  <si>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</si>
  <si>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</si>
  <si>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</si>
  <si>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</si>
  <si>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</si>
  <si>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</si>
  <si>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</si>
  <si>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</si>
  <si>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</si>
  <si>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</si>
  <si>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</si>
  <si>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</si>
  <si>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</si>
  <si>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</si>
  <si>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</si>
  <si>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</si>
  <si>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</si>
  <si>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</si>
  <si>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</si>
  <si>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</si>
  <si>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</si>
  <si>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</si>
  <si>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</si>
  <si>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</si>
  <si>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</si>
  <si>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</si>
  <si>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</si>
  <si>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</si>
  <si>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</si>
  <si>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</si>
  <si>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</si>
  <si>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</si>
  <si>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</si>
  <si>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</si>
  <si>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</si>
  <si>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</si>
  <si>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</si>
  <si>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</si>
  <si>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</si>
  <si>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</si>
  <si>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</si>
  <si>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</si>
  <si>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</si>
  <si>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</si>
  <si>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</si>
  <si>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</si>
  <si>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</si>
  <si>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</si>
  <si>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</si>
  <si>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</si>
  <si>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</si>
  <si>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</si>
  <si>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</si>
  <si>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</si>
  <si>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</si>
  <si>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</si>
  <si>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</si>
  <si>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</si>
  <si>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</si>
  <si>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</si>
  <si>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</si>
  <si>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</si>
  <si>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</si>
  <si>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</si>
  <si>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</si>
  <si>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</si>
  <si>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</si>
  <si>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</si>
  <si>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</si>
  <si>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</si>
  <si>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</si>
  <si>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</si>
  <si>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</si>
  <si>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</si>
  <si>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</si>
  <si>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</si>
  <si>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</si>
  <si>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</si>
  <si>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</si>
  <si>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</si>
  <si>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</si>
  <si>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</si>
  <si>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</si>
  <si>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</si>
  <si>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</si>
  <si>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</si>
  <si>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</si>
  <si>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</si>
  <si>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</si>
  <si>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</si>
  <si>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</si>
  <si>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</si>
  <si>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</si>
  <si>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</si>
  <si>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</si>
  <si>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</si>
  <si>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</si>
  <si>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</si>
  <si>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</si>
  <si>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</si>
  <si>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</si>
  <si>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</si>
  <si>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</si>
  <si>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</si>
  <si>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</si>
  <si>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</si>
  <si>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</si>
  <si>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</si>
  <si>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</si>
  <si>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</si>
  <si>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</si>
  <si>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</si>
  <si>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</si>
  <si>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</si>
  <si>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</si>
  <si>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</si>
  <si>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</si>
  <si>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</si>
  <si>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</si>
  <si>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</si>
  <si>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</si>
  <si>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</si>
  <si>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</si>
  <si>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</si>
  <si>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</si>
  <si>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</si>
  <si>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</si>
  <si>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</si>
  <si>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</si>
  <si>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</si>
  <si>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</si>
  <si>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</si>
  <si>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</si>
  <si>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</si>
  <si>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</si>
  <si>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</si>
  <si>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</si>
  <si>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</si>
  <si>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</si>
  <si>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</si>
  <si>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</si>
  <si>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</si>
  <si>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</si>
  <si>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</si>
  <si>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</si>
  <si>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</si>
  <si>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</si>
  <si>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</si>
  <si>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</si>
  <si>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</si>
  <si>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</si>
  <si>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</si>
  <si>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</si>
  <si>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</si>
  <si>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</si>
  <si>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</si>
  <si>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</si>
  <si>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</si>
  <si>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</si>
  <si>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</si>
  <si>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</si>
  <si>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</si>
  <si>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</si>
  <si>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</si>
  <si>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</si>
  <si>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</si>
  <si>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</si>
  <si>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</si>
  <si>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</si>
  <si>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</si>
  <si>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</si>
  <si>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</si>
  <si>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</si>
  <si>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</si>
  <si>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</si>
  <si>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</si>
  <si>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</si>
  <si>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</si>
  <si>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</si>
  <si>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</si>
  <si>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</si>
  <si>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</si>
  <si>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</si>
  <si>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</si>
  <si>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</si>
  <si>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</si>
  <si>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</si>
  <si>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</si>
  <si>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</si>
  <si>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</si>
  <si>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</si>
  <si>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</si>
  <si>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</si>
  <si>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</si>
  <si>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</si>
  <si>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</si>
  <si>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</si>
  <si>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</si>
  <si>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</si>
  <si>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</si>
  <si>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</si>
  <si>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</si>
  <si>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</si>
  <si>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</si>
  <si>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</si>
  <si>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</si>
  <si>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</si>
  <si>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</si>
  <si>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</si>
  <si>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</si>
  <si>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</si>
  <si>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</si>
  <si>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</si>
  <si>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</si>
  <si>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</si>
  <si>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</si>
  <si>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</si>
  <si>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</si>
  <si>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</si>
  <si>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</si>
  <si>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</si>
  <si>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</si>
  <si>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</si>
  <si>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</si>
  <si>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</si>
  <si>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</si>
  <si>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</si>
  <si>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</si>
  <si>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</si>
  <si>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</si>
  <si>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</si>
  <si>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</si>
  <si>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</si>
  <si>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</si>
  <si>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</si>
  <si>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</si>
  <si>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</si>
  <si>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</si>
  <si>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</si>
  <si>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</si>
  <si>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</si>
  <si>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</si>
  <si>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</si>
  <si>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</si>
  <si>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</si>
  <si>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</si>
  <si>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</si>
  <si>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</si>
  <si>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</si>
  <si>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</si>
  <si>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</si>
  <si>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</si>
  <si>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</si>
  <si>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</si>
  <si>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</si>
  <si>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</si>
  <si>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</si>
  <si>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</si>
  <si>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</si>
  <si>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</si>
  <si>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</si>
  <si>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</si>
  <si>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</si>
  <si>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</si>
  <si>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</si>
  <si>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</si>
  <si>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</si>
  <si>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</si>
  <si>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</si>
  <si>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</si>
  <si>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</si>
  <si>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</si>
  <si>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</si>
  <si>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</si>
  <si>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</si>
  <si>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</si>
  <si>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</si>
  <si>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</si>
  <si>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</si>
  <si>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</si>
  <si>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</si>
  <si>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</si>
  <si>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</si>
  <si>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</si>
  <si>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</si>
  <si>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</si>
  <si>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</si>
  <si>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</si>
  <si>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</si>
  <si>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</si>
  <si>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</si>
  <si>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</si>
  <si>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</si>
  <si>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</si>
  <si>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</si>
  <si>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</si>
  <si>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</si>
  <si>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</si>
  <si>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</si>
  <si>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</si>
  <si>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</si>
  <si>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</si>
  <si>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</si>
  <si>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</si>
  <si>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</si>
  <si>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</si>
  <si>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</si>
  <si>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</si>
  <si>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</si>
  <si>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</si>
  <si>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</si>
  <si>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</si>
  <si>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</si>
  <si>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</si>
  <si>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</si>
  <si>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</si>
  <si>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</si>
  <si>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</si>
  <si>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</si>
  <si>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</si>
  <si>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</si>
  <si>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</si>
  <si>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</si>
  <si>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</si>
  <si>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</si>
  <si>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</si>
  <si>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</si>
  <si>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</si>
  <si>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</si>
  <si>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</si>
  <si>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</si>
  <si>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</si>
  <si>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</si>
  <si>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</si>
  <si>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</si>
  <si>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</si>
  <si>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</si>
  <si>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</si>
  <si>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</si>
  <si>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</si>
  <si>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</si>
  <si>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</si>
  <si>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</si>
  <si>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</si>
  <si>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</si>
  <si>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</si>
  <si>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</si>
  <si>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</si>
  <si>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</si>
  <si>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</si>
  <si>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</si>
  <si>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</si>
  <si>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</si>
  <si>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</si>
  <si>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</si>
  <si>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</si>
  <si>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</si>
  <si>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</si>
  <si>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</si>
  <si>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</si>
  <si>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</si>
  <si>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</si>
  <si>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</si>
  <si>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</si>
  <si>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</si>
  <si>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</si>
  <si>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</si>
  <si>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</si>
  <si>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</si>
  <si>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</si>
  <si>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</si>
  <si>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</si>
  <si>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</si>
  <si>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</si>
  <si>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</si>
  <si>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</si>
  <si>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</si>
  <si>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</si>
  <si>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</si>
  <si>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</si>
  <si>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</si>
  <si>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</si>
  <si>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</si>
  <si>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</si>
  <si>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</si>
  <si>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</si>
  <si>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</si>
  <si>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</si>
  <si>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</si>
  <si>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</si>
  <si>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</si>
  <si>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</si>
  <si>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</si>
  <si>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</si>
  <si>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</si>
  <si>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</si>
  <si>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</si>
  <si>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</si>
  <si>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</si>
  <si>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</si>
  <si>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</si>
  <si>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</si>
  <si>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</si>
  <si>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</si>
  <si>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</si>
  <si>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</si>
  <si>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</si>
  <si>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</si>
  <si>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</si>
  <si>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</si>
  <si>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</si>
  <si>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</si>
  <si>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</si>
  <si>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</si>
  <si>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</si>
  <si>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</si>
  <si>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</si>
  <si>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</si>
  <si>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</si>
  <si>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</si>
  <si>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</si>
  <si>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</si>
  <si>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</si>
  <si>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</si>
  <si>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</si>
  <si>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</si>
  <si>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</si>
  <si>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</si>
  <si>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</si>
  <si>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</si>
  <si>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</si>
  <si>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</si>
  <si>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</si>
  <si>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</si>
  <si>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</si>
  <si>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</si>
  <si>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</si>
  <si>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</si>
  <si>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</si>
  <si>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</si>
  <si>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</si>
  <si>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</si>
  <si>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</si>
  <si>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</si>
  <si>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</si>
  <si>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</si>
  <si>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</si>
  <si>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</si>
  <si>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</si>
  <si>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</si>
  <si>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</si>
  <si>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</si>
  <si>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</si>
  <si>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</si>
  <si>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</si>
  <si>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</si>
  <si>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</si>
  <si>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</si>
  <si>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</si>
  <si>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</si>
  <si>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</si>
  <si>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</si>
  <si>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</si>
  <si>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</si>
  <si>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</si>
  <si>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</si>
  <si>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</si>
  <si>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</si>
  <si>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</si>
  <si>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</si>
  <si>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</si>
  <si>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</si>
  <si>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</si>
  <si>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</si>
  <si>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</si>
  <si>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</si>
  <si>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</si>
  <si>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</si>
  <si>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</si>
  <si>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</si>
  <si>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</si>
  <si>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</si>
  <si>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</si>
  <si>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</si>
  <si>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</si>
  <si>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</si>
  <si>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</si>
  <si>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</si>
  <si>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</si>
  <si>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</si>
  <si>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</si>
  <si>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</si>
  <si>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</si>
  <si>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</si>
  <si>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</si>
  <si>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</si>
  <si>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</si>
  <si>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</si>
  <si>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</si>
  <si>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</si>
  <si>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</si>
  <si>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</si>
  <si>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</si>
  <si>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</si>
  <si>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</si>
  <si>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</si>
  <si>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</si>
  <si>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</si>
  <si>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</si>
  <si>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</si>
  <si>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</si>
  <si>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</si>
  <si>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</si>
  <si>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</si>
  <si>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</si>
  <si>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</si>
  <si>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</si>
  <si>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</si>
  <si>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</si>
  <si>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</si>
  <si>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</si>
  <si>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</si>
  <si>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</si>
  <si>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</si>
  <si>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</si>
  <si>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</si>
  <si>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</si>
  <si>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</si>
  <si>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</si>
  <si>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</si>
  <si>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</si>
  <si>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</si>
  <si>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</si>
  <si>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</si>
  <si>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</si>
  <si>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</si>
  <si>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</si>
  <si>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</si>
  <si>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</si>
  <si>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</si>
  <si>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</si>
  <si>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</si>
  <si>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</si>
  <si>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</si>
  <si>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</si>
  <si>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</si>
  <si>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</si>
  <si>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</si>
  <si>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</si>
  <si>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</si>
  <si>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</si>
  <si>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</si>
  <si>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</si>
  <si>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</si>
  <si>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</si>
  <si>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</si>
  <si>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</si>
  <si>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</si>
  <si>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</si>
  <si>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</si>
  <si>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</si>
  <si>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</si>
  <si>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</si>
  <si>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</si>
  <si>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</si>
  <si>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</si>
  <si>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</si>
  <si>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</si>
  <si>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</si>
  <si>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</si>
  <si>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</si>
  <si>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</si>
  <si>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</si>
  <si>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</si>
  <si>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</si>
  <si>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</si>
  <si>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</si>
  <si>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</si>
  <si>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</si>
  <si>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</si>
  <si>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</si>
  <si>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</si>
  <si>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</si>
  <si>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</si>
  <si>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</si>
  <si>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</si>
  <si>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</si>
  <si>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</si>
  <si>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</si>
  <si>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</si>
  <si>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</si>
  <si>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</si>
  <si>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</si>
  <si>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</si>
  <si>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</si>
  <si>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</si>
  <si>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</si>
  <si>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</si>
  <si>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</si>
  <si>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</si>
  <si>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</si>
  <si>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</si>
  <si>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</si>
  <si>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</si>
  <si>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</si>
  <si>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</si>
  <si>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</si>
  <si>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</si>
  <si>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</si>
  <si>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</si>
  <si>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</si>
  <si>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</si>
  <si>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</si>
  <si>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</si>
  <si>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</si>
  <si>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</si>
  <si>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</si>
  <si>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</si>
  <si>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</si>
  <si>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</si>
  <si>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</si>
  <si>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</si>
  <si>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</si>
  <si>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</si>
  <si>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</si>
  <si>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</si>
  <si>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</si>
  <si>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</si>
  <si>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</si>
  <si>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</si>
  <si>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</si>
  <si>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</si>
  <si>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</si>
  <si>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</si>
  <si>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</si>
  <si>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</si>
  <si>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</si>
  <si>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</si>
  <si>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</si>
  <si>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</si>
  <si>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</si>
  <si>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</si>
  <si>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</si>
  <si>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</si>
  <si>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</si>
  <si>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</si>
  <si>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</si>
  <si>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</si>
  <si>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</si>
  <si>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</si>
  <si>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</si>
  <si>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</si>
  <si>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</si>
  <si>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</si>
  <si>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</si>
  <si>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</si>
  <si>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</si>
  <si>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</si>
  <si>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</si>
  <si>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</si>
  <si>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</si>
  <si>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</si>
  <si>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</si>
  <si>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</si>
  <si>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</si>
  <si>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</si>
  <si>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</si>
  <si>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</si>
  <si>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</si>
  <si>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</si>
  <si>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</si>
  <si>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</si>
  <si>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</si>
  <si>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</si>
  <si>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</si>
  <si>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</si>
  <si>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</si>
  <si>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</si>
  <si>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</si>
  <si>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</si>
  <si>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</si>
  <si>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</si>
  <si>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</si>
  <si>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</si>
  <si>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</si>
  <si>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</si>
  <si>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</si>
  <si>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</si>
  <si>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</si>
  <si>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</si>
  <si>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</si>
  <si>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</si>
  <si>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</si>
  <si>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</si>
  <si>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</si>
  <si>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</si>
  <si>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</si>
  <si>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</si>
  <si>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</si>
  <si>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</si>
  <si>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</si>
  <si>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</si>
  <si>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</si>
  <si>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</si>
  <si>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</si>
  <si>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</si>
  <si>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</si>
  <si>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</si>
  <si>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</si>
  <si>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</si>
  <si>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</si>
  <si>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</si>
  <si>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</si>
  <si>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</si>
  <si>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</si>
  <si>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</si>
  <si>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</si>
  <si>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</si>
  <si>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</si>
  <si>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</si>
  <si>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</si>
  <si>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</si>
  <si>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</si>
  <si>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</si>
  <si>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</si>
  <si>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</si>
  <si>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</si>
  <si>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</si>
  <si>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</si>
  <si>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</si>
  <si>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</si>
  <si>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</si>
  <si>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</si>
  <si>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</si>
  <si>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</si>
  <si>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</si>
  <si>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</si>
  <si>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</si>
  <si>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</si>
  <si>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</si>
  <si>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</si>
  <si>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</si>
  <si>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</si>
  <si>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</si>
  <si>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</si>
  <si>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</si>
  <si>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</si>
  <si>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</si>
  <si>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</si>
  <si>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</si>
  <si>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</si>
  <si>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</si>
  <si>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</si>
  <si>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</si>
  <si>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</si>
  <si>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</si>
  <si>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</si>
  <si>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</si>
  <si>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</si>
  <si>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</si>
  <si>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</si>
  <si>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</si>
  <si>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</si>
  <si>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</si>
  <si>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</si>
  <si>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</si>
  <si>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</si>
  <si>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</si>
  <si>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</si>
  <si>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</si>
  <si>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</si>
  <si>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</si>
  <si>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</si>
  <si>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</si>
  <si>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</si>
  <si>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</si>
  <si>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</si>
  <si>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</si>
  <si>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</si>
  <si>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</si>
  <si>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</si>
  <si>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</si>
  <si>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</si>
  <si>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</si>
  <si>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</si>
  <si>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</si>
  <si>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</si>
  <si>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</si>
  <si>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</si>
  <si>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</si>
  <si>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</si>
  <si>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</si>
  <si>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</si>
  <si>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</si>
  <si>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</si>
  <si>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</si>
  <si>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</si>
  <si>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</si>
  <si>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</si>
  <si>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</si>
  <si>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</si>
  <si>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</si>
  <si>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</si>
  <si>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</si>
  <si>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</si>
  <si>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</si>
  <si>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</si>
  <si>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</si>
  <si>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</si>
  <si>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</si>
  <si>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</si>
  <si>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</si>
  <si>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</si>
  <si>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</si>
  <si>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</si>
  <si>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</si>
  <si>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</si>
  <si>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</si>
  <si>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</si>
  <si>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</si>
  <si>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</si>
  <si>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</si>
  <si>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</si>
  <si>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</si>
  <si>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</si>
  <si>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</si>
  <si>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</si>
  <si>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</si>
  <si>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</si>
  <si>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</si>
  <si>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73098</t>
  </si>
  <si>
    <t>WELLEN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</si>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</sst>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80868.794046113529</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47424"/>
        <c:axId val="162649216"/>
      </c:barChart>
      <c:catAx>
        <c:axId val="162647424"/>
        <c:scaling>
          <c:orientation val="minMax"/>
        </c:scaling>
        <c:axPos val="b"/>
        <c:numFmt formatCode="General" sourceLinked="0"/>
        <c:tickLblPos val="nextTo"/>
        <c:crossAx val="162649216"/>
        <c:crosses val="autoZero"/>
        <c:auto val="1"/>
        <c:lblAlgn val="ctr"/>
        <c:lblOffset val="100"/>
      </c:catAx>
      <c:valAx>
        <c:axId val="162649216"/>
        <c:scaling>
          <c:orientation val="minMax"/>
        </c:scaling>
        <c:axPos val="l"/>
        <c:majorGridlines/>
        <c:numFmt formatCode="#,##0" sourceLinked="1"/>
        <c:tickLblPos val="nextTo"/>
        <c:crossAx val="1626474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80868.794046113529</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15656.615769090278</c:v>
                </c:pt>
                <c:pt idx="1">
                  <c:v>2224.4875498174179</c:v>
                </c:pt>
                <c:pt idx="2">
                  <c:v>115.23862862496694</c:v>
                </c:pt>
                <c:pt idx="3">
                  <c:v>1779.9434956128666</c:v>
                </c:pt>
                <c:pt idx="4">
                  <c:v>21495.405592923948</c:v>
                </c:pt>
                <c:pt idx="5">
                  <c:v>8212.2898148287677</c:v>
                </c:pt>
                <c:pt idx="6">
                  <c:v>117.92702044645915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60192"/>
        <c:axId val="181211136"/>
      </c:barChart>
      <c:catAx>
        <c:axId val="181160192"/>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60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15656.615769090278</c:v>
                </c:pt>
                <c:pt idx="1">
                  <c:v>2224.4875498174179</c:v>
                </c:pt>
                <c:pt idx="2">
                  <c:v>115.23862862496694</c:v>
                </c:pt>
                <c:pt idx="3">
                  <c:v>1779.9434956128666</c:v>
                </c:pt>
                <c:pt idx="4">
                  <c:v>21495.405592923948</c:v>
                </c:pt>
                <c:pt idx="5">
                  <c:v>8212.2898148287677</c:v>
                </c:pt>
                <c:pt idx="6">
                  <c:v>117.92702044645915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73098</v>
      </c>
      <c r="B6" s="398"/>
      <c r="C6" s="399"/>
    </row>
    <row r="7" spans="1:7" s="396" customFormat="1" ht="15.75" customHeight="1">
      <c r="A7" s="400" t="str">
        <f>txtMunicipality</f>
        <v>WELLEN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73098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2988</v>
      </c>
      <c r="C9" s="338">
        <v>3292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1526</v>
      </c>
    </row>
    <row r="15" spans="1:6">
      <c r="A15" s="1269" t="s">
        <v>184</v>
      </c>
      <c r="B15" s="335">
        <v>5</v>
      </c>
    </row>
    <row r="16" spans="1:6">
      <c r="A16" s="1269" t="s">
        <v>6</v>
      </c>
      <c r="B16" s="335">
        <v>187</v>
      </c>
    </row>
    <row r="17" spans="1:6">
      <c r="A17" s="1269" t="s">
        <v>7</v>
      </c>
      <c r="B17" s="335">
        <v>76</v>
      </c>
    </row>
    <row r="18" spans="1:6">
      <c r="A18" s="1269" t="s">
        <v>8</v>
      </c>
      <c r="B18" s="335">
        <v>170</v>
      </c>
    </row>
    <row r="19" spans="1:6">
      <c r="A19" s="1269" t="s">
        <v>9</v>
      </c>
      <c r="B19" s="335">
        <v>164</v>
      </c>
    </row>
    <row r="20" spans="1:6">
      <c r="A20" s="1269" t="s">
        <v>10</v>
      </c>
      <c r="B20" s="335">
        <v>173</v>
      </c>
    </row>
    <row r="21" spans="1:6">
      <c r="A21" s="1269" t="s">
        <v>11</v>
      </c>
      <c r="B21" s="335">
        <v>535</v>
      </c>
    </row>
    <row r="22" spans="1:6">
      <c r="A22" s="1269" t="s">
        <v>12</v>
      </c>
      <c r="B22" s="335">
        <v>2219</v>
      </c>
    </row>
    <row r="23" spans="1:6">
      <c r="A23" s="1269" t="s">
        <v>13</v>
      </c>
      <c r="B23" s="335">
        <v>19</v>
      </c>
    </row>
    <row r="24" spans="1:6">
      <c r="A24" s="1269" t="s">
        <v>14</v>
      </c>
      <c r="B24" s="335">
        <v>3</v>
      </c>
    </row>
    <row r="25" spans="1:6">
      <c r="A25" s="1269" t="s">
        <v>15</v>
      </c>
      <c r="B25" s="335">
        <v>225</v>
      </c>
    </row>
    <row r="26" spans="1:6">
      <c r="A26" s="1269" t="s">
        <v>16</v>
      </c>
      <c r="B26" s="335">
        <v>32</v>
      </c>
    </row>
    <row r="27" spans="1:6">
      <c r="A27" s="1269" t="s">
        <v>17</v>
      </c>
      <c r="B27" s="335">
        <v>0</v>
      </c>
    </row>
    <row r="28" spans="1:6" s="341" customFormat="1">
      <c r="A28" s="1270" t="s">
        <v>18</v>
      </c>
      <c r="B28" s="1270">
        <v>725</v>
      </c>
    </row>
    <row r="29" spans="1:6">
      <c r="A29" s="1270" t="s">
        <v>874</v>
      </c>
      <c r="B29" s="1270">
        <v>54</v>
      </c>
      <c r="C29" s="341"/>
      <c r="D29" s="341"/>
      <c r="E29" s="341"/>
      <c r="F29" s="341"/>
    </row>
    <row r="30" spans="1:6">
      <c r="A30" s="1265" t="s">
        <v>875</v>
      </c>
      <c r="B30" s="1265">
        <v>14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5370</v>
      </c>
    </row>
    <row r="39" spans="1:6">
      <c r="A39" s="1269" t="s">
        <v>30</v>
      </c>
      <c r="B39" s="1269" t="s">
        <v>31</v>
      </c>
      <c r="C39" s="335">
        <v>1116</v>
      </c>
      <c r="D39" s="335">
        <v>20381025</v>
      </c>
      <c r="E39" s="335">
        <v>2998</v>
      </c>
      <c r="F39" s="335">
        <v>11649469</v>
      </c>
    </row>
    <row r="40" spans="1:6">
      <c r="A40" s="1269" t="s">
        <v>30</v>
      </c>
      <c r="B40" s="1269" t="s">
        <v>29</v>
      </c>
      <c r="C40" s="335">
        <v>0</v>
      </c>
      <c r="D40" s="335">
        <v>0</v>
      </c>
      <c r="E40" s="335">
        <v>0</v>
      </c>
      <c r="F40" s="335">
        <v>0</v>
      </c>
    </row>
    <row r="41" spans="1:6">
      <c r="A41" s="1269" t="s">
        <v>32</v>
      </c>
      <c r="B41" s="1269" t="s">
        <v>33</v>
      </c>
      <c r="C41" s="335">
        <v>13</v>
      </c>
      <c r="D41" s="335">
        <v>6808344</v>
      </c>
      <c r="E41" s="335">
        <v>45</v>
      </c>
      <c r="F41" s="335">
        <v>43863322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7</v>
      </c>
      <c r="F44" s="335">
        <v>178103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1225796</v>
      </c>
    </row>
    <row r="48" spans="1:6">
      <c r="A48" s="1269" t="s">
        <v>32</v>
      </c>
      <c r="B48" s="1269" t="s">
        <v>29</v>
      </c>
      <c r="C48" s="335">
        <v>2</v>
      </c>
      <c r="D48" s="335">
        <v>296267</v>
      </c>
      <c r="E48" s="335">
        <v>0</v>
      </c>
      <c r="F48" s="335">
        <v>0</v>
      </c>
    </row>
    <row r="49" spans="1:6">
      <c r="A49" s="1269" t="s">
        <v>32</v>
      </c>
      <c r="B49" s="1269" t="s">
        <v>40</v>
      </c>
      <c r="C49" s="335">
        <v>0</v>
      </c>
      <c r="D49" s="335">
        <v>0</v>
      </c>
      <c r="E49" s="335">
        <v>0</v>
      </c>
      <c r="F49" s="335">
        <v>0</v>
      </c>
    </row>
    <row r="50" spans="1:6">
      <c r="A50" s="1269" t="s">
        <v>32</v>
      </c>
      <c r="B50" s="1269" t="s">
        <v>41</v>
      </c>
      <c r="C50" s="335">
        <v>3</v>
      </c>
      <c r="D50" s="335">
        <v>340586</v>
      </c>
      <c r="E50" s="335">
        <v>8</v>
      </c>
      <c r="F50" s="335">
        <v>367258</v>
      </c>
    </row>
    <row r="51" spans="1:6">
      <c r="A51" s="1269" t="s">
        <v>42</v>
      </c>
      <c r="B51" s="1269" t="s">
        <v>43</v>
      </c>
      <c r="C51" s="335">
        <v>0</v>
      </c>
      <c r="D51" s="335">
        <v>0</v>
      </c>
      <c r="E51" s="335">
        <v>57</v>
      </c>
      <c r="F51" s="335">
        <v>1493525</v>
      </c>
    </row>
    <row r="52" spans="1:6">
      <c r="A52" s="1269" t="s">
        <v>42</v>
      </c>
      <c r="B52" s="1269" t="s">
        <v>29</v>
      </c>
      <c r="C52" s="335">
        <v>2</v>
      </c>
      <c r="D52" s="335">
        <v>60670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37</v>
      </c>
      <c r="F54" s="335">
        <v>556555</v>
      </c>
    </row>
    <row r="55" spans="1:6">
      <c r="A55" s="1269" t="s">
        <v>46</v>
      </c>
      <c r="B55" s="1269" t="s">
        <v>29</v>
      </c>
      <c r="C55" s="335">
        <v>0</v>
      </c>
      <c r="D55" s="335">
        <v>0</v>
      </c>
      <c r="E55" s="335">
        <v>0</v>
      </c>
      <c r="F55" s="335">
        <v>0</v>
      </c>
    </row>
    <row r="56" spans="1:6">
      <c r="A56" s="1269" t="s">
        <v>48</v>
      </c>
      <c r="B56" s="1269" t="s">
        <v>29</v>
      </c>
      <c r="C56" s="335">
        <v>25</v>
      </c>
      <c r="D56" s="335">
        <v>3856735</v>
      </c>
      <c r="E56" s="335">
        <v>35</v>
      </c>
      <c r="F56" s="335">
        <v>208438</v>
      </c>
    </row>
    <row r="57" spans="1:6">
      <c r="A57" s="1269" t="s">
        <v>49</v>
      </c>
      <c r="B57" s="1269" t="s">
        <v>50</v>
      </c>
      <c r="C57" s="335">
        <v>13</v>
      </c>
      <c r="D57" s="335">
        <v>895963</v>
      </c>
      <c r="E57" s="335">
        <v>36</v>
      </c>
      <c r="F57" s="335">
        <v>1052910</v>
      </c>
    </row>
    <row r="58" spans="1:6">
      <c r="A58" s="1269" t="s">
        <v>49</v>
      </c>
      <c r="B58" s="1269" t="s">
        <v>51</v>
      </c>
      <c r="C58" s="335">
        <v>3</v>
      </c>
      <c r="D58" s="335">
        <v>678835</v>
      </c>
      <c r="E58" s="335">
        <v>8</v>
      </c>
      <c r="F58" s="335">
        <v>252340</v>
      </c>
    </row>
    <row r="59" spans="1:6">
      <c r="A59" s="1269" t="s">
        <v>49</v>
      </c>
      <c r="B59" s="1269" t="s">
        <v>52</v>
      </c>
      <c r="C59" s="335">
        <v>32</v>
      </c>
      <c r="D59" s="335">
        <v>893961</v>
      </c>
      <c r="E59" s="335">
        <v>83</v>
      </c>
      <c r="F59" s="335">
        <v>2410374</v>
      </c>
    </row>
    <row r="60" spans="1:6">
      <c r="A60" s="1269" t="s">
        <v>49</v>
      </c>
      <c r="B60" s="1269" t="s">
        <v>53</v>
      </c>
      <c r="C60" s="335">
        <v>16</v>
      </c>
      <c r="D60" s="335">
        <v>497664</v>
      </c>
      <c r="E60" s="335">
        <v>25</v>
      </c>
      <c r="F60" s="335">
        <v>511796</v>
      </c>
    </row>
    <row r="61" spans="1:6">
      <c r="A61" s="1269" t="s">
        <v>49</v>
      </c>
      <c r="B61" s="1269" t="s">
        <v>54</v>
      </c>
      <c r="C61" s="335">
        <v>19</v>
      </c>
      <c r="D61" s="335">
        <v>769283</v>
      </c>
      <c r="E61" s="335">
        <v>114</v>
      </c>
      <c r="F61" s="335">
        <v>1360972</v>
      </c>
    </row>
    <row r="62" spans="1:6">
      <c r="A62" s="1269" t="s">
        <v>49</v>
      </c>
      <c r="B62" s="1269" t="s">
        <v>55</v>
      </c>
      <c r="C62" s="335">
        <v>0</v>
      </c>
      <c r="D62" s="335">
        <v>0</v>
      </c>
      <c r="E62" s="335">
        <v>6</v>
      </c>
      <c r="F62" s="335">
        <v>85141</v>
      </c>
    </row>
    <row r="63" spans="1:6">
      <c r="A63" s="1269" t="s">
        <v>49</v>
      </c>
      <c r="B63" s="1269" t="s">
        <v>29</v>
      </c>
      <c r="C63" s="335">
        <v>2</v>
      </c>
      <c r="D63" s="335">
        <v>233598</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12</v>
      </c>
      <c r="F67" s="335">
        <v>160278</v>
      </c>
    </row>
    <row r="68" spans="1:6">
      <c r="A68" s="1265" t="s">
        <v>56</v>
      </c>
      <c r="B68" s="1265" t="s">
        <v>60</v>
      </c>
      <c r="C68" s="335">
        <v>0</v>
      </c>
      <c r="D68" s="335">
        <v>0</v>
      </c>
      <c r="E68" s="335">
        <v>6</v>
      </c>
      <c r="F68" s="335">
        <v>29343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31067511</v>
      </c>
      <c r="E73" s="335">
        <v>25034271.975737404</v>
      </c>
    </row>
    <row r="74" spans="1:6">
      <c r="A74" s="1269" t="s">
        <v>64</v>
      </c>
      <c r="B74" s="1269" t="s">
        <v>727</v>
      </c>
      <c r="C74" s="1269" t="s">
        <v>728</v>
      </c>
      <c r="D74" s="335">
        <v>2117375.8320241706</v>
      </c>
      <c r="E74" s="335">
        <v>1786223.0836616729</v>
      </c>
    </row>
    <row r="75" spans="1:6">
      <c r="A75" s="1269" t="s">
        <v>65</v>
      </c>
      <c r="B75" s="1269" t="s">
        <v>725</v>
      </c>
      <c r="C75" s="1269" t="s">
        <v>729</v>
      </c>
      <c r="D75" s="335">
        <v>8617382</v>
      </c>
      <c r="E75" s="335">
        <v>7053288.0493666213</v>
      </c>
    </row>
    <row r="76" spans="1:6">
      <c r="A76" s="1269" t="s">
        <v>65</v>
      </c>
      <c r="B76" s="1269" t="s">
        <v>727</v>
      </c>
      <c r="C76" s="1269" t="s">
        <v>730</v>
      </c>
      <c r="D76" s="335">
        <v>214915.83202417046</v>
      </c>
      <c r="E76" s="335">
        <v>174259.49889744169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121874.33595165906</v>
      </c>
      <c r="C83" s="335">
        <v>117015.96417527298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2509.2542318649198</v>
      </c>
    </row>
    <row r="92" spans="1:6">
      <c r="A92" s="1265" t="s">
        <v>69</v>
      </c>
      <c r="B92" s="338">
        <v>1750.5409875240264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226</v>
      </c>
    </row>
    <row r="98" spans="1:6">
      <c r="A98" s="1269" t="s">
        <v>72</v>
      </c>
      <c r="B98" s="335">
        <v>2</v>
      </c>
    </row>
    <row r="99" spans="1:6">
      <c r="A99" s="1269" t="s">
        <v>73</v>
      </c>
      <c r="B99" s="335">
        <v>18</v>
      </c>
    </row>
    <row r="100" spans="1:6">
      <c r="A100" s="1269" t="s">
        <v>74</v>
      </c>
      <c r="B100" s="335">
        <v>72</v>
      </c>
    </row>
    <row r="101" spans="1:6">
      <c r="A101" s="1269" t="s">
        <v>75</v>
      </c>
      <c r="B101" s="335">
        <v>39</v>
      </c>
    </row>
    <row r="102" spans="1:6">
      <c r="A102" s="1269" t="s">
        <v>76</v>
      </c>
      <c r="B102" s="335">
        <v>22</v>
      </c>
    </row>
    <row r="103" spans="1:6">
      <c r="A103" s="1269" t="s">
        <v>77</v>
      </c>
      <c r="B103" s="335">
        <v>103</v>
      </c>
    </row>
    <row r="104" spans="1:6">
      <c r="A104" s="1269" t="s">
        <v>78</v>
      </c>
      <c r="B104" s="335">
        <v>2047</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55</v>
      </c>
    </row>
    <row r="130" spans="1:6">
      <c r="A130" s="1269" t="s">
        <v>295</v>
      </c>
      <c r="B130" s="335">
        <v>0</v>
      </c>
    </row>
    <row r="131" spans="1:6">
      <c r="A131" s="1269" t="s">
        <v>296</v>
      </c>
      <c r="B131" s="335">
        <v>1</v>
      </c>
    </row>
    <row r="132" spans="1:6">
      <c r="A132" s="1265" t="s">
        <v>297</v>
      </c>
      <c r="B132" s="338">
        <v>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67518.982183619053</v>
      </c>
      <c r="C3" s="43" t="s">
        <v>170</v>
      </c>
      <c r="D3" s="43"/>
      <c r="E3" s="156"/>
      <c r="F3" s="43"/>
      <c r="G3" s="43"/>
      <c r="H3" s="43"/>
      <c r="I3" s="43"/>
      <c r="J3" s="43"/>
      <c r="K3" s="96"/>
    </row>
    <row r="4" spans="1:11">
      <c r="A4" s="366" t="s">
        <v>171</v>
      </c>
      <c r="B4" s="49">
        <f>IF(ISERROR('SEAP template'!B69),0,'SEAP template'!B69)</f>
        <v>4259.795219388946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0.20705703591732524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556.55499999999995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556.55499999999995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0.20705703591732524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115.23862862496694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11649.468999999999</v>
      </c>
      <c r="C5" s="17">
        <f>IF(ISERROR('Eigen informatie GS &amp; warmtenet'!B57),0,'Eigen informatie GS &amp; warmtenet'!B57)</f>
        <v>0</v>
      </c>
      <c r="D5" s="30">
        <f>(SUM(HH_hh_gas_kWh,HH_rest_gas_kWh)/1000)*0.902</f>
        <v>18383.684550000002</v>
      </c>
      <c r="E5" s="17">
        <f>B46*B57</f>
        <v>1750.3670678752014</v>
      </c>
      <c r="F5" s="17">
        <f>B51*B62</f>
        <v>31507.451623049077</v>
      </c>
      <c r="G5" s="18"/>
      <c r="H5" s="17"/>
      <c r="I5" s="17"/>
      <c r="J5" s="17">
        <f>B50*B61+C50*C61</f>
        <v>569.56304368582278</v>
      </c>
      <c r="K5" s="17"/>
      <c r="L5" s="17"/>
      <c r="M5" s="17"/>
      <c r="N5" s="17">
        <f>B48*B59+C48*C59</f>
        <v>14217.664529638505</v>
      </c>
      <c r="O5" s="17">
        <f>B69*B70*B71</f>
        <v>90.673333333333346</v>
      </c>
      <c r="P5" s="17">
        <f>B77*B78*B79/1000-B77*B78*B79/1000/B80</f>
        <v>190.66666666666669</v>
      </c>
    </row>
    <row r="6" spans="1:16">
      <c r="A6" s="16" t="s">
        <v>634</v>
      </c>
      <c r="B6" s="831">
        <f>kWh_PV_kleiner_dan_10kW</f>
        <v>2509.2542318649198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14158.723231864918</v>
      </c>
      <c r="C8" s="21">
        <f>C5</f>
        <v>0</v>
      </c>
      <c r="D8" s="21">
        <f>D5</f>
        <v>18383.684550000002</v>
      </c>
      <c r="E8" s="21">
        <f>E5</f>
        <v>1750.3670678752014</v>
      </c>
      <c r="F8" s="21">
        <f>F5</f>
        <v>31507.451623049077</v>
      </c>
      <c r="G8" s="21"/>
      <c r="H8" s="21"/>
      <c r="I8" s="21"/>
      <c r="J8" s="21">
        <f>J5</f>
        <v>569.56304368582278</v>
      </c>
      <c r="K8" s="21"/>
      <c r="L8" s="21">
        <f>L5</f>
        <v>0</v>
      </c>
      <c r="M8" s="21">
        <f>M5</f>
        <v>0</v>
      </c>
      <c r="N8" s="21">
        <f>N5</f>
        <v>14217.664529638505</v>
      </c>
      <c r="O8" s="21">
        <f>O5</f>
        <v>90.673333333333346</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0.20705703591732524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2931.6632647637216</v>
      </c>
      <c r="C12" s="23">
        <f ca="1">C10*C8</f>
        <v>0</v>
      </c>
      <c r="D12" s="23">
        <f>D8*D10</f>
        <v>3713.5042791000005</v>
      </c>
      <c r="E12" s="23">
        <f>E10*E8</f>
        <v>397.33332440767072</v>
      </c>
      <c r="F12" s="23">
        <f>F10*F8</f>
        <v>8412.489583354105</v>
      </c>
      <c r="G12" s="23"/>
      <c r="H12" s="23"/>
      <c r="I12" s="23"/>
      <c r="J12" s="23">
        <f>J10*J8</f>
        <v>201.62531746478126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v>
      </c>
      <c r="C18" s="168" t="s">
        <v>111</v>
      </c>
      <c r="D18" s="230"/>
      <c r="E18" s="15"/>
    </row>
    <row r="19" spans="1:7">
      <c r="A19" s="173" t="s">
        <v>72</v>
      </c>
      <c r="B19" s="37">
        <f>aantalw2001_ander</f>
        <v>2</v>
      </c>
      <c r="C19" s="168" t="s">
        <v>111</v>
      </c>
      <c r="D19" s="231"/>
      <c r="E19" s="15"/>
    </row>
    <row r="20" spans="1:7">
      <c r="A20" s="173" t="s">
        <v>73</v>
      </c>
      <c r="B20" s="37">
        <f>aantalw2001_propaan</f>
        <v>18</v>
      </c>
      <c r="C20" s="169">
        <f>IF(ISERROR(B20/SUM($B$20,$B$21,$B$22)*100),0,B20/SUM($B$20,$B$21,$B$22)*100)</f>
        <v>13.953488372093023</v>
      </c>
      <c r="D20" s="231"/>
      <c r="E20" s="15"/>
    </row>
    <row r="21" spans="1:7">
      <c r="A21" s="173" t="s">
        <v>74</v>
      </c>
      <c r="B21" s="37">
        <f>aantalw2001_elektriciteit</f>
        <v>72</v>
      </c>
      <c r="C21" s="169">
        <f>IF(ISERROR(B21/SUM($B$20,$B$21,$B$22)*100),0,B21/SUM($B$20,$B$21,$B$22)*100)</f>
        <v>55.813953488372093</v>
      </c>
      <c r="D21" s="231"/>
      <c r="E21" s="15"/>
    </row>
    <row r="22" spans="1:7">
      <c r="A22" s="173" t="s">
        <v>75</v>
      </c>
      <c r="B22" s="37">
        <f>aantalw2001_hout</f>
        <v>39</v>
      </c>
      <c r="C22" s="169">
        <f>IF(ISERROR(B22/SUM($B$20,$B$21,$B$22)*100),0,B22/SUM($B$20,$B$21,$B$22)*100)</f>
        <v>30.232558139534881</v>
      </c>
      <c r="D22" s="231"/>
      <c r="E22" s="15"/>
    </row>
    <row r="23" spans="1:7">
      <c r="A23" s="173" t="s">
        <v>76</v>
      </c>
      <c r="B23" s="37">
        <f>aantalw2001_niet_gespec</f>
        <v>22</v>
      </c>
      <c r="C23" s="168" t="s">
        <v>111</v>
      </c>
      <c r="D23" s="230"/>
      <c r="E23" s="15"/>
    </row>
    <row r="24" spans="1:7">
      <c r="A24" s="173" t="s">
        <v>77</v>
      </c>
      <c r="B24" s="37">
        <f>aantalw2001_steenkool</f>
        <v>103</v>
      </c>
      <c r="C24" s="168" t="s">
        <v>111</v>
      </c>
      <c r="D24" s="231"/>
      <c r="E24" s="15"/>
    </row>
    <row r="25" spans="1:7">
      <c r="A25" s="173" t="s">
        <v>78</v>
      </c>
      <c r="B25" s="37">
        <f>aantalw2001_stookolie</f>
        <v>2047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2988</v>
      </c>
      <c r="C28" s="36"/>
      <c r="D28" s="230"/>
    </row>
    <row r="29" spans="1:7" s="15" customFormat="1">
      <c r="A29" s="232" t="s">
        <v>746</v>
      </c>
      <c r="B29" s="37">
        <f>SUM(HH_hh_gas_aantal,HH_rest_gas_aantal)</f>
        <v>1116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1116</v>
      </c>
      <c r="C32" s="169">
        <f>IF(ISERROR(B32/SUM($B$32,$B$34,$B$35,$B$36,$B$38,$B$39)*100),0,B32/SUM($B$32,$B$34,$B$35,$B$36,$B$38,$B$39)*100)</f>
        <v>37.474815312290126</v>
      </c>
      <c r="D32" s="235"/>
      <c r="G32" s="15"/>
    </row>
    <row r="33" spans="1:7">
      <c r="A33" s="173" t="s">
        <v>72</v>
      </c>
      <c r="B33" s="34" t="s">
        <v>111</v>
      </c>
      <c r="C33" s="169"/>
      <c r="D33" s="235"/>
      <c r="G33" s="15"/>
    </row>
    <row r="34" spans="1:7">
      <c r="A34" s="173" t="s">
        <v>73</v>
      </c>
      <c r="B34" s="33">
        <f>IF((($B$28-$B$32-$B$39-$B$77-$B$38)*C20/100)&lt;0,0,($B$28-$B$32-$B$39-$B$77-$B$38)*C20/100)</f>
        <v>84</v>
      </c>
      <c r="C34" s="169">
        <f>IF(ISERROR(B34/SUM($B$32,$B$34,$B$35,$B$36,$B$38,$B$39)*100),0,B34/SUM($B$32,$B$34,$B$35,$B$36,$B$38,$B$39)*100)</f>
        <v>2.8206850235057086</v>
      </c>
      <c r="D34" s="235"/>
      <c r="G34" s="15"/>
    </row>
    <row r="35" spans="1:7">
      <c r="A35" s="173" t="s">
        <v>74</v>
      </c>
      <c r="B35" s="33">
        <f>IF((($B$28-$B$32-$B$39-$B$77-$B$38)*C21/100)&lt;0,0,($B$28-$B$32-$B$39-$B$77-$B$38)*C21/100)</f>
        <v>336</v>
      </c>
      <c r="C35" s="169">
        <f>IF(ISERROR(B35/SUM($B$32,$B$34,$B$35,$B$36,$B$38,$B$39)*100),0,B35/SUM($B$32,$B$34,$B$35,$B$36,$B$38,$B$39)*100)</f>
        <v>11.282740094022834</v>
      </c>
      <c r="D35" s="235"/>
      <c r="G35" s="15"/>
    </row>
    <row r="36" spans="1:7">
      <c r="A36" s="173" t="s">
        <v>75</v>
      </c>
      <c r="B36" s="33">
        <f>IF((($B$28-$B$32-$B$39-$B$77-$B$38)*C22/100)&lt;0,0,($B$28-$B$32-$B$39-$B$77-$B$38)*C22/100)</f>
        <v>181.99999999999997</v>
      </c>
      <c r="C36" s="169">
        <f>IF(ISERROR(B36/SUM($B$32,$B$34,$B$35,$B$36,$B$38,$B$39)*100),0,B36/SUM($B$32,$B$34,$B$35,$B$36,$B$38,$B$39)*100)</f>
        <v>6.1114842175957005</v>
      </c>
      <c r="D36" s="235"/>
      <c r="G36" s="15"/>
    </row>
    <row r="37" spans="1:7">
      <c r="A37" s="173" t="s">
        <v>76</v>
      </c>
      <c r="B37" s="34" t="s">
        <v>111</v>
      </c>
      <c r="C37" s="169"/>
      <c r="D37" s="175"/>
      <c r="G37" s="15"/>
    </row>
    <row r="38" spans="1:7">
      <c r="A38" s="173" t="s">
        <v>77</v>
      </c>
      <c r="B38" s="33">
        <f>IF((B24-(B29-B18)*0.1)&lt;0,0,B24-(B29-B18)*0.1)</f>
        <v>14</v>
      </c>
      <c r="C38" s="169">
        <f>IF(ISERROR(B38/SUM($B$32,$B$34,$B$35,$B$36,$B$38,$B$39)*100),0,B38/SUM($B$32,$B$34,$B$35,$B$36,$B$38,$B$39)*100)</f>
        <v>0.47011417058428473</v>
      </c>
      <c r="D38" s="236"/>
      <c r="G38" s="15"/>
    </row>
    <row r="39" spans="1:7">
      <c r="A39" s="173" t="s">
        <v>78</v>
      </c>
      <c r="B39" s="33">
        <f>IF((B25-(B29-B18))&lt;0,0,B25-(B29-B18)*0.9)</f>
        <v>1246</v>
      </c>
      <c r="C39" s="169">
        <f>IF(ISERROR(B39/SUM($B$32,$B$34,$B$35,$B$36,$B$38,$B$39)*100),0,B39/SUM($B$32,$B$34,$B$35,$B$36,$B$38,$B$39)*100)</f>
        <v>41.840161182001346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1116</v>
      </c>
      <c r="C44" s="34" t="s">
        <v>111</v>
      </c>
      <c r="D44" s="176"/>
    </row>
    <row r="45" spans="1:7">
      <c r="A45" s="173" t="s">
        <v>72</v>
      </c>
      <c r="B45" s="33" t="str">
        <f t="shared" si="0"/>
        <v>-</v>
      </c>
      <c r="C45" s="34" t="s">
        <v>111</v>
      </c>
      <c r="D45" s="176"/>
    </row>
    <row r="46" spans="1:7">
      <c r="A46" s="173" t="s">
        <v>73</v>
      </c>
      <c r="B46" s="33">
        <f t="shared" si="0"/>
        <v>84</v>
      </c>
      <c r="C46" s="34" t="s">
        <v>111</v>
      </c>
      <c r="D46" s="176"/>
    </row>
    <row r="47" spans="1:7">
      <c r="A47" s="173" t="s">
        <v>74</v>
      </c>
      <c r="B47" s="33">
        <f t="shared" si="0"/>
        <v>336</v>
      </c>
      <c r="C47" s="34" t="s">
        <v>111</v>
      </c>
      <c r="D47" s="176"/>
    </row>
    <row r="48" spans="1:7">
      <c r="A48" s="173" t="s">
        <v>75</v>
      </c>
      <c r="B48" s="33">
        <f t="shared" si="0"/>
        <v>181.99999999999997</v>
      </c>
      <c r="C48" s="33">
        <f>B48*10</f>
        <v>1819.9999999999998</v>
      </c>
      <c r="D48" s="236"/>
    </row>
    <row r="49" spans="1:6">
      <c r="A49" s="173" t="s">
        <v>76</v>
      </c>
      <c r="B49" s="33" t="str">
        <f t="shared" si="0"/>
        <v>-</v>
      </c>
      <c r="C49" s="34" t="s">
        <v>111</v>
      </c>
      <c r="D49" s="236"/>
    </row>
    <row r="50" spans="1:6">
      <c r="A50" s="173" t="s">
        <v>77</v>
      </c>
      <c r="B50" s="33">
        <f t="shared" si="0"/>
        <v>14</v>
      </c>
      <c r="C50" s="33">
        <f>B50*2</f>
        <v>28</v>
      </c>
      <c r="D50" s="236"/>
    </row>
    <row r="51" spans="1:6">
      <c r="A51" s="173" t="s">
        <v>78</v>
      </c>
      <c r="B51" s="33">
        <f t="shared" si="0"/>
        <v>1246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5673.5329999999994</v>
      </c>
      <c r="C5" s="17">
        <f>IF(ISERROR('Eigen informatie GS &amp; warmtenet'!B58),0,'Eigen informatie GS &amp; warmtenet'!B58)</f>
        <v>0</v>
      </c>
      <c r="D5" s="30">
        <f>SUM(D6:D12)</f>
        <v>3580.3122079999998</v>
      </c>
      <c r="E5" s="17">
        <f>SUM(E6:E12)</f>
        <v>74.049653720566255</v>
      </c>
      <c r="F5" s="17">
        <f>SUM(F6:F12)</f>
        <v>1159.9636189053158</v>
      </c>
      <c r="G5" s="18"/>
      <c r="H5" s="17"/>
      <c r="I5" s="17"/>
      <c r="J5" s="17">
        <f>SUM(J6:J12)</f>
        <v>0</v>
      </c>
      <c r="K5" s="17"/>
      <c r="L5" s="17"/>
      <c r="M5" s="17"/>
      <c r="N5" s="17">
        <f>SUM(N6:N12)</f>
        <v>743.60567137697478</v>
      </c>
      <c r="O5" s="17">
        <f>B38*B39*B40</f>
        <v>0</v>
      </c>
      <c r="P5" s="17">
        <f>B46*B47*B48/1000-B46*B47*B48/1000/B49</f>
        <v>19.066666666666666</v>
      </c>
      <c r="R5" s="32"/>
    </row>
    <row r="6" spans="1:18">
      <c r="A6" s="32" t="s">
        <v>54</v>
      </c>
      <c r="B6" s="37">
        <f>B26</f>
        <v>1360.972</v>
      </c>
      <c r="C6" s="33"/>
      <c r="D6" s="37">
        <f>IF(ISERROR(TER_kantoor_gas_kWh/1000),0,TER_kantoor_gas_kWh/1000)*0.902</f>
        <v>693.89326600000004</v>
      </c>
      <c r="E6" s="33">
        <f>$C$26*'E Balans VL '!I12/100/3.6*1000000</f>
        <v>5.2876643545605138</v>
      </c>
      <c r="F6" s="33">
        <f>$C$26*('E Balans VL '!L12+'E Balans VL '!N12)/100/3.6*1000000</f>
        <v>206.99145734212684</v>
      </c>
      <c r="G6" s="34"/>
      <c r="H6" s="33"/>
      <c r="I6" s="33"/>
      <c r="J6" s="33">
        <f>$C$26*('E Balans VL '!D12+'E Balans VL '!E12)/100/3.6*1000000</f>
        <v>0</v>
      </c>
      <c r="K6" s="33"/>
      <c r="L6" s="33"/>
      <c r="M6" s="33"/>
      <c r="N6" s="33">
        <f>$C$26*'E Balans VL '!Y12/100/3.6*1000000</f>
        <v>0.75005861243041261</v>
      </c>
      <c r="O6" s="33"/>
      <c r="P6" s="33"/>
      <c r="R6" s="32"/>
    </row>
    <row r="7" spans="1:18">
      <c r="A7" s="32" t="s">
        <v>53</v>
      </c>
      <c r="B7" s="37">
        <f t="shared" ref="B7:B12" si="0">B27</f>
        <v>511.79599999999999</v>
      </c>
      <c r="C7" s="33"/>
      <c r="D7" s="37">
        <f>IF(ISERROR(TER_horeca_gas_kWh/1000),0,TER_horeca_gas_kWh/1000)*0.902</f>
        <v>448.89292799999998</v>
      </c>
      <c r="E7" s="33">
        <f>$C$27*'E Balans VL '!I9/100/3.6*1000000</f>
        <v>28.829605511579803</v>
      </c>
      <c r="F7" s="33">
        <f>$C$27*('E Balans VL '!L9+'E Balans VL '!N9)/100/3.6*1000000</f>
        <v>147.57132579897711</v>
      </c>
      <c r="G7" s="34"/>
      <c r="H7" s="33"/>
      <c r="I7" s="33"/>
      <c r="J7" s="33">
        <f>$C$27*('E Balans VL '!D9+'E Balans VL '!E9)/100/3.6*1000000</f>
        <v>0</v>
      </c>
      <c r="K7" s="33"/>
      <c r="L7" s="33"/>
      <c r="M7" s="33"/>
      <c r="N7" s="33">
        <f>$C$27*'E Balans VL '!Y9/100/3.6*1000000</f>
        <v>0.14130421605775584</v>
      </c>
      <c r="O7" s="33"/>
      <c r="P7" s="33"/>
      <c r="R7" s="32"/>
    </row>
    <row r="8" spans="1:18">
      <c r="A8" s="6" t="s">
        <v>52</v>
      </c>
      <c r="B8" s="37">
        <f t="shared" si="0"/>
        <v>2410.3739999999998</v>
      </c>
      <c r="C8" s="33"/>
      <c r="D8" s="37">
        <f>IF(ISERROR(TER_handel_gas_kWh/1000),0,TER_handel_gas_kWh/1000)*0.902</f>
        <v>806.35282200000006</v>
      </c>
      <c r="E8" s="33">
        <f>$C$28*'E Balans VL '!I13/100/3.6*1000000</f>
        <v>34.741666925511154</v>
      </c>
      <c r="F8" s="33">
        <f>$C$28*('E Balans VL '!L13+'E Balans VL '!N13)/100/3.6*1000000</f>
        <v>418.73809762261413</v>
      </c>
      <c r="G8" s="34"/>
      <c r="H8" s="33"/>
      <c r="I8" s="33"/>
      <c r="J8" s="33">
        <f>$C$28*('E Balans VL '!D13+'E Balans VL '!E13)/100/3.6*1000000</f>
        <v>0</v>
      </c>
      <c r="K8" s="33"/>
      <c r="L8" s="33"/>
      <c r="M8" s="33"/>
      <c r="N8" s="33">
        <f>$C$28*'E Balans VL '!Y13/100/3.6*1000000</f>
        <v>7.2217488323612864</v>
      </c>
      <c r="O8" s="33"/>
      <c r="P8" s="33"/>
      <c r="R8" s="32"/>
    </row>
    <row r="9" spans="1:18">
      <c r="A9" s="32" t="s">
        <v>51</v>
      </c>
      <c r="B9" s="37">
        <f t="shared" si="0"/>
        <v>252.34</v>
      </c>
      <c r="C9" s="33"/>
      <c r="D9" s="37">
        <f>IF(ISERROR(TER_gezond_gas_kWh/1000),0,TER_gezond_gas_kWh/1000)*0.902</f>
        <v>612.30916999999999</v>
      </c>
      <c r="E9" s="33">
        <f>$C$29*'E Balans VL '!I10/100/3.6*1000000</f>
        <v>0.26956452412610954</v>
      </c>
      <c r="F9" s="33">
        <f>$C$29*('E Balans VL '!L10+'E Balans VL '!N10)/100/3.6*1000000</f>
        <v>41.164322900377314</v>
      </c>
      <c r="G9" s="34"/>
      <c r="H9" s="33"/>
      <c r="I9" s="33"/>
      <c r="J9" s="33">
        <f>$C$29*('E Balans VL '!D10+'E Balans VL '!E10)/100/3.6*1000000</f>
        <v>0</v>
      </c>
      <c r="K9" s="33"/>
      <c r="L9" s="33"/>
      <c r="M9" s="33"/>
      <c r="N9" s="33">
        <f>$C$29*'E Balans VL '!Y10/100/3.6*1000000</f>
        <v>2.5976963176684915</v>
      </c>
      <c r="O9" s="33"/>
      <c r="P9" s="33"/>
      <c r="R9" s="32"/>
    </row>
    <row r="10" spans="1:18">
      <c r="A10" s="32" t="s">
        <v>50</v>
      </c>
      <c r="B10" s="37">
        <f t="shared" si="0"/>
        <v>1052.9100000000001</v>
      </c>
      <c r="C10" s="33"/>
      <c r="D10" s="37">
        <f>IF(ISERROR(TER_ander_gas_kWh/1000),0,TER_ander_gas_kWh/1000)*0.902</f>
        <v>808.15862600000003</v>
      </c>
      <c r="E10" s="33">
        <f>$C$30*'E Balans VL '!I14/100/3.6*1000000</f>
        <v>4.8421729304997791</v>
      </c>
      <c r="F10" s="33">
        <f>$C$30*('E Balans VL '!L14+'E Balans VL '!N14)/100/3.6*1000000</f>
        <v>315.59033876641706</v>
      </c>
      <c r="G10" s="34"/>
      <c r="H10" s="33"/>
      <c r="I10" s="33"/>
      <c r="J10" s="33">
        <f>$C$30*('E Balans VL '!D14+'E Balans VL '!E14)/100/3.6*1000000</f>
        <v>0</v>
      </c>
      <c r="K10" s="33"/>
      <c r="L10" s="33"/>
      <c r="M10" s="33"/>
      <c r="N10" s="33">
        <f>$C$30*'E Balans VL '!Y14/100/3.6*1000000</f>
        <v>732.89486339845689</v>
      </c>
      <c r="O10" s="33"/>
      <c r="P10" s="33"/>
      <c r="R10" s="32"/>
    </row>
    <row r="11" spans="1:18">
      <c r="A11" s="32" t="s">
        <v>55</v>
      </c>
      <c r="B11" s="37">
        <f t="shared" si="0"/>
        <v>85.141000000000005</v>
      </c>
      <c r="C11" s="33"/>
      <c r="D11" s="37">
        <f>IF(ISERROR(TER_onderwijs_gas_kWh/1000),0,TER_onderwijs_gas_kWh/1000)*0.902</f>
        <v>0</v>
      </c>
      <c r="E11" s="33">
        <f>$C$31*'E Balans VL '!I11/100/3.6*1000000</f>
        <v>7.8979474288886742E-2</v>
      </c>
      <c r="F11" s="33">
        <f>$C$31*('E Balans VL '!L11+'E Balans VL '!N11)/100/3.6*1000000</f>
        <v>29.908076474803316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210.70539600000001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5673.5329999999994</v>
      </c>
      <c r="C16" s="21">
        <f t="shared" ca="1" si="1"/>
        <v>0</v>
      </c>
      <c r="D16" s="21">
        <f t="shared" ca="1" si="1"/>
        <v>3580.3122079999998</v>
      </c>
      <c r="E16" s="21">
        <f t="shared" si="1"/>
        <v>74.049653720566255</v>
      </c>
      <c r="F16" s="21">
        <f t="shared" ca="1" si="1"/>
        <v>1159.9636189053158</v>
      </c>
      <c r="G16" s="21">
        <f t="shared" si="1"/>
        <v>0</v>
      </c>
      <c r="H16" s="21">
        <f t="shared" si="1"/>
        <v>0</v>
      </c>
      <c r="I16" s="21">
        <f t="shared" si="1"/>
        <v>0</v>
      </c>
      <c r="J16" s="21">
        <f t="shared" si="1"/>
        <v>0</v>
      </c>
      <c r="K16" s="21">
        <f t="shared" si="1"/>
        <v>0</v>
      </c>
      <c r="L16" s="21">
        <f t="shared" ca="1" si="1"/>
        <v>0</v>
      </c>
      <c r="M16" s="21">
        <f t="shared" si="1"/>
        <v>0</v>
      </c>
      <c r="N16" s="21">
        <f t="shared" ca="1" si="1"/>
        <v>743.60567137697478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0.20705703591732524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1174.7449261591298</v>
      </c>
      <c r="C20" s="23">
        <f t="shared" ref="C20:P20" ca="1" si="2">C16*C18</f>
        <v>0</v>
      </c>
      <c r="D20" s="23">
        <f t="shared" ca="1" si="2"/>
        <v>723.22306601599996</v>
      </c>
      <c r="E20" s="23">
        <f t="shared" si="2"/>
        <v>16.80927139456854</v>
      </c>
      <c r="F20" s="23">
        <f t="shared" ca="1" si="2"/>
        <v>309.71028624771935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1360.972</v>
      </c>
      <c r="C26" s="39">
        <f>IF(ISERROR(B26*3.6/1000000/'E Balans VL '!Z12*100),0,B26*3.6/1000000/'E Balans VL '!Z12*100)</f>
        <v>2.890771941789207E-2</v>
      </c>
      <c r="D26" s="239" t="s">
        <v>692</v>
      </c>
      <c r="F26" s="6"/>
    </row>
    <row r="27" spans="1:18">
      <c r="A27" s="233" t="s">
        <v>53</v>
      </c>
      <c r="B27" s="33">
        <f>IF(ISERROR(TER_horeca_ele_kWh/1000),0,TER_horeca_ele_kWh/1000)</f>
        <v>511.79599999999999</v>
      </c>
      <c r="C27" s="39">
        <f>IF(ISERROR(B27*3.6/1000000/'E Balans VL '!Z9*100),0,B27*3.6/1000000/'E Balans VL '!Z9*100)</f>
        <v>3.9795255877711468E-2</v>
      </c>
      <c r="D27" s="239" t="s">
        <v>692</v>
      </c>
      <c r="F27" s="6"/>
    </row>
    <row r="28" spans="1:18">
      <c r="A28" s="173" t="s">
        <v>52</v>
      </c>
      <c r="B28" s="33">
        <f>IF(ISERROR(TER_handel_ele_kWh/1000),0,TER_handel_ele_kWh/1000)</f>
        <v>2410.3739999999998</v>
      </c>
      <c r="C28" s="39">
        <f>IF(ISERROR(B28*3.6/1000000/'E Balans VL '!Z13*100),0,B28*3.6/1000000/'E Balans VL '!Z13*100)</f>
        <v>6.8963636866425856E-2</v>
      </c>
      <c r="D28" s="239" t="s">
        <v>692</v>
      </c>
      <c r="F28" s="6"/>
    </row>
    <row r="29" spans="1:18">
      <c r="A29" s="233" t="s">
        <v>51</v>
      </c>
      <c r="B29" s="33">
        <f>IF(ISERROR(TER_gezond_ele_kWh/1000),0,TER_gezond_ele_kWh/1000)</f>
        <v>252.34</v>
      </c>
      <c r="C29" s="39">
        <f>IF(ISERROR(B29*3.6/1000000/'E Balans VL '!Z10*100),0,B29*3.6/1000000/'E Balans VL '!Z10*100)</f>
        <v>2.7510923678358345E-2</v>
      </c>
      <c r="D29" s="239" t="s">
        <v>692</v>
      </c>
      <c r="F29" s="6"/>
    </row>
    <row r="30" spans="1:18">
      <c r="A30" s="233" t="s">
        <v>50</v>
      </c>
      <c r="B30" s="33">
        <f>IF(ISERROR(TER_ander_ele_kWh/1000),0,TER_ander_ele_kWh/1000)</f>
        <v>1052.9100000000001</v>
      </c>
      <c r="C30" s="39">
        <f>IF(ISERROR(B30*3.6/1000000/'E Balans VL '!Z14*100),0,B30*3.6/1000000/'E Balans VL '!Z14*100)</f>
        <v>7.7049565330284758E-2</v>
      </c>
      <c r="D30" s="239" t="s">
        <v>692</v>
      </c>
      <c r="F30" s="6"/>
    </row>
    <row r="31" spans="1:18">
      <c r="A31" s="233" t="s">
        <v>55</v>
      </c>
      <c r="B31" s="33">
        <f>IF(ISERROR(TER_onderwijs_ele_kWh/1000),0,TER_onderwijs_ele_kWh/1000)</f>
        <v>85.141000000000005</v>
      </c>
      <c r="C31" s="39">
        <f>IF(ISERROR(B31*3.6/1000000/'E Balans VL '!Z11*100),0,B31*3.6/1000000/'E Balans VL '!Z11*100)</f>
        <v>1.7100633073963204E-2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45634.479000000007</v>
      </c>
      <c r="C5" s="17">
        <f>IF(ISERROR('Eigen informatie GS &amp; warmtenet'!B59),0,'Eigen informatie GS &amp; warmtenet'!B59)</f>
        <v>0</v>
      </c>
      <c r="D5" s="30">
        <f>SUM(D6:D15)</f>
        <v>6715.5676940000012</v>
      </c>
      <c r="E5" s="17">
        <f>SUM(E6:E15)</f>
        <v>11920.635435265627</v>
      </c>
      <c r="F5" s="17">
        <f>SUM(F6:F15)</f>
        <v>29902.37826851524</v>
      </c>
      <c r="G5" s="18"/>
      <c r="H5" s="17"/>
      <c r="I5" s="17"/>
      <c r="J5" s="17">
        <f>SUM(J6:J15)</f>
        <v>4.8583775485911895E-3</v>
      </c>
      <c r="K5" s="17"/>
      <c r="L5" s="17"/>
      <c r="M5" s="17"/>
      <c r="N5" s="17">
        <f>SUM(N6:N15)</f>
        <v>17053.380307415897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178.10300000000001</v>
      </c>
      <c r="C8" s="33"/>
      <c r="D8" s="37">
        <f>IF( ISERROR(IND_metaal_Gas_kWH/1000),0,IND_metaal_Gas_kWH/1000)*0.902</f>
        <v>0</v>
      </c>
      <c r="E8" s="33">
        <f>C30*'E Balans VL '!I18/100/3.6*1000000</f>
        <v>5.1157866766493436</v>
      </c>
      <c r="F8" s="33">
        <f>C30*'E Balans VL '!L18/100/3.6*1000000+C30*'E Balans VL '!N18/100/3.6*1000000</f>
        <v>45.67999408703951</v>
      </c>
      <c r="G8" s="34"/>
      <c r="H8" s="33"/>
      <c r="I8" s="33"/>
      <c r="J8" s="40">
        <f>C30*'E Balans VL '!D18/100/3.6*1000000+C30*'E Balans VL '!E18/100/3.6*1000000</f>
        <v>0</v>
      </c>
      <c r="K8" s="33"/>
      <c r="L8" s="33"/>
      <c r="M8" s="33"/>
      <c r="N8" s="33">
        <f>C30*'E Balans VL '!Y18/100/3.6*1000000</f>
        <v>4.8358600097313165</v>
      </c>
      <c r="O8" s="33"/>
      <c r="P8" s="33"/>
      <c r="R8" s="32"/>
    </row>
    <row r="9" spans="1:18">
      <c r="A9" s="6" t="s">
        <v>33</v>
      </c>
      <c r="B9" s="37">
        <f t="shared" si="0"/>
        <v>43863.322</v>
      </c>
      <c r="C9" s="33"/>
      <c r="D9" s="37">
        <f>IF( ISERROR(IND_andere_gas_kWh/1000),0,IND_andere_gas_kWh/1000)*0.902</f>
        <v>6141.1262880000004</v>
      </c>
      <c r="E9" s="33">
        <f>C31*'E Balans VL '!I19/100/3.6*1000000</f>
        <v>11872.722796127899</v>
      </c>
      <c r="F9" s="33">
        <f>C31*'E Balans VL '!L19/100/3.6*1000000+C31*'E Balans VL '!N19/100/3.6*1000000</f>
        <v>29217.614161075369</v>
      </c>
      <c r="G9" s="34"/>
      <c r="H9" s="33"/>
      <c r="I9" s="33"/>
      <c r="J9" s="40">
        <f>C31*'E Balans VL '!D19/100/3.6*1000000+C31*'E Balans VL '!E19/100/3.6*1000000</f>
        <v>0</v>
      </c>
      <c r="K9" s="33"/>
      <c r="L9" s="33"/>
      <c r="M9" s="33"/>
      <c r="N9" s="33">
        <f>C31*'E Balans VL '!Y19/100/3.6*1000000</f>
        <v>14320.646000842646</v>
      </c>
      <c r="O9" s="33"/>
      <c r="P9" s="33"/>
      <c r="R9" s="32"/>
    </row>
    <row r="10" spans="1:18">
      <c r="A10" s="6" t="s">
        <v>41</v>
      </c>
      <c r="B10" s="37">
        <f t="shared" si="0"/>
        <v>367.25799999999998</v>
      </c>
      <c r="C10" s="33"/>
      <c r="D10" s="37">
        <f>IF( ISERROR(IND_voed_gas_kWh/1000),0,IND_voed_gas_kWh/1000)*0.902</f>
        <v>307.208572</v>
      </c>
      <c r="E10" s="33">
        <f>C32*'E Balans VL '!I20/100/3.6*1000000</f>
        <v>29.954406233299395</v>
      </c>
      <c r="F10" s="33">
        <f>C32*'E Balans VL '!L20/100/3.6*1000000+C32*'E Balans VL '!N20/100/3.6*1000000</f>
        <v>547.61499856535079</v>
      </c>
      <c r="G10" s="34"/>
      <c r="H10" s="33"/>
      <c r="I10" s="33"/>
      <c r="J10" s="40">
        <f>C32*'E Balans VL '!D20/100/3.6*1000000+C32*'E Balans VL '!E20/100/3.6*1000000</f>
        <v>4.8583775485911895E-3</v>
      </c>
      <c r="K10" s="33"/>
      <c r="L10" s="33"/>
      <c r="M10" s="33"/>
      <c r="N10" s="33">
        <f>C32*'E Balans VL '!Y20/100/3.6*1000000</f>
        <v>107.88744126253604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1225.796</v>
      </c>
      <c r="C13" s="33"/>
      <c r="D13" s="37">
        <f>IF( ISERROR(IND_papier_gas_kWh/1000),0,IND_papier_gas_kWh/1000)*0.902</f>
        <v>0</v>
      </c>
      <c r="E13" s="33">
        <f>C35*'E Balans VL '!I23/100/3.6*1000000</f>
        <v>12.842446227780517</v>
      </c>
      <c r="F13" s="33">
        <f>C35*'E Balans VL '!L23/100/3.6*1000000+C35*'E Balans VL '!N23/100/3.6*1000000</f>
        <v>91.469114787478276</v>
      </c>
      <c r="G13" s="34"/>
      <c r="H13" s="33"/>
      <c r="I13" s="33"/>
      <c r="J13" s="40">
        <f>C35*'E Balans VL '!D23/100/3.6*1000000+C35*'E Balans VL '!E23/100/3.6*1000000</f>
        <v>0</v>
      </c>
      <c r="K13" s="33"/>
      <c r="L13" s="33"/>
      <c r="M13" s="33"/>
      <c r="N13" s="33">
        <f>C35*'E Balans VL '!Y23/100/3.6*1000000</f>
        <v>2620.0110053009857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267.23283400000003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45634.479000000007</v>
      </c>
      <c r="C18" s="21">
        <f>C5+C16</f>
        <v>0</v>
      </c>
      <c r="D18" s="21">
        <f>MAX((D5+D16),0)</f>
        <v>6715.5676940000012</v>
      </c>
      <c r="E18" s="21">
        <f>MAX((E5+E16),0)</f>
        <v>11920.635435265627</v>
      </c>
      <c r="F18" s="21">
        <f>MAX((F5+F16),0)</f>
        <v>29902.37826851524</v>
      </c>
      <c r="G18" s="21"/>
      <c r="H18" s="21"/>
      <c r="I18" s="21"/>
      <c r="J18" s="21">
        <f>MAX((J5+J16),0)</f>
        <v>4.8583775485911895E-3</v>
      </c>
      <c r="K18" s="21"/>
      <c r="L18" s="21">
        <f>MAX((L5+L16),0)</f>
        <v>0</v>
      </c>
      <c r="M18" s="21"/>
      <c r="N18" s="21">
        <f>MAX((N5+N16),0)</f>
        <v>17053.380307415897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0.20705703591732524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9448.9399573714254</v>
      </c>
      <c r="C22" s="23">
        <f ca="1">C18*C20</f>
        <v>0</v>
      </c>
      <c r="D22" s="23">
        <f>D18*D20</f>
        <v>1356.5446741880003</v>
      </c>
      <c r="E22" s="23">
        <f>E18*E20</f>
        <v>2705.9842438052974</v>
      </c>
      <c r="F22" s="23">
        <f>F18*F20</f>
        <v>7983.9349976935691</v>
      </c>
      <c r="G22" s="23"/>
      <c r="H22" s="23"/>
      <c r="I22" s="23"/>
      <c r="J22" s="23">
        <f>J18*J20</f>
        <v>1.7198656522012809E-3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178.10300000000001</v>
      </c>
      <c r="C30" s="39">
        <f>IF(ISERROR(B30*3.6/1000000/'E Balans VL '!Z18*100),0,B30*3.6/1000000/'E Balans VL '!Z18*100)</f>
        <v>1.7524880551472465E-2</v>
      </c>
      <c r="D30" s="239" t="s">
        <v>692</v>
      </c>
    </row>
    <row r="31" spans="1:18">
      <c r="A31" s="6" t="s">
        <v>33</v>
      </c>
      <c r="B31" s="37">
        <f>IF( ISERROR(IND_ander_ele_kWh/1000),0,IND_ander_ele_kWh/1000)</f>
        <v>43863.322</v>
      </c>
      <c r="C31" s="39">
        <f>IF(ISERROR(B31*3.6/1000000/'E Balans VL '!Z19*100),0,B31*3.6/1000000/'E Balans VL '!Z19*100)</f>
        <v>1.9102126836727091</v>
      </c>
      <c r="D31" s="239" t="s">
        <v>692</v>
      </c>
    </row>
    <row r="32" spans="1:18">
      <c r="A32" s="173" t="s">
        <v>41</v>
      </c>
      <c r="B32" s="37">
        <f>IF( ISERROR(IND_voed_ele_kWh/1000),0,IND_voed_ele_kWh/1000)</f>
        <v>367.25799999999998</v>
      </c>
      <c r="C32" s="39">
        <f>IF(ISERROR(B32*3.6/1000000/'E Balans VL '!Z20*100),0,B32*3.6/1000000/'E Balans VL '!Z20*100)</f>
        <v>6.9681909063456546E-2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1225.796</v>
      </c>
      <c r="C35" s="39">
        <f>IF(ISERROR(B35*3.6/1000000/'E Balans VL '!Z22*100),0,B35*3.6/1000000/'E Balans VL '!Z22*100)</f>
        <v>0.17235922665976314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1493.5250000000001</v>
      </c>
      <c r="C5" s="17">
        <f>'Eigen informatie GS &amp; warmtenet'!B60</f>
        <v>0</v>
      </c>
      <c r="D5" s="30">
        <f>IF(ISERROR(SUM(LB_lb_gas_kWh,LB_rest_gas_kWh,onbekend_gas_kWh)/1000),0,SUM(LB_lb_gas_kWh,LB_rest_gas_kWh,onbekend_gas_kWh)/1000)*0.902</f>
        <v>54.724340000000005</v>
      </c>
      <c r="E5" s="17">
        <f>B17*'E Balans VL '!I25/3.6*1000000/100</f>
        <v>18.820339051399237</v>
      </c>
      <c r="F5" s="17">
        <f>B17*('E Balans VL '!L25/3.6*1000000+'E Balans VL '!N25/3.6*1000000)/100</f>
        <v>5153.0354003689017</v>
      </c>
      <c r="G5" s="18"/>
      <c r="H5" s="17"/>
      <c r="I5" s="17"/>
      <c r="J5" s="17">
        <f>('E Balans VL '!D25+'E Balans VL '!E25)/3.6*1000000*landbouw!B17/100</f>
        <v>224.60918220700208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1493.5250000000001</v>
      </c>
      <c r="C8" s="21">
        <f>C5+C6</f>
        <v>0</v>
      </c>
      <c r="D8" s="21">
        <f>MAX((D5+D6),0)</f>
        <v>54.724340000000005</v>
      </c>
      <c r="E8" s="21">
        <f>MAX((E5+E6),0)</f>
        <v>18.820339051399237</v>
      </c>
      <c r="F8" s="21">
        <f>MAX((F5+F6),0)</f>
        <v>5153.0354003689017</v>
      </c>
      <c r="G8" s="21"/>
      <c r="H8" s="21"/>
      <c r="I8" s="21"/>
      <c r="J8" s="21">
        <f>MAX((J5+J6),0)</f>
        <v>224.60918220700208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0.20705703591732524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309.24485956842318</v>
      </c>
      <c r="C12" s="23">
        <f ca="1">C8*C10</f>
        <v>0</v>
      </c>
      <c r="D12" s="23">
        <f>D8*D10</f>
        <v>11.054316680000001</v>
      </c>
      <c r="E12" s="23">
        <f>E8*E10</f>
        <v>4.2722169646676269</v>
      </c>
      <c r="F12" s="23">
        <f>F8*F10</f>
        <v>1375.8604518984969</v>
      </c>
      <c r="G12" s="23"/>
      <c r="H12" s="23"/>
      <c r="I12" s="23"/>
      <c r="J12" s="23">
        <f>J8*J10</f>
        <v>79.511650501278737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0.20829966432442368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61.286341541797057</v>
      </c>
      <c r="C26" s="249">
        <f>B26*'GWP N2O_CH4'!B5</f>
        <v>1287.0131723777381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24.09480971684965</v>
      </c>
      <c r="C27" s="249">
        <f>B27*'GWP N2O_CH4'!B5</f>
        <v>505.99100405384263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0.81685081342854637</v>
      </c>
      <c r="C28" s="249">
        <f>B28*'GWP N2O_CH4'!B4</f>
        <v>253.22375216284937</v>
      </c>
      <c r="D28" s="50"/>
    </row>
    <row r="29" spans="1:4">
      <c r="A29" s="41" t="s">
        <v>277</v>
      </c>
      <c r="B29" s="249">
        <f>B34*'ha_N2O bodem landbouw'!B4</f>
        <v>9.0898084615653723</v>
      </c>
      <c r="C29" s="249">
        <f>B29*'GWP N2O_CH4'!B4</f>
        <v>2817.8406230852652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2.2696343449516996E-3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7.8010263148773151E-6</v>
      </c>
      <c r="C5" s="448" t="s">
        <v>211</v>
      </c>
      <c r="D5" s="433">
        <f>SUM(D6:D11)</f>
        <v>1.2922616213049082E-5</v>
      </c>
      <c r="E5" s="433">
        <f>SUM(E6:E11)</f>
        <v>3.9526224709912541E-4</v>
      </c>
      <c r="F5" s="446" t="s">
        <v>211</v>
      </c>
      <c r="G5" s="433">
        <f>SUM(G6:G11)</f>
        <v>9.2351660019778931E-2</v>
      </c>
      <c r="H5" s="433">
        <f>SUM(H6:H11)</f>
        <v>1.9326907438354121E-2</v>
      </c>
      <c r="I5" s="448" t="s">
        <v>211</v>
      </c>
      <c r="J5" s="448" t="s">
        <v>211</v>
      </c>
      <c r="K5" s="448" t="s">
        <v>211</v>
      </c>
      <c r="L5" s="448" t="s">
        <v>211</v>
      </c>
      <c r="M5" s="433">
        <f>SUM(M6:M11)</f>
        <v>5.0500131859993911E-3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6.1070712940750638E-6</v>
      </c>
      <c r="C6" s="949"/>
      <c r="D6" s="949">
        <f>vkm_2011_GW_PW*SUMIFS(TableVerdeelsleutelVkm[CNG],TableVerdeelsleutelVkm[Voertuigtype],"Lichte voertuigen")*SUMIFS(TableECFTransport[EnergieConsumptieFactor (PJ per km)],TableECFTransport[Index],CONCATENATE($A6,"_CNG_CNG"))</f>
        <v>8.6488073771664514E-6</v>
      </c>
      <c r="E6" s="949">
        <f>vkm_2011_GW_PW*SUMIFS(TableVerdeelsleutelVkm[LPG],TableVerdeelsleutelVkm[Voertuigtype],"Lichte voertuigen")*SUMIFS(TableECFTransport[EnergieConsumptieFactor (PJ per km)],TableECFTransport[Index],CONCATENATE($A6,"_LPG_LPG"))</f>
        <v>2.7163056709122942E-4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4.881945070513978E-2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1.3081564647157087E-2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2.8005997252828312E-3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1.9987495051819234E-2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7.1013497862973196E-6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9.019723956297976E-4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1.6939550208022511E-6</v>
      </c>
      <c r="C8" s="949"/>
      <c r="D8" s="436">
        <f>vkm_2011_NGW_PW*SUMIFS(TableVerdeelsleutelVkm[CNG],TableVerdeelsleutelVkm[Voertuigtype],"Lichte voertuigen")*SUMIFS(TableECFTransport[EnergieConsumptieFactor (PJ per km)],TableECFTransport[Index],CONCATENATE($A8,"_CNG_CNG"))</f>
        <v>4.27380883588263E-6</v>
      </c>
      <c r="E8" s="436">
        <f>vkm_2011_NGW_PW*SUMIFS(TableVerdeelsleutelVkm[LPG],TableVerdeelsleutelVkm[Voertuigtype],"Lichte voertuigen")*SUMIFS(TableECFTransport[EnergieConsumptieFactor (PJ per km)],TableECFTransport[Index],CONCATENATE($A8,"_LPG_LPG"))</f>
        <v>1.2363168000789599E-4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2.0956768617318672E-2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6.2373713549954898E-3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1.2306575271109131E-3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2.5879456455012487E-3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8.7008641524809034E-7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1.1678353797584968E-4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2.1669517541325876</v>
      </c>
      <c r="C14" s="21"/>
      <c r="D14" s="21">
        <f t="shared" ref="D14:M14" si="0">((D5)*10^9/3600)+D12</f>
        <v>3.5896156147358562</v>
      </c>
      <c r="E14" s="21">
        <f t="shared" si="0"/>
        <v>109.79506863864594</v>
      </c>
      <c r="F14" s="21"/>
      <c r="G14" s="21">
        <f t="shared" si="0"/>
        <v>25653.238894383037</v>
      </c>
      <c r="H14" s="21">
        <f t="shared" si="0"/>
        <v>5368.5853995428106</v>
      </c>
      <c r="I14" s="21"/>
      <c r="J14" s="21"/>
      <c r="K14" s="21"/>
      <c r="L14" s="21"/>
      <c r="M14" s="21">
        <f t="shared" si="0"/>
        <v>1402.7814405553863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0.20705703591732524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0.44868260718654213</v>
      </c>
      <c r="C18" s="23"/>
      <c r="D18" s="23">
        <f t="shared" ref="D18:M18" si="1">D14*D16</f>
        <v>0.72510235417664304</v>
      </c>
      <c r="E18" s="23">
        <f t="shared" si="1"/>
        <v>24.92348058097263</v>
      </c>
      <c r="F18" s="23"/>
      <c r="G18" s="23">
        <f t="shared" si="1"/>
        <v>6849.4147848002713</v>
      </c>
      <c r="H18" s="23">
        <f t="shared" si="1"/>
        <v>1336.7777644861599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1.5900272419747301E-3</v>
      </c>
      <c r="H50" s="323">
        <f t="shared" si="2"/>
        <v>0</v>
      </c>
      <c r="I50" s="323">
        <f t="shared" si="2"/>
        <v>0</v>
      </c>
      <c r="J50" s="323">
        <f t="shared" si="2"/>
        <v>0</v>
      </c>
      <c r="K50" s="323">
        <f t="shared" si="2"/>
        <v>0</v>
      </c>
      <c r="L50" s="323">
        <f t="shared" si="2"/>
        <v>0</v>
      </c>
      <c r="M50" s="323">
        <f t="shared" si="2"/>
        <v>7.0712400524289472E-5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1.5900272419747301E-3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7.0712400524289472E-5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441.67423388186944</v>
      </c>
      <c r="H54" s="21">
        <f t="shared" si="3"/>
        <v>0</v>
      </c>
      <c r="I54" s="21">
        <f t="shared" si="3"/>
        <v>0</v>
      </c>
      <c r="J54" s="21">
        <f t="shared" si="3"/>
        <v>0</v>
      </c>
      <c r="K54" s="21">
        <f t="shared" si="3"/>
        <v>0</v>
      </c>
      <c r="L54" s="21">
        <f t="shared" si="3"/>
        <v>0</v>
      </c>
      <c r="M54" s="21">
        <f t="shared" si="3"/>
        <v>19.642333478969299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0.20705703591732524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117.92702044645915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4259.795219388946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4259.795219388946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6230.0879999999997</v>
      </c>
      <c r="D10" s="704">
        <f ca="1">tertiair!C16</f>
        <v>0</v>
      </c>
      <c r="E10" s="704">
        <f ca="1">tertiair!D16</f>
        <v>3580.3122079999998</v>
      </c>
      <c r="F10" s="704">
        <f>tertiair!E16</f>
        <v>74.049653720566255</v>
      </c>
      <c r="G10" s="704">
        <f ca="1">tertiair!F16</f>
        <v>1159.9636189053158</v>
      </c>
      <c r="H10" s="704">
        <f>tertiair!G16</f>
        <v>0</v>
      </c>
      <c r="I10" s="704">
        <f>tertiair!H16</f>
        <v>0</v>
      </c>
      <c r="J10" s="704">
        <f>tertiair!I16</f>
        <v>0</v>
      </c>
      <c r="K10" s="704">
        <f>tertiair!J16</f>
        <v>0</v>
      </c>
      <c r="L10" s="704">
        <f>tertiair!K16</f>
        <v>0</v>
      </c>
      <c r="M10" s="704">
        <f ca="1">tertiair!L16</f>
        <v>0</v>
      </c>
      <c r="N10" s="704">
        <f>tertiair!M16</f>
        <v>0</v>
      </c>
      <c r="O10" s="704">
        <f ca="1">tertiair!N16</f>
        <v>743.60567137697478</v>
      </c>
      <c r="P10" s="704">
        <f>tertiair!O16</f>
        <v>0</v>
      </c>
      <c r="Q10" s="705">
        <f>tertiair!P16</f>
        <v>19.066666666666666</v>
      </c>
      <c r="R10" s="707">
        <f ca="1">SUM(C10:Q10)</f>
        <v>11807.085818669522</v>
      </c>
      <c r="S10" s="67"/>
    </row>
    <row r="11" spans="1:19" s="459" customFormat="1">
      <c r="A11" s="858" t="s">
        <v>225</v>
      </c>
      <c r="B11" s="863"/>
      <c r="C11" s="704">
        <f>huishoudens!B8</f>
        <v>14158.723231864918</v>
      </c>
      <c r="D11" s="704">
        <f>huishoudens!C8</f>
        <v>0</v>
      </c>
      <c r="E11" s="704">
        <f>huishoudens!D8</f>
        <v>18383.684550000002</v>
      </c>
      <c r="F11" s="704">
        <f>huishoudens!E8</f>
        <v>1750.3670678752014</v>
      </c>
      <c r="G11" s="704">
        <f>huishoudens!F8</f>
        <v>31507.451623049077</v>
      </c>
      <c r="H11" s="704">
        <f>huishoudens!G8</f>
        <v>0</v>
      </c>
      <c r="I11" s="704">
        <f>huishoudens!H8</f>
        <v>0</v>
      </c>
      <c r="J11" s="704">
        <f>huishoudens!I8</f>
        <v>0</v>
      </c>
      <c r="K11" s="704">
        <f>huishoudens!J8</f>
        <v>569.56304368582278</v>
      </c>
      <c r="L11" s="704">
        <f>huishoudens!K8</f>
        <v>0</v>
      </c>
      <c r="M11" s="704">
        <f>huishoudens!L8</f>
        <v>0</v>
      </c>
      <c r="N11" s="704">
        <f>huishoudens!M8</f>
        <v>0</v>
      </c>
      <c r="O11" s="704">
        <f>huishoudens!N8</f>
        <v>14217.664529638505</v>
      </c>
      <c r="P11" s="704">
        <f>huishoudens!O8</f>
        <v>90.673333333333346</v>
      </c>
      <c r="Q11" s="705">
        <f>huishoudens!P8</f>
        <v>190.66666666666669</v>
      </c>
      <c r="R11" s="707">
        <f>SUM(C11:Q11)</f>
        <v>80868.794046113529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45634.479000000007</v>
      </c>
      <c r="D13" s="704">
        <f>industrie!C18</f>
        <v>0</v>
      </c>
      <c r="E13" s="704">
        <f>industrie!D18</f>
        <v>6715.5676940000012</v>
      </c>
      <c r="F13" s="704">
        <f>industrie!E18</f>
        <v>11920.635435265627</v>
      </c>
      <c r="G13" s="704">
        <f>industrie!F18</f>
        <v>29902.37826851524</v>
      </c>
      <c r="H13" s="704">
        <f>industrie!G18</f>
        <v>0</v>
      </c>
      <c r="I13" s="704">
        <f>industrie!H18</f>
        <v>0</v>
      </c>
      <c r="J13" s="704">
        <f>industrie!I18</f>
        <v>0</v>
      </c>
      <c r="K13" s="704">
        <f>industrie!J18</f>
        <v>4.8583775485911895E-3</v>
      </c>
      <c r="L13" s="704">
        <f>industrie!K18</f>
        <v>0</v>
      </c>
      <c r="M13" s="704">
        <f>industrie!L18</f>
        <v>0</v>
      </c>
      <c r="N13" s="704">
        <f>industrie!M18</f>
        <v>0</v>
      </c>
      <c r="O13" s="704">
        <f>industrie!N18</f>
        <v>17053.380307415897</v>
      </c>
      <c r="P13" s="704">
        <f>industrie!O18</f>
        <v>0</v>
      </c>
      <c r="Q13" s="705">
        <f>industrie!P18</f>
        <v>0</v>
      </c>
      <c r="R13" s="707">
        <f>SUM(C13:Q13)</f>
        <v>111226.44556357432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66023.290231864929</v>
      </c>
      <c r="D15" s="709">
        <f t="shared" ref="D15:Q15" ca="1" si="0">SUM(D9:D14)</f>
        <v>0</v>
      </c>
      <c r="E15" s="709">
        <f t="shared" ca="1" si="0"/>
        <v>28679.564452000002</v>
      </c>
      <c r="F15" s="709">
        <f t="shared" si="0"/>
        <v>13745.052156861395</v>
      </c>
      <c r="G15" s="709">
        <f t="shared" ca="1" si="0"/>
        <v>62569.793510469637</v>
      </c>
      <c r="H15" s="709">
        <f t="shared" si="0"/>
        <v>0</v>
      </c>
      <c r="I15" s="709">
        <f t="shared" si="0"/>
        <v>0</v>
      </c>
      <c r="J15" s="709">
        <f t="shared" si="0"/>
        <v>0</v>
      </c>
      <c r="K15" s="709">
        <f t="shared" si="0"/>
        <v>569.56790206337132</v>
      </c>
      <c r="L15" s="709">
        <f t="shared" si="0"/>
        <v>0</v>
      </c>
      <c r="M15" s="709">
        <f t="shared" ca="1" si="0"/>
        <v>0</v>
      </c>
      <c r="N15" s="709">
        <f t="shared" si="0"/>
        <v>0</v>
      </c>
      <c r="O15" s="709">
        <f t="shared" ca="1" si="0"/>
        <v>32014.650508431376</v>
      </c>
      <c r="P15" s="709">
        <f t="shared" si="0"/>
        <v>90.673333333333346</v>
      </c>
      <c r="Q15" s="710">
        <f t="shared" si="0"/>
        <v>209.73333333333335</v>
      </c>
      <c r="R15" s="711">
        <f ca="1">SUM(R9:R14)</f>
        <v>203902.32542835738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441.67423388186944</v>
      </c>
      <c r="I18" s="704">
        <f>transport!H54</f>
        <v>0</v>
      </c>
      <c r="J18" s="704">
        <f>transport!I54</f>
        <v>0</v>
      </c>
      <c r="K18" s="704">
        <f>transport!J54</f>
        <v>0</v>
      </c>
      <c r="L18" s="704">
        <f>transport!K54</f>
        <v>0</v>
      </c>
      <c r="M18" s="704">
        <f>transport!L54</f>
        <v>0</v>
      </c>
      <c r="N18" s="704">
        <f>transport!M54</f>
        <v>19.642333478969299</v>
      </c>
      <c r="O18" s="704">
        <f>transport!N54</f>
        <v>0</v>
      </c>
      <c r="P18" s="704">
        <f>transport!O54</f>
        <v>0</v>
      </c>
      <c r="Q18" s="705">
        <f>transport!P54</f>
        <v>0</v>
      </c>
      <c r="R18" s="707">
        <f>SUM(C18:Q18)</f>
        <v>461.31656736083875</v>
      </c>
      <c r="S18" s="67"/>
    </row>
    <row r="19" spans="1:19" s="459" customFormat="1" ht="15" thickBot="1">
      <c r="A19" s="858" t="s">
        <v>307</v>
      </c>
      <c r="B19" s="863"/>
      <c r="C19" s="713">
        <f>transport!B14</f>
        <v>2.1669517541325876</v>
      </c>
      <c r="D19" s="713">
        <f>transport!C14</f>
        <v>0</v>
      </c>
      <c r="E19" s="713">
        <f>transport!D14</f>
        <v>3.5896156147358562</v>
      </c>
      <c r="F19" s="713">
        <f>transport!E14</f>
        <v>109.79506863864594</v>
      </c>
      <c r="G19" s="713">
        <f>transport!F14</f>
        <v>0</v>
      </c>
      <c r="H19" s="713">
        <f>transport!G14</f>
        <v>25653.238894383037</v>
      </c>
      <c r="I19" s="713">
        <f>transport!H14</f>
        <v>5368.5853995428106</v>
      </c>
      <c r="J19" s="713">
        <f>transport!I14</f>
        <v>0</v>
      </c>
      <c r="K19" s="713">
        <f>transport!J14</f>
        <v>0</v>
      </c>
      <c r="L19" s="713">
        <f>transport!K14</f>
        <v>0</v>
      </c>
      <c r="M19" s="713">
        <f>transport!L14</f>
        <v>0</v>
      </c>
      <c r="N19" s="713">
        <f>transport!M14</f>
        <v>1402.7814405553863</v>
      </c>
      <c r="O19" s="713">
        <f>transport!N14</f>
        <v>0</v>
      </c>
      <c r="P19" s="713">
        <f>transport!O14</f>
        <v>0</v>
      </c>
      <c r="Q19" s="714">
        <f>transport!P14</f>
        <v>0</v>
      </c>
      <c r="R19" s="715">
        <f>SUM(C19:Q19)</f>
        <v>32540.157370488749</v>
      </c>
      <c r="S19" s="67"/>
    </row>
    <row r="20" spans="1:19" s="459" customFormat="1" ht="15.75" thickBot="1">
      <c r="A20" s="716" t="s">
        <v>230</v>
      </c>
      <c r="B20" s="866"/>
      <c r="C20" s="861">
        <f>SUM(C17:C19)</f>
        <v>2.1669517541325876</v>
      </c>
      <c r="D20" s="717">
        <f t="shared" ref="D20:R20" si="1">SUM(D17:D19)</f>
        <v>0</v>
      </c>
      <c r="E20" s="717">
        <f t="shared" si="1"/>
        <v>3.5896156147358562</v>
      </c>
      <c r="F20" s="717">
        <f t="shared" si="1"/>
        <v>109.79506863864594</v>
      </c>
      <c r="G20" s="717">
        <f t="shared" si="1"/>
        <v>0</v>
      </c>
      <c r="H20" s="717">
        <f t="shared" si="1"/>
        <v>26094.913128264907</v>
      </c>
      <c r="I20" s="717">
        <f t="shared" si="1"/>
        <v>5368.5853995428106</v>
      </c>
      <c r="J20" s="717">
        <f t="shared" si="1"/>
        <v>0</v>
      </c>
      <c r="K20" s="717">
        <f t="shared" si="1"/>
        <v>0</v>
      </c>
      <c r="L20" s="717">
        <f t="shared" si="1"/>
        <v>0</v>
      </c>
      <c r="M20" s="717">
        <f t="shared" si="1"/>
        <v>0</v>
      </c>
      <c r="N20" s="717">
        <f t="shared" si="1"/>
        <v>1422.4237740343556</v>
      </c>
      <c r="O20" s="717">
        <f t="shared" si="1"/>
        <v>0</v>
      </c>
      <c r="P20" s="717">
        <f t="shared" si="1"/>
        <v>0</v>
      </c>
      <c r="Q20" s="718">
        <f t="shared" si="1"/>
        <v>0</v>
      </c>
      <c r="R20" s="719">
        <f t="shared" si="1"/>
        <v>33001.473937849587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1493.5250000000001</v>
      </c>
      <c r="D22" s="713">
        <f>+landbouw!C8</f>
        <v>0</v>
      </c>
      <c r="E22" s="713">
        <f>+landbouw!D8</f>
        <v>54.724340000000005</v>
      </c>
      <c r="F22" s="713">
        <f>+landbouw!E8</f>
        <v>18.820339051399237</v>
      </c>
      <c r="G22" s="713">
        <f>+landbouw!F8</f>
        <v>5153.0354003689017</v>
      </c>
      <c r="H22" s="713">
        <f>+landbouw!G8</f>
        <v>0</v>
      </c>
      <c r="I22" s="713">
        <f>+landbouw!H8</f>
        <v>0</v>
      </c>
      <c r="J22" s="713">
        <f>+landbouw!I8</f>
        <v>0</v>
      </c>
      <c r="K22" s="713">
        <f>+landbouw!J8</f>
        <v>224.60918220700208</v>
      </c>
      <c r="L22" s="713">
        <f>+landbouw!K8</f>
        <v>0</v>
      </c>
      <c r="M22" s="713">
        <f>+landbouw!L8</f>
        <v>0</v>
      </c>
      <c r="N22" s="713">
        <f>+landbouw!M8</f>
        <v>0</v>
      </c>
      <c r="O22" s="713">
        <f>+landbouw!N8</f>
        <v>0</v>
      </c>
      <c r="P22" s="713">
        <f>+landbouw!O8</f>
        <v>0</v>
      </c>
      <c r="Q22" s="714">
        <f>+landbouw!P8</f>
        <v>0</v>
      </c>
      <c r="R22" s="715">
        <f>SUM(C22:Q22)</f>
        <v>6944.7142616273031</v>
      </c>
      <c r="S22" s="67"/>
    </row>
    <row r="23" spans="1:19" s="459" customFormat="1" ht="17.25" thickTop="1" thickBot="1">
      <c r="A23" s="720" t="s">
        <v>116</v>
      </c>
      <c r="B23" s="852"/>
      <c r="C23" s="721">
        <f ca="1">C20+C15+C22</f>
        <v>67518.982183619053</v>
      </c>
      <c r="D23" s="721">
        <f t="shared" ref="D23:Q23" ca="1" si="2">D20+D15+D22</f>
        <v>0</v>
      </c>
      <c r="E23" s="721">
        <f t="shared" ca="1" si="2"/>
        <v>28737.878407614739</v>
      </c>
      <c r="F23" s="721">
        <f t="shared" si="2"/>
        <v>13873.667564551441</v>
      </c>
      <c r="G23" s="721">
        <f t="shared" ca="1" si="2"/>
        <v>67722.828910838536</v>
      </c>
      <c r="H23" s="721">
        <f t="shared" si="2"/>
        <v>26094.913128264907</v>
      </c>
      <c r="I23" s="721">
        <f t="shared" si="2"/>
        <v>5368.5853995428106</v>
      </c>
      <c r="J23" s="721">
        <f t="shared" si="2"/>
        <v>0</v>
      </c>
      <c r="K23" s="721">
        <f t="shared" si="2"/>
        <v>794.17708427037337</v>
      </c>
      <c r="L23" s="721">
        <f t="shared" si="2"/>
        <v>0</v>
      </c>
      <c r="M23" s="721">
        <f t="shared" ca="1" si="2"/>
        <v>0</v>
      </c>
      <c r="N23" s="721">
        <f t="shared" si="2"/>
        <v>1422.4237740343556</v>
      </c>
      <c r="O23" s="721">
        <f t="shared" ca="1" si="2"/>
        <v>32014.650508431376</v>
      </c>
      <c r="P23" s="721">
        <f t="shared" si="2"/>
        <v>90.673333333333346</v>
      </c>
      <c r="Q23" s="722">
        <f t="shared" si="2"/>
        <v>209.73333333333335</v>
      </c>
      <c r="R23" s="723">
        <f ca="1">R20+R15+R22</f>
        <v>243848.51362783427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1289.9835547840967</v>
      </c>
      <c r="D36" s="704">
        <f ca="1">tertiair!C20</f>
        <v>0</v>
      </c>
      <c r="E36" s="704">
        <f ca="1">tertiair!D20</f>
        <v>723.22306601599996</v>
      </c>
      <c r="F36" s="704">
        <f>tertiair!E20</f>
        <v>16.80927139456854</v>
      </c>
      <c r="G36" s="704">
        <f ca="1">tertiair!F20</f>
        <v>309.71028624771935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2339.7261784423845</v>
      </c>
    </row>
    <row r="37" spans="1:18">
      <c r="A37" s="873" t="s">
        <v>225</v>
      </c>
      <c r="B37" s="880"/>
      <c r="C37" s="704">
        <f ca="1">huishoudens!B12</f>
        <v>2931.6632647637216</v>
      </c>
      <c r="D37" s="704">
        <f ca="1">huishoudens!C12</f>
        <v>0</v>
      </c>
      <c r="E37" s="704">
        <f>huishoudens!D12</f>
        <v>3713.5042791000005</v>
      </c>
      <c r="F37" s="704">
        <f>huishoudens!E12</f>
        <v>397.33332440767072</v>
      </c>
      <c r="G37" s="704">
        <f>huishoudens!F12</f>
        <v>8412.489583354105</v>
      </c>
      <c r="H37" s="704">
        <f>huishoudens!G12</f>
        <v>0</v>
      </c>
      <c r="I37" s="704">
        <f>huishoudens!H12</f>
        <v>0</v>
      </c>
      <c r="J37" s="704">
        <f>huishoudens!I12</f>
        <v>0</v>
      </c>
      <c r="K37" s="704">
        <f>huishoudens!J12</f>
        <v>201.62531746478126</v>
      </c>
      <c r="L37" s="704">
        <f>huishoudens!K12</f>
        <v>0</v>
      </c>
      <c r="M37" s="704">
        <f>huishoudens!L12</f>
        <v>0</v>
      </c>
      <c r="N37" s="704">
        <f>huishoudens!M12</f>
        <v>0</v>
      </c>
      <c r="O37" s="704">
        <f>huishoudens!N12</f>
        <v>0</v>
      </c>
      <c r="P37" s="704">
        <f>huishoudens!O12</f>
        <v>0</v>
      </c>
      <c r="Q37" s="814">
        <f>huishoudens!P12</f>
        <v>0</v>
      </c>
      <c r="R37" s="905">
        <f ca="1">SUM(C37:Q37)</f>
        <v>15656.615769090278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9448.9399573714254</v>
      </c>
      <c r="D39" s="704">
        <f ca="1">industrie!C22</f>
        <v>0</v>
      </c>
      <c r="E39" s="704">
        <f>industrie!D22</f>
        <v>1356.5446741880003</v>
      </c>
      <c r="F39" s="704">
        <f>industrie!E22</f>
        <v>2705.9842438052974</v>
      </c>
      <c r="G39" s="704">
        <f>industrie!F22</f>
        <v>7983.9349976935691</v>
      </c>
      <c r="H39" s="704">
        <f>industrie!G22</f>
        <v>0</v>
      </c>
      <c r="I39" s="704">
        <f>industrie!H22</f>
        <v>0</v>
      </c>
      <c r="J39" s="704">
        <f>industrie!I22</f>
        <v>0</v>
      </c>
      <c r="K39" s="704">
        <f>industrie!J22</f>
        <v>1.7198656522012809E-3</v>
      </c>
      <c r="L39" s="704">
        <f>industrie!K22</f>
        <v>0</v>
      </c>
      <c r="M39" s="704">
        <f>industrie!L22</f>
        <v>0</v>
      </c>
      <c r="N39" s="704">
        <f>industrie!M22</f>
        <v>0</v>
      </c>
      <c r="O39" s="704">
        <f>industrie!N22</f>
        <v>0</v>
      </c>
      <c r="P39" s="704">
        <f>industrie!O22</f>
        <v>0</v>
      </c>
      <c r="Q39" s="814">
        <f>industrie!P22</f>
        <v>0</v>
      </c>
      <c r="R39" s="906">
        <f ca="1">SUM(C39:Q39)</f>
        <v>21495.405592923948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13670.586776919245</v>
      </c>
      <c r="D41" s="749">
        <f t="shared" ref="D41:R41" ca="1" si="4">SUM(D35:D40)</f>
        <v>0</v>
      </c>
      <c r="E41" s="749">
        <f t="shared" ca="1" si="4"/>
        <v>5793.2720193040013</v>
      </c>
      <c r="F41" s="749">
        <f t="shared" si="4"/>
        <v>3120.1268396075366</v>
      </c>
      <c r="G41" s="749">
        <f t="shared" ca="1" si="4"/>
        <v>16706.134867295394</v>
      </c>
      <c r="H41" s="749">
        <f t="shared" si="4"/>
        <v>0</v>
      </c>
      <c r="I41" s="749">
        <f t="shared" si="4"/>
        <v>0</v>
      </c>
      <c r="J41" s="749">
        <f t="shared" si="4"/>
        <v>0</v>
      </c>
      <c r="K41" s="749">
        <f t="shared" si="4"/>
        <v>201.62703733043347</v>
      </c>
      <c r="L41" s="749">
        <f t="shared" si="4"/>
        <v>0</v>
      </c>
      <c r="M41" s="749">
        <f t="shared" ca="1" si="4"/>
        <v>0</v>
      </c>
      <c r="N41" s="749">
        <f t="shared" si="4"/>
        <v>0</v>
      </c>
      <c r="O41" s="749">
        <f t="shared" ca="1" si="4"/>
        <v>0</v>
      </c>
      <c r="P41" s="749">
        <f t="shared" si="4"/>
        <v>0</v>
      </c>
      <c r="Q41" s="750">
        <f t="shared" si="4"/>
        <v>0</v>
      </c>
      <c r="R41" s="751">
        <f t="shared" ca="1" si="4"/>
        <v>39491.747540456607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117.92702044645915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117.92702044645915</v>
      </c>
    </row>
    <row r="45" spans="1:18" ht="15" thickBot="1">
      <c r="A45" s="876" t="s">
        <v>307</v>
      </c>
      <c r="B45" s="886"/>
      <c r="C45" s="713">
        <f ca="1">transport!B18</f>
        <v>0.44868260718654213</v>
      </c>
      <c r="D45" s="713">
        <f>transport!C18</f>
        <v>0</v>
      </c>
      <c r="E45" s="713">
        <f>transport!D18</f>
        <v>0.72510235417664304</v>
      </c>
      <c r="F45" s="713">
        <f>transport!E18</f>
        <v>24.92348058097263</v>
      </c>
      <c r="G45" s="713">
        <f>transport!F18</f>
        <v>0</v>
      </c>
      <c r="H45" s="713">
        <f>transport!G18</f>
        <v>6849.4147848002713</v>
      </c>
      <c r="I45" s="713">
        <f>transport!H18</f>
        <v>1336.7777644861599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8212.2898148287677</v>
      </c>
    </row>
    <row r="46" spans="1:18" ht="15.75" thickBot="1">
      <c r="A46" s="874" t="s">
        <v>230</v>
      </c>
      <c r="B46" s="887"/>
      <c r="C46" s="749">
        <f t="shared" ref="C46:R46" ca="1" si="5">SUM(C43:C45)</f>
        <v>0.44868260718654213</v>
      </c>
      <c r="D46" s="749">
        <f t="shared" ca="1" si="5"/>
        <v>0</v>
      </c>
      <c r="E46" s="749">
        <f t="shared" si="5"/>
        <v>0.72510235417664304</v>
      </c>
      <c r="F46" s="749">
        <f t="shared" si="5"/>
        <v>24.92348058097263</v>
      </c>
      <c r="G46" s="749">
        <f t="shared" si="5"/>
        <v>0</v>
      </c>
      <c r="H46" s="749">
        <f t="shared" si="5"/>
        <v>6967.3418052467305</v>
      </c>
      <c r="I46" s="749">
        <f t="shared" si="5"/>
        <v>1336.7777644861599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8330.2168352752269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309.24485956842318</v>
      </c>
      <c r="D48" s="704">
        <f ca="1">+landbouw!C12</f>
        <v>0</v>
      </c>
      <c r="E48" s="704">
        <f>+landbouw!D12</f>
        <v>11.054316680000001</v>
      </c>
      <c r="F48" s="704">
        <f>+landbouw!E12</f>
        <v>4.2722169646676269</v>
      </c>
      <c r="G48" s="704">
        <f>+landbouw!F12</f>
        <v>1375.8604518984969</v>
      </c>
      <c r="H48" s="704">
        <f>+landbouw!G12</f>
        <v>0</v>
      </c>
      <c r="I48" s="704">
        <f>+landbouw!H12</f>
        <v>0</v>
      </c>
      <c r="J48" s="704">
        <f>+landbouw!I12</f>
        <v>0</v>
      </c>
      <c r="K48" s="704">
        <f>+landbouw!J12</f>
        <v>79.511650501278737</v>
      </c>
      <c r="L48" s="704">
        <f>+landbouw!K12</f>
        <v>0</v>
      </c>
      <c r="M48" s="704">
        <f>+landbouw!L12</f>
        <v>0</v>
      </c>
      <c r="N48" s="704">
        <f>+landbouw!M12</f>
        <v>0</v>
      </c>
      <c r="O48" s="704">
        <f>+landbouw!N12</f>
        <v>0</v>
      </c>
      <c r="P48" s="704">
        <f>+landbouw!O12</f>
        <v>0</v>
      </c>
      <c r="Q48" s="705">
        <f>+landbouw!P12</f>
        <v>0</v>
      </c>
      <c r="R48" s="747">
        <f ca="1">SUM(C48:Q48)</f>
        <v>1779.9434956128666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13980.280319094854</v>
      </c>
      <c r="D53" s="759">
        <f t="shared" ref="D53:Q53" ca="1" si="6">D41+D46+D48</f>
        <v>0</v>
      </c>
      <c r="E53" s="759">
        <f t="shared" ca="1" si="6"/>
        <v>5805.0514383381778</v>
      </c>
      <c r="F53" s="759">
        <f t="shared" si="6"/>
        <v>3149.3225371531767</v>
      </c>
      <c r="G53" s="759">
        <f t="shared" ca="1" si="6"/>
        <v>18081.995319193891</v>
      </c>
      <c r="H53" s="759">
        <f t="shared" si="6"/>
        <v>6967.3418052467305</v>
      </c>
      <c r="I53" s="759">
        <f t="shared" si="6"/>
        <v>1336.7777644861599</v>
      </c>
      <c r="J53" s="759">
        <f t="shared" si="6"/>
        <v>0</v>
      </c>
      <c r="K53" s="759">
        <f t="shared" si="6"/>
        <v>281.13868783171222</v>
      </c>
      <c r="L53" s="759">
        <f t="shared" si="6"/>
        <v>0</v>
      </c>
      <c r="M53" s="759">
        <f t="shared" ca="1" si="6"/>
        <v>0</v>
      </c>
      <c r="N53" s="759">
        <f t="shared" si="6"/>
        <v>0</v>
      </c>
      <c r="O53" s="759">
        <f t="shared" ca="1" si="6"/>
        <v>0</v>
      </c>
      <c r="P53" s="759">
        <f>P41+P46+P48</f>
        <v>0</v>
      </c>
      <c r="Q53" s="760">
        <f t="shared" si="6"/>
        <v>0</v>
      </c>
      <c r="R53" s="761">
        <f ca="1">R41+R46+R48</f>
        <v>49601.907871344702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0.20705703591732524</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4259.795219388946</v>
      </c>
      <c r="C66" s="781">
        <f>'lokale energieproductie'!B6</f>
        <v>4259.795219388946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4259.795219388946</v>
      </c>
      <c r="C69" s="789">
        <f>SUM(C64:C68)</f>
        <v>4259.795219388946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14158.723231864918</v>
      </c>
      <c r="C4" s="463">
        <f>huishoudens!C8</f>
        <v>0</v>
      </c>
      <c r="D4" s="463">
        <f>huishoudens!D8</f>
        <v>18383.684550000002</v>
      </c>
      <c r="E4" s="463">
        <f>huishoudens!E8</f>
        <v>1750.3670678752014</v>
      </c>
      <c r="F4" s="463">
        <f>huishoudens!F8</f>
        <v>31507.451623049077</v>
      </c>
      <c r="G4" s="463">
        <f>huishoudens!G8</f>
        <v>0</v>
      </c>
      <c r="H4" s="463">
        <f>huishoudens!H8</f>
        <v>0</v>
      </c>
      <c r="I4" s="463">
        <f>huishoudens!I8</f>
        <v>0</v>
      </c>
      <c r="J4" s="463">
        <f>huishoudens!J8</f>
        <v>569.56304368582278</v>
      </c>
      <c r="K4" s="463">
        <f>huishoudens!K8</f>
        <v>0</v>
      </c>
      <c r="L4" s="463">
        <f>huishoudens!L8</f>
        <v>0</v>
      </c>
      <c r="M4" s="463">
        <f>huishoudens!M8</f>
        <v>0</v>
      </c>
      <c r="N4" s="463">
        <f>huishoudens!N8</f>
        <v>14217.664529638505</v>
      </c>
      <c r="O4" s="463">
        <f>huishoudens!O8</f>
        <v>90.673333333333346</v>
      </c>
      <c r="P4" s="464">
        <f>huishoudens!P8</f>
        <v>190.66666666666669</v>
      </c>
      <c r="Q4" s="465">
        <f>SUM(B4:P4)</f>
        <v>80868.794046113529</v>
      </c>
    </row>
    <row r="5" spans="1:17">
      <c r="A5" s="462" t="s">
        <v>156</v>
      </c>
      <c r="B5" s="463">
        <f ca="1">tertiair!B16</f>
        <v>5673.5329999999994</v>
      </c>
      <c r="C5" s="463">
        <f ca="1">tertiair!C16</f>
        <v>0</v>
      </c>
      <c r="D5" s="463">
        <f ca="1">tertiair!D16</f>
        <v>3580.3122079999998</v>
      </c>
      <c r="E5" s="463">
        <f>tertiair!E16</f>
        <v>74.049653720566255</v>
      </c>
      <c r="F5" s="463">
        <f ca="1">tertiair!F16</f>
        <v>1159.9636189053158</v>
      </c>
      <c r="G5" s="463">
        <f>tertiair!G16</f>
        <v>0</v>
      </c>
      <c r="H5" s="463">
        <f>tertiair!H16</f>
        <v>0</v>
      </c>
      <c r="I5" s="463">
        <f>tertiair!I16</f>
        <v>0</v>
      </c>
      <c r="J5" s="463">
        <f>tertiair!J16</f>
        <v>0</v>
      </c>
      <c r="K5" s="463">
        <f>tertiair!K16</f>
        <v>0</v>
      </c>
      <c r="L5" s="463">
        <f ca="1">tertiair!L16</f>
        <v>0</v>
      </c>
      <c r="M5" s="463">
        <f>tertiair!M16</f>
        <v>0</v>
      </c>
      <c r="N5" s="463">
        <f ca="1">tertiair!N16</f>
        <v>743.60567137697478</v>
      </c>
      <c r="O5" s="463">
        <f>tertiair!O16</f>
        <v>0</v>
      </c>
      <c r="P5" s="464">
        <f>tertiair!P16</f>
        <v>19.066666666666666</v>
      </c>
      <c r="Q5" s="462">
        <f t="shared" ref="Q5:Q13" ca="1" si="0">SUM(B5:P5)</f>
        <v>11250.530818669522</v>
      </c>
    </row>
    <row r="6" spans="1:17">
      <c r="A6" s="462" t="s">
        <v>194</v>
      </c>
      <c r="B6" s="463">
        <f>'openbare verlichting'!B8</f>
        <v>556.55499999999995</v>
      </c>
      <c r="C6" s="463"/>
      <c r="D6" s="463"/>
      <c r="E6" s="463"/>
      <c r="F6" s="463"/>
      <c r="G6" s="463"/>
      <c r="H6" s="463"/>
      <c r="I6" s="463"/>
      <c r="J6" s="463"/>
      <c r="K6" s="463"/>
      <c r="L6" s="463"/>
      <c r="M6" s="463"/>
      <c r="N6" s="463"/>
      <c r="O6" s="463"/>
      <c r="P6" s="464"/>
      <c r="Q6" s="462">
        <f t="shared" si="0"/>
        <v>556.55499999999995</v>
      </c>
    </row>
    <row r="7" spans="1:17">
      <c r="A7" s="462" t="s">
        <v>112</v>
      </c>
      <c r="B7" s="463">
        <f>landbouw!B8</f>
        <v>1493.5250000000001</v>
      </c>
      <c r="C7" s="463">
        <f>landbouw!C8</f>
        <v>0</v>
      </c>
      <c r="D7" s="463">
        <f>landbouw!D8</f>
        <v>54.724340000000005</v>
      </c>
      <c r="E7" s="463">
        <f>landbouw!E8</f>
        <v>18.820339051399237</v>
      </c>
      <c r="F7" s="463">
        <f>landbouw!F8</f>
        <v>5153.0354003689017</v>
      </c>
      <c r="G7" s="463">
        <f>landbouw!G8</f>
        <v>0</v>
      </c>
      <c r="H7" s="463">
        <f>landbouw!H8</f>
        <v>0</v>
      </c>
      <c r="I7" s="463">
        <f>landbouw!I8</f>
        <v>0</v>
      </c>
      <c r="J7" s="463">
        <f>landbouw!J8</f>
        <v>224.60918220700208</v>
      </c>
      <c r="K7" s="463">
        <f>landbouw!K8</f>
        <v>0</v>
      </c>
      <c r="L7" s="463">
        <f>landbouw!L8</f>
        <v>0</v>
      </c>
      <c r="M7" s="463">
        <f>landbouw!M8</f>
        <v>0</v>
      </c>
      <c r="N7" s="463">
        <f>landbouw!N8</f>
        <v>0</v>
      </c>
      <c r="O7" s="463">
        <f>landbouw!O8</f>
        <v>0</v>
      </c>
      <c r="P7" s="464">
        <f>landbouw!P8</f>
        <v>0</v>
      </c>
      <c r="Q7" s="462">
        <f t="shared" si="0"/>
        <v>6944.7142616273031</v>
      </c>
    </row>
    <row r="8" spans="1:17">
      <c r="A8" s="462" t="s">
        <v>657</v>
      </c>
      <c r="B8" s="463">
        <f>industrie!B18</f>
        <v>45634.479000000007</v>
      </c>
      <c r="C8" s="463">
        <f>industrie!C18</f>
        <v>0</v>
      </c>
      <c r="D8" s="463">
        <f>industrie!D18</f>
        <v>6715.5676940000012</v>
      </c>
      <c r="E8" s="463">
        <f>industrie!E18</f>
        <v>11920.635435265627</v>
      </c>
      <c r="F8" s="463">
        <f>industrie!F18</f>
        <v>29902.37826851524</v>
      </c>
      <c r="G8" s="463">
        <f>industrie!G18</f>
        <v>0</v>
      </c>
      <c r="H8" s="463">
        <f>industrie!H18</f>
        <v>0</v>
      </c>
      <c r="I8" s="463">
        <f>industrie!I18</f>
        <v>0</v>
      </c>
      <c r="J8" s="463">
        <f>industrie!J18</f>
        <v>4.8583775485911895E-3</v>
      </c>
      <c r="K8" s="463">
        <f>industrie!K18</f>
        <v>0</v>
      </c>
      <c r="L8" s="463">
        <f>industrie!L18</f>
        <v>0</v>
      </c>
      <c r="M8" s="463">
        <f>industrie!M18</f>
        <v>0</v>
      </c>
      <c r="N8" s="463">
        <f>industrie!N18</f>
        <v>17053.380307415897</v>
      </c>
      <c r="O8" s="463">
        <f>industrie!O18</f>
        <v>0</v>
      </c>
      <c r="P8" s="464">
        <f>industrie!P18</f>
        <v>0</v>
      </c>
      <c r="Q8" s="462">
        <f t="shared" si="0"/>
        <v>111226.44556357432</v>
      </c>
    </row>
    <row r="9" spans="1:17" s="468" customFormat="1">
      <c r="A9" s="466" t="s">
        <v>574</v>
      </c>
      <c r="B9" s="467">
        <f>transport!B14</f>
        <v>2.1669517541325876</v>
      </c>
      <c r="C9" s="467"/>
      <c r="D9" s="467">
        <f>transport!D14</f>
        <v>3.5896156147358562</v>
      </c>
      <c r="E9" s="467">
        <f>transport!E14</f>
        <v>109.79506863864594</v>
      </c>
      <c r="F9" s="467"/>
      <c r="G9" s="467">
        <f>transport!G14</f>
        <v>25653.238894383037</v>
      </c>
      <c r="H9" s="467">
        <f>transport!H14</f>
        <v>5368.5853995428106</v>
      </c>
      <c r="I9" s="467"/>
      <c r="J9" s="467"/>
      <c r="K9" s="467"/>
      <c r="L9" s="467"/>
      <c r="M9" s="467">
        <f>transport!M14</f>
        <v>1402.7814405553863</v>
      </c>
      <c r="N9" s="467"/>
      <c r="O9" s="467"/>
      <c r="P9" s="467"/>
      <c r="Q9" s="466">
        <f>SUM(B9:P9)</f>
        <v>32540.157370488749</v>
      </c>
    </row>
    <row r="10" spans="1:17">
      <c r="A10" s="462" t="s">
        <v>564</v>
      </c>
      <c r="B10" s="463">
        <f>transport!B54</f>
        <v>0</v>
      </c>
      <c r="C10" s="463"/>
      <c r="D10" s="463">
        <f>transport!D54</f>
        <v>0</v>
      </c>
      <c r="E10" s="463"/>
      <c r="F10" s="463"/>
      <c r="G10" s="463">
        <f>transport!G54</f>
        <v>441.67423388186944</v>
      </c>
      <c r="H10" s="463"/>
      <c r="I10" s="463"/>
      <c r="J10" s="463"/>
      <c r="K10" s="463"/>
      <c r="L10" s="463"/>
      <c r="M10" s="463">
        <f>transport!M54</f>
        <v>19.642333478969299</v>
      </c>
      <c r="N10" s="463"/>
      <c r="O10" s="463"/>
      <c r="P10" s="464"/>
      <c r="Q10" s="462">
        <f t="shared" si="0"/>
        <v>461.31656736083875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67518.982183619053</v>
      </c>
      <c r="C14" s="473">
        <f t="shared" ref="C14:Q14" ca="1" si="1">SUM(C4:C13)</f>
        <v>0</v>
      </c>
      <c r="D14" s="473">
        <f t="shared" ca="1" si="1"/>
        <v>28737.878407614739</v>
      </c>
      <c r="E14" s="473">
        <f t="shared" si="1"/>
        <v>13873.667564551441</v>
      </c>
      <c r="F14" s="473">
        <f t="shared" ca="1" si="1"/>
        <v>67722.828910838536</v>
      </c>
      <c r="G14" s="473">
        <f t="shared" si="1"/>
        <v>26094.913128264907</v>
      </c>
      <c r="H14" s="473">
        <f t="shared" si="1"/>
        <v>5368.5853995428106</v>
      </c>
      <c r="I14" s="473">
        <f t="shared" si="1"/>
        <v>0</v>
      </c>
      <c r="J14" s="473">
        <f t="shared" si="1"/>
        <v>794.17708427037337</v>
      </c>
      <c r="K14" s="473">
        <f t="shared" si="1"/>
        <v>0</v>
      </c>
      <c r="L14" s="473">
        <f t="shared" ca="1" si="1"/>
        <v>0</v>
      </c>
      <c r="M14" s="473">
        <f t="shared" si="1"/>
        <v>1422.4237740343556</v>
      </c>
      <c r="N14" s="473">
        <f t="shared" ca="1" si="1"/>
        <v>32014.650508431376</v>
      </c>
      <c r="O14" s="473">
        <f t="shared" si="1"/>
        <v>90.673333333333346</v>
      </c>
      <c r="P14" s="474">
        <f t="shared" si="1"/>
        <v>209.73333333333335</v>
      </c>
      <c r="Q14" s="474">
        <f t="shared" ca="1" si="1"/>
        <v>243848.51362783424</v>
      </c>
    </row>
    <row r="16" spans="1:17">
      <c r="A16" s="476" t="s">
        <v>569</v>
      </c>
      <c r="B16" s="829">
        <f ca="1">huishoudens!B10</f>
        <v>0.20705703591732524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2931.6632647637216</v>
      </c>
      <c r="C21" s="463">
        <f t="shared" ref="C21:C28" ca="1" si="3">C4*$C$16</f>
        <v>0</v>
      </c>
      <c r="D21" s="463">
        <f t="shared" ref="D21:D30" si="4">D4*$D$16</f>
        <v>3713.5042791000005</v>
      </c>
      <c r="E21" s="463">
        <f t="shared" ref="E21:E30" si="5">E4*$E$16</f>
        <v>397.33332440767072</v>
      </c>
      <c r="F21" s="463">
        <f t="shared" ref="F21:F28" si="6">F4*$F$16</f>
        <v>8412.489583354105</v>
      </c>
      <c r="G21" s="463">
        <f t="shared" ref="G21:G30" si="7">G4*$G$16</f>
        <v>0</v>
      </c>
      <c r="H21" s="463">
        <f t="shared" ref="H21:H30" si="8">H4*$H$16</f>
        <v>0</v>
      </c>
      <c r="I21" s="463">
        <f t="shared" ref="I21:I28" si="9">I4*$I$16</f>
        <v>0</v>
      </c>
      <c r="J21" s="463">
        <f t="shared" ref="J21:J28" si="10">J4*$J$16</f>
        <v>201.62531746478126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15656.615769090278</v>
      </c>
    </row>
    <row r="22" spans="1:17">
      <c r="A22" s="462" t="s">
        <v>156</v>
      </c>
      <c r="B22" s="463">
        <f t="shared" ca="1" si="2"/>
        <v>1174.7449261591298</v>
      </c>
      <c r="C22" s="463">
        <f t="shared" ca="1" si="3"/>
        <v>0</v>
      </c>
      <c r="D22" s="463">
        <f t="shared" ca="1" si="4"/>
        <v>723.22306601599996</v>
      </c>
      <c r="E22" s="463">
        <f t="shared" si="5"/>
        <v>16.80927139456854</v>
      </c>
      <c r="F22" s="463">
        <f t="shared" ca="1" si="6"/>
        <v>309.71028624771935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2224.4875498174179</v>
      </c>
    </row>
    <row r="23" spans="1:17">
      <c r="A23" s="462" t="s">
        <v>194</v>
      </c>
      <c r="B23" s="463">
        <f t="shared" ca="1" si="2"/>
        <v>115.23862862496694</v>
      </c>
      <c r="C23" s="463"/>
      <c r="D23" s="463"/>
      <c r="E23" s="463"/>
      <c r="F23" s="463"/>
      <c r="G23" s="463"/>
      <c r="H23" s="463"/>
      <c r="I23" s="463"/>
      <c r="J23" s="463"/>
      <c r="K23" s="463"/>
      <c r="L23" s="463"/>
      <c r="M23" s="463"/>
      <c r="N23" s="463"/>
      <c r="O23" s="463"/>
      <c r="P23" s="464"/>
      <c r="Q23" s="462">
        <f t="shared" ca="1" si="17"/>
        <v>115.23862862496694</v>
      </c>
    </row>
    <row r="24" spans="1:17">
      <c r="A24" s="462" t="s">
        <v>112</v>
      </c>
      <c r="B24" s="463">
        <f t="shared" ca="1" si="2"/>
        <v>309.24485956842318</v>
      </c>
      <c r="C24" s="463">
        <f t="shared" ca="1" si="3"/>
        <v>0</v>
      </c>
      <c r="D24" s="463">
        <f t="shared" si="4"/>
        <v>11.054316680000001</v>
      </c>
      <c r="E24" s="463">
        <f t="shared" si="5"/>
        <v>4.2722169646676269</v>
      </c>
      <c r="F24" s="463">
        <f t="shared" si="6"/>
        <v>1375.8604518984969</v>
      </c>
      <c r="G24" s="463">
        <f t="shared" si="7"/>
        <v>0</v>
      </c>
      <c r="H24" s="463">
        <f t="shared" si="8"/>
        <v>0</v>
      </c>
      <c r="I24" s="463">
        <f t="shared" si="9"/>
        <v>0</v>
      </c>
      <c r="J24" s="463">
        <f t="shared" si="10"/>
        <v>79.511650501278737</v>
      </c>
      <c r="K24" s="463">
        <f t="shared" si="11"/>
        <v>0</v>
      </c>
      <c r="L24" s="463">
        <f t="shared" si="12"/>
        <v>0</v>
      </c>
      <c r="M24" s="463">
        <f t="shared" si="13"/>
        <v>0</v>
      </c>
      <c r="N24" s="463">
        <f t="shared" si="14"/>
        <v>0</v>
      </c>
      <c r="O24" s="463">
        <f t="shared" si="15"/>
        <v>0</v>
      </c>
      <c r="P24" s="464">
        <f t="shared" si="16"/>
        <v>0</v>
      </c>
      <c r="Q24" s="462">
        <f t="shared" ca="1" si="17"/>
        <v>1779.9434956128666</v>
      </c>
    </row>
    <row r="25" spans="1:17">
      <c r="A25" s="462" t="s">
        <v>657</v>
      </c>
      <c r="B25" s="463">
        <f t="shared" ca="1" si="2"/>
        <v>9448.9399573714254</v>
      </c>
      <c r="C25" s="463">
        <f t="shared" ca="1" si="3"/>
        <v>0</v>
      </c>
      <c r="D25" s="463">
        <f t="shared" si="4"/>
        <v>1356.5446741880003</v>
      </c>
      <c r="E25" s="463">
        <f t="shared" si="5"/>
        <v>2705.9842438052974</v>
      </c>
      <c r="F25" s="463">
        <f t="shared" si="6"/>
        <v>7983.9349976935691</v>
      </c>
      <c r="G25" s="463">
        <f t="shared" si="7"/>
        <v>0</v>
      </c>
      <c r="H25" s="463">
        <f t="shared" si="8"/>
        <v>0</v>
      </c>
      <c r="I25" s="463">
        <f t="shared" si="9"/>
        <v>0</v>
      </c>
      <c r="J25" s="463">
        <f t="shared" si="10"/>
        <v>1.7198656522012809E-3</v>
      </c>
      <c r="K25" s="463">
        <f t="shared" si="11"/>
        <v>0</v>
      </c>
      <c r="L25" s="463">
        <f t="shared" si="12"/>
        <v>0</v>
      </c>
      <c r="M25" s="463">
        <f t="shared" si="13"/>
        <v>0</v>
      </c>
      <c r="N25" s="463">
        <f t="shared" si="14"/>
        <v>0</v>
      </c>
      <c r="O25" s="463">
        <f t="shared" si="15"/>
        <v>0</v>
      </c>
      <c r="P25" s="464">
        <f t="shared" si="16"/>
        <v>0</v>
      </c>
      <c r="Q25" s="462">
        <f t="shared" ca="1" si="17"/>
        <v>21495.405592923948</v>
      </c>
    </row>
    <row r="26" spans="1:17" s="468" customFormat="1">
      <c r="A26" s="466" t="s">
        <v>574</v>
      </c>
      <c r="B26" s="823">
        <f t="shared" ca="1" si="2"/>
        <v>0.44868260718654213</v>
      </c>
      <c r="C26" s="467"/>
      <c r="D26" s="467">
        <f t="shared" si="4"/>
        <v>0.72510235417664304</v>
      </c>
      <c r="E26" s="467">
        <f t="shared" si="5"/>
        <v>24.92348058097263</v>
      </c>
      <c r="F26" s="467"/>
      <c r="G26" s="467">
        <f t="shared" si="7"/>
        <v>6849.4147848002713</v>
      </c>
      <c r="H26" s="467">
        <f t="shared" si="8"/>
        <v>1336.7777644861599</v>
      </c>
      <c r="I26" s="467"/>
      <c r="J26" s="467"/>
      <c r="K26" s="467"/>
      <c r="L26" s="467"/>
      <c r="M26" s="467">
        <f t="shared" si="13"/>
        <v>0</v>
      </c>
      <c r="N26" s="467"/>
      <c r="O26" s="467"/>
      <c r="P26" s="478"/>
      <c r="Q26" s="466">
        <f t="shared" ca="1" si="17"/>
        <v>8212.2898148287677</v>
      </c>
    </row>
    <row r="27" spans="1:17">
      <c r="A27" s="462" t="s">
        <v>564</v>
      </c>
      <c r="B27" s="463">
        <f t="shared" ca="1" si="2"/>
        <v>0</v>
      </c>
      <c r="C27" s="463"/>
      <c r="D27" s="467">
        <f t="shared" si="4"/>
        <v>0</v>
      </c>
      <c r="E27" s="463"/>
      <c r="F27" s="463"/>
      <c r="G27" s="463">
        <f t="shared" si="7"/>
        <v>117.92702044645915</v>
      </c>
      <c r="H27" s="463"/>
      <c r="I27" s="463"/>
      <c r="J27" s="463"/>
      <c r="K27" s="463"/>
      <c r="L27" s="463"/>
      <c r="M27" s="463">
        <f t="shared" si="13"/>
        <v>0</v>
      </c>
      <c r="N27" s="463"/>
      <c r="O27" s="463"/>
      <c r="P27" s="464"/>
      <c r="Q27" s="462">
        <f t="shared" ca="1" si="17"/>
        <v>117.92702044645915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13980.280319094853</v>
      </c>
      <c r="C31" s="473">
        <f t="shared" ca="1" si="18"/>
        <v>0</v>
      </c>
      <c r="D31" s="473">
        <f t="shared" ca="1" si="18"/>
        <v>5805.0514383381778</v>
      </c>
      <c r="E31" s="473">
        <f t="shared" si="18"/>
        <v>3149.3225371531767</v>
      </c>
      <c r="F31" s="473">
        <f t="shared" ca="1" si="18"/>
        <v>18081.995319193891</v>
      </c>
      <c r="G31" s="473">
        <f t="shared" si="18"/>
        <v>6967.3418052467305</v>
      </c>
      <c r="H31" s="473">
        <f t="shared" si="18"/>
        <v>1336.7777644861599</v>
      </c>
      <c r="I31" s="473">
        <f t="shared" si="18"/>
        <v>0</v>
      </c>
      <c r="J31" s="473">
        <f t="shared" si="18"/>
        <v>281.13868783171222</v>
      </c>
      <c r="K31" s="473">
        <f t="shared" si="18"/>
        <v>0</v>
      </c>
      <c r="L31" s="473">
        <f t="shared" ca="1" si="18"/>
        <v>0</v>
      </c>
      <c r="M31" s="473">
        <f t="shared" si="18"/>
        <v>0</v>
      </c>
      <c r="N31" s="473">
        <f t="shared" ca="1" si="18"/>
        <v>0</v>
      </c>
      <c r="O31" s="473">
        <f t="shared" si="18"/>
        <v>0</v>
      </c>
      <c r="P31" s="474">
        <f t="shared" si="18"/>
        <v>0</v>
      </c>
      <c r="Q31" s="474">
        <f t="shared" ca="1" si="18"/>
        <v>49601.907871344694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0.20705703591732524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0.20705703591732524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0.20705703591732524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2019-01-02T18:06:05Z</dcterms:modified>
</cp:coreProperties>
</file>