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<sst xmlns="http://schemas.openxmlformats.org/spreadsheetml/2006/main" count="2160" uniqueCount="885">
  <si>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</si>
  <si>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</si>
  <si>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</si>
  <si>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</si>
  <si>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</si>
  <si>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</si>
  <si>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</si>
  <si>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</si>
  <si>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</si>
  <si>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</si>
  <si>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</si>
  <si>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</si>
  <si>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</si>
  <si>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</si>
  <si>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</si>
  <si>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</si>
  <si>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</si>
  <si>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</si>
  <si>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</si>
  <si>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</si>
  <si>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</si>
  <si>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</si>
  <si>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</si>
  <si>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</si>
  <si>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</si>
  <si>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</si>
  <si>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</si>
  <si>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</si>
  <si>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</si>
  <si>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</si>
  <si>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</si>
  <si>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</si>
  <si>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</si>
  <si>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</si>
  <si>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</si>
  <si>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</si>
  <si>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</si>
  <si>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</si>
  <si>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</si>
  <si>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</si>
  <si>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</si>
  <si>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</si>
  <si>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</si>
  <si>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</si>
  <si>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</si>
  <si>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</si>
  <si>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</si>
  <si>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</si>
  <si>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</si>
  <si>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</si>
  <si>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</si>
  <si>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</si>
  <si>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</si>
  <si>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</si>
  <si>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</si>
  <si>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</si>
  <si>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</si>
  <si>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</si>
  <si>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</si>
  <si>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</si>
  <si>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</si>
  <si>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</si>
  <si>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</si>
  <si>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</si>
  <si>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</si>
  <si>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</si>
  <si>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</si>
  <si>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</si>
  <si>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</si>
  <si>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</si>
  <si>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</si>
  <si>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</si>
  <si>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</si>
  <si>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</si>
  <si>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</si>
  <si>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</si>
  <si>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</si>
  <si>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</si>
  <si>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</si>
  <si>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</si>
  <si>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</si>
  <si>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</si>
  <si>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</si>
  <si>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</si>
  <si>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</si>
  <si>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</si>
  <si>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</si>
  <si>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</si>
  <si>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</si>
  <si>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</si>
  <si>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</si>
  <si>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</si>
  <si>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</si>
  <si>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</si>
  <si>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</si>
  <si>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</si>
  <si>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</si>
  <si>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</si>
  <si>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</si>
  <si>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</si>
  <si>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</si>
  <si>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</si>
  <si>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</si>
  <si>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</si>
  <si>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</si>
  <si>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</si>
  <si>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</si>
  <si>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</si>
  <si>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</si>
  <si>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</si>
  <si>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</si>
  <si>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</si>
  <si>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</si>
  <si>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</si>
  <si>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</si>
  <si>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</si>
  <si>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</si>
  <si>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</si>
  <si>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</si>
  <si>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</si>
  <si>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</si>
  <si>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</si>
  <si>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</si>
  <si>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</si>
  <si>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</si>
  <si>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</si>
  <si>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</si>
  <si>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</si>
  <si>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</si>
  <si>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</si>
  <si>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</si>
  <si>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</si>
  <si>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</si>
  <si>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</si>
  <si>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</si>
  <si>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</si>
  <si>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</si>
  <si>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</si>
  <si>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</si>
  <si>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</si>
  <si>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</si>
  <si>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</si>
  <si>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</si>
  <si>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</si>
  <si>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</si>
  <si>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</si>
  <si>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</si>
  <si>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</si>
  <si>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</si>
  <si>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</si>
  <si>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</si>
  <si>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</si>
  <si>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</si>
  <si>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</si>
  <si>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</si>
  <si>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</si>
  <si>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</si>
  <si>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</si>
  <si>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</si>
  <si>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</si>
  <si>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</si>
  <si>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</si>
  <si>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</si>
  <si>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</si>
  <si>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</si>
  <si>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</si>
  <si>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</si>
  <si>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</si>
  <si>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</si>
  <si>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</si>
  <si>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</si>
  <si>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</si>
  <si>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</si>
  <si>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</si>
  <si>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</si>
  <si>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</si>
  <si>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</si>
  <si>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</si>
  <si>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</si>
  <si>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</si>
  <si>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</si>
  <si>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</si>
  <si>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</si>
  <si>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</si>
  <si>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</si>
  <si>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</si>
  <si>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</si>
  <si>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</si>
  <si>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</si>
  <si>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</si>
  <si>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</si>
  <si>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</si>
  <si>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</si>
  <si>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</si>
  <si>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</si>
  <si>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</si>
  <si>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</si>
  <si>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</si>
  <si>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</si>
  <si>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</si>
  <si>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</si>
  <si>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</si>
  <si>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</si>
  <si>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</si>
  <si>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</si>
  <si>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</si>
  <si>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</si>
  <si>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</si>
  <si>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</si>
  <si>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</si>
  <si>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</si>
  <si>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</si>
  <si>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</si>
  <si>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</si>
  <si>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</si>
  <si>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</si>
  <si>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</si>
  <si>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</si>
  <si>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</si>
  <si>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</si>
  <si>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</si>
  <si>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</si>
  <si>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</si>
  <si>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</si>
  <si>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</si>
  <si>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</si>
  <si>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</si>
  <si>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</si>
  <si>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</si>
  <si>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</si>
  <si>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</si>
  <si>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</si>
  <si>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</si>
  <si>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</si>
  <si>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</si>
  <si>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</si>
  <si>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</si>
  <si>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</si>
  <si>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</si>
  <si>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</si>
  <si>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</si>
  <si>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</si>
  <si>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</si>
  <si>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</si>
  <si>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</si>
  <si>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</si>
  <si>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</si>
  <si>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</si>
  <si>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</si>
  <si>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</si>
  <si>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</si>
  <si>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</si>
  <si>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</si>
  <si>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</si>
  <si>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</si>
  <si>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</si>
  <si>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</si>
  <si>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</si>
  <si>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</si>
  <si>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</si>
  <si>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</si>
  <si>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</si>
  <si>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</si>
  <si>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</si>
  <si>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</si>
  <si>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</si>
  <si>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</si>
  <si>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</si>
  <si>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</si>
  <si>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</si>
  <si>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</si>
  <si>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</si>
  <si>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</si>
  <si>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</si>
  <si>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</si>
  <si>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</si>
  <si>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</si>
  <si>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</si>
  <si>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</si>
  <si>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</si>
  <si>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</si>
  <si>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</si>
  <si>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</si>
  <si>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</si>
  <si>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</si>
  <si>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</si>
  <si>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</si>
  <si>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</si>
  <si>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</si>
  <si>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</si>
  <si>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</si>
  <si>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</si>
  <si>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</si>
  <si>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</si>
  <si>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</si>
  <si>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</si>
  <si>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</si>
  <si>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</si>
  <si>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</si>
  <si>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</si>
  <si>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</si>
  <si>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</si>
  <si>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</si>
  <si>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</si>
  <si>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</si>
  <si>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</si>
  <si>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</si>
  <si>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</si>
  <si>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</si>
  <si>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</si>
  <si>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</si>
  <si>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</si>
  <si>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</si>
  <si>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</si>
  <si>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</si>
  <si>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</si>
  <si>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</si>
  <si>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</si>
  <si>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</si>
  <si>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</si>
  <si>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</si>
  <si>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</si>
  <si>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</si>
  <si>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</si>
  <si>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</si>
  <si>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</si>
  <si>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</si>
  <si>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</si>
  <si>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</si>
  <si>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</si>
  <si>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</si>
  <si>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</si>
  <si>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</si>
  <si>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</si>
  <si>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</si>
  <si>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</si>
  <si>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</si>
  <si>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</si>
  <si>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</si>
  <si>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</si>
  <si>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</si>
  <si>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</si>
  <si>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</si>
  <si>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</si>
  <si>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</si>
  <si>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</si>
  <si>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</si>
  <si>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</si>
  <si>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</si>
  <si>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</si>
  <si>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</si>
  <si>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</si>
  <si>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</si>
  <si>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</si>
  <si>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</si>
  <si>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</si>
  <si>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</si>
  <si>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</si>
  <si>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</si>
  <si>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</si>
  <si>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</si>
  <si>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</si>
  <si>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</si>
  <si>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</si>
  <si>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</si>
  <si>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</si>
  <si>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</si>
  <si>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</si>
  <si>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</si>
  <si>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</si>
  <si>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</si>
  <si>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</si>
  <si>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</si>
  <si>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</si>
  <si>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</si>
  <si>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</si>
  <si>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</si>
  <si>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</si>
  <si>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</si>
  <si>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</si>
  <si>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</si>
  <si>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</si>
  <si>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</si>
  <si>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</si>
  <si>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</si>
  <si>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</si>
  <si>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</si>
  <si>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</si>
  <si>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</si>
  <si>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</si>
  <si>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</si>
  <si>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</si>
  <si>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</si>
  <si>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</si>
  <si>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</si>
  <si>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</si>
  <si>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</si>
  <si>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</si>
  <si>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</si>
  <si>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</si>
  <si>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</si>
  <si>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</si>
  <si>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</si>
  <si>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</si>
  <si>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</si>
  <si>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</si>
  <si>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</si>
  <si>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</si>
  <si>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</si>
  <si>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</si>
  <si>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</si>
  <si>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</si>
  <si>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</si>
  <si>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</si>
  <si>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</si>
  <si>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</si>
  <si>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</si>
  <si>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</si>
  <si>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</si>
  <si>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</si>
  <si>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</si>
  <si>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</si>
  <si>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</si>
  <si>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</si>
  <si>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</si>
  <si>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</si>
  <si>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</si>
  <si>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</si>
  <si>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</si>
  <si>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</si>
  <si>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</si>
  <si>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</si>
  <si>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</si>
  <si>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</si>
  <si>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</si>
  <si>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</si>
  <si>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</si>
  <si>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</si>
  <si>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</si>
  <si>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</si>
  <si>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</si>
  <si>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</si>
  <si>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</si>
  <si>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</si>
  <si>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</si>
  <si>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</si>
  <si>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</si>
  <si>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</si>
  <si>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</si>
  <si>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</si>
  <si>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</si>
  <si>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</si>
  <si>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</si>
  <si>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</si>
  <si>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</si>
  <si>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</si>
  <si>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</si>
  <si>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</si>
  <si>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</si>
  <si>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</si>
  <si>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</si>
  <si>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</si>
  <si>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</si>
  <si>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</si>
  <si>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</si>
  <si>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</si>
  <si>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</si>
  <si>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</si>
  <si>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</si>
  <si>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</si>
  <si>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</si>
  <si>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</si>
  <si>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</si>
  <si>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</si>
  <si>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</si>
  <si>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</si>
  <si>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</si>
  <si>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</si>
  <si>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</si>
  <si>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</si>
  <si>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</si>
  <si>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</si>
  <si>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</si>
  <si>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</si>
  <si>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</si>
  <si>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</si>
  <si>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</si>
  <si>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</si>
  <si>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</si>
  <si>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</si>
  <si>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</si>
  <si>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</si>
  <si>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</si>
  <si>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</si>
  <si>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</si>
  <si>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</si>
  <si>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</si>
  <si>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</si>
  <si>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</si>
  <si>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</si>
  <si>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</si>
  <si>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</si>
  <si>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</si>
  <si>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</si>
  <si>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</si>
  <si>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</si>
  <si>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</si>
  <si>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</si>
  <si>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</si>
  <si>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</si>
  <si>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</si>
  <si>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</si>
  <si>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</si>
  <si>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</si>
  <si>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</si>
  <si>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</si>
  <si>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</si>
  <si>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</si>
  <si>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</si>
  <si>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</si>
  <si>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</si>
  <si>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</si>
  <si>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</si>
  <si>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</si>
  <si>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</si>
  <si>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</si>
  <si>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</si>
  <si>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</si>
  <si>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</si>
  <si>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</si>
  <si>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</si>
  <si>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</si>
  <si>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</si>
  <si>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</si>
  <si>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</si>
  <si>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</si>
  <si>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</si>
  <si>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</si>
  <si>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</si>
  <si>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</si>
  <si>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</si>
  <si>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</si>
  <si>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</si>
  <si>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</si>
  <si>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</si>
  <si>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</si>
  <si>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</si>
  <si>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</si>
  <si>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</si>
  <si>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</si>
  <si>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</si>
  <si>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</si>
  <si>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</si>
  <si>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</si>
  <si>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</si>
  <si>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</si>
  <si>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</si>
  <si>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</si>
  <si>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</si>
  <si>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</si>
  <si>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</si>
  <si>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</si>
  <si>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</si>
  <si>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</si>
  <si>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</si>
  <si>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</si>
  <si>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</si>
  <si>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</si>
  <si>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</si>
  <si>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</si>
  <si>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</si>
  <si>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</si>
  <si>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</si>
  <si>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</si>
  <si>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</si>
  <si>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</si>
  <si>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</si>
  <si>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</si>
  <si>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</si>
  <si>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</si>
  <si>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</si>
  <si>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</si>
  <si>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</si>
  <si>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</si>
  <si>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</si>
  <si>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</si>
  <si>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</si>
  <si>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</si>
  <si>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</si>
  <si>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</si>
  <si>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</si>
  <si>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</si>
  <si>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</si>
  <si>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</si>
  <si>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</si>
  <si>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</si>
  <si>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</si>
  <si>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</si>
  <si>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</si>
  <si>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</si>
  <si>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</si>
  <si>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</si>
  <si>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</si>
  <si>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</si>
  <si>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</si>
  <si>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</si>
  <si>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</si>
  <si>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</si>
  <si>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</si>
  <si>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</si>
  <si>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</si>
  <si>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</si>
  <si>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</si>
  <si>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</si>
  <si>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</si>
  <si>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</si>
  <si>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</si>
  <si>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</si>
  <si>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</si>
  <si>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</si>
  <si>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</si>
  <si>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</si>
  <si>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</si>
  <si>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</si>
  <si>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</si>
  <si>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</si>
  <si>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</si>
  <si>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</si>
  <si>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</si>
  <si>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</si>
  <si>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</si>
  <si>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</si>
  <si>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</si>
  <si>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</si>
  <si>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</si>
  <si>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</si>
  <si>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</si>
  <si>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</si>
  <si>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</si>
  <si>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</si>
  <si>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</si>
  <si>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</si>
  <si>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</si>
  <si>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</si>
  <si>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</si>
  <si>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</si>
  <si>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</si>
  <si>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</si>
  <si>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</si>
  <si>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</si>
  <si>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</si>
  <si>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</si>
  <si>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</si>
  <si>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</si>
  <si>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</si>
  <si>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</si>
  <si>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</si>
  <si>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</si>
  <si>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</si>
  <si>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</si>
  <si>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</si>
  <si>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</si>
  <si>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</si>
  <si>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</si>
  <si>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</si>
  <si>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</si>
  <si>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</si>
  <si>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</si>
  <si>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</si>
  <si>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</si>
  <si>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</si>
  <si>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</si>
  <si>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</si>
  <si>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</si>
  <si>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</si>
  <si>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</si>
  <si>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</si>
  <si>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</si>
  <si>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</si>
  <si>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</si>
  <si>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</si>
  <si>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</si>
  <si>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</si>
  <si>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</si>
  <si>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</si>
  <si>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</si>
  <si>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</si>
  <si>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</si>
  <si>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</si>
  <si>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</si>
  <si>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</si>
  <si>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</si>
  <si>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</si>
  <si>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</si>
  <si>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</si>
  <si>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</si>
  <si>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</si>
  <si>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</si>
  <si>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</si>
  <si>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</si>
  <si>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</si>
  <si>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</si>
  <si>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</si>
  <si>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</si>
  <si>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</si>
  <si>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</si>
  <si>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</si>
  <si>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</si>
  <si>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</si>
  <si>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</si>
  <si>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</si>
  <si>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</si>
  <si>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</si>
  <si>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</si>
  <si>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</si>
  <si>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</si>
  <si>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</si>
  <si>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</si>
  <si>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</si>
  <si>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</si>
  <si>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</si>
  <si>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</si>
  <si>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</si>
  <si>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</si>
  <si>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</si>
  <si>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</si>
  <si>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</si>
  <si>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</si>
  <si>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</si>
  <si>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</si>
  <si>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</si>
  <si>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</si>
  <si>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</si>
  <si>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</si>
  <si>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</si>
  <si>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</si>
  <si>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</si>
  <si>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</si>
  <si>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</si>
  <si>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</si>
  <si>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</si>
  <si>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</si>
  <si>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</si>
  <si>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</si>
  <si>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</si>
  <si>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</si>
  <si>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</si>
  <si>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</si>
  <si>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</si>
  <si>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</si>
  <si>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</si>
  <si>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</si>
  <si>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</si>
  <si>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</si>
  <si>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</si>
  <si>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</si>
  <si>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</si>
  <si>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</si>
  <si>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</si>
  <si>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</si>
  <si>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</si>
  <si>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</si>
  <si>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</si>
  <si>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</si>
  <si>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</si>
  <si>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</si>
  <si>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</si>
  <si>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</si>
  <si>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</si>
  <si>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</si>
  <si>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</si>
  <si>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</si>
  <si>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</si>
  <si>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</si>
  <si>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</si>
  <si>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</si>
  <si>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</si>
  <si>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</si>
  <si>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</si>
  <si>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</si>
  <si>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</si>
  <si>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</si>
  <si>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</si>
  <si>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</si>
  <si>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</si>
  <si>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</si>
  <si>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</si>
  <si>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</si>
  <si>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</si>
  <si>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</si>
  <si>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</si>
  <si>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</si>
  <si>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</si>
  <si>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</si>
  <si>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</si>
  <si>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</si>
  <si>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</si>
  <si>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</si>
  <si>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</si>
  <si>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</si>
  <si>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</si>
  <si>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</si>
  <si>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</si>
  <si>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</si>
  <si>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</si>
  <si>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</si>
  <si>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</si>
  <si>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</si>
  <si>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</si>
  <si>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</si>
  <si>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</si>
  <si>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</si>
  <si>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</si>
  <si>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</si>
  <si>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</si>
  <si>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</si>
  <si>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</si>
  <si>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</si>
  <si>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</si>
  <si>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</si>
  <si>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</si>
  <si>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</si>
  <si>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</si>
  <si>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</si>
  <si>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</si>
  <si>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</si>
  <si>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</si>
  <si>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</si>
  <si>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</si>
  <si>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</si>
  <si>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</si>
  <si>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</si>
  <si>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</si>
  <si>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</si>
  <si>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</si>
  <si>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</si>
  <si>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</si>
  <si>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</si>
  <si>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</si>
  <si>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</si>
  <si>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</si>
  <si>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</si>
  <si>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</si>
  <si>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</si>
  <si>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</si>
  <si>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</si>
  <si>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</si>
  <si>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</si>
  <si>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</si>
  <si>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</si>
  <si>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</si>
  <si>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</si>
  <si>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</si>
  <si>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</si>
  <si>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</si>
  <si>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</si>
  <si>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</si>
  <si>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</si>
  <si>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</si>
  <si>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</si>
  <si>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</si>
  <si>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</si>
  <si>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</si>
  <si>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</si>
  <si>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</si>
  <si>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</si>
  <si>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</si>
  <si>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</si>
  <si>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</si>
  <si>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</si>
  <si>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</si>
  <si>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71069</t>
  </si>
  <si>
    <t>HAM</t>
  </si>
  <si>
    <t>Cultuurgrond (ha)</t>
  </si>
  <si>
    <t>Paarden&amp;pony's 200 - 600 kg</t>
  </si>
  <si>
    <t>Paarden&amp;pony's &lt; 200 kg</t>
  </si>
  <si>
    <t>op basis van VEA (maart 2018) en Inventaris Hernieuwbare Energiebronnen (juni 2018)</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</si>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</sst>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100191.40739192284</c:v>
                </c:pt>
                <c:pt idx="1">
                  <c:v>17692.526816999747</c:v>
                </c:pt>
                <c:pt idx="2">
                  <c:v>547.23</c:v>
                </c:pt>
                <c:pt idx="3">
                  <c:v>1374.7779425013896</c:v>
                </c:pt>
                <c:pt idx="4">
                  <c:v>54039.97960751404</c:v>
                </c:pt>
                <c:pt idx="5">
                  <c:v>135752.21936376806</c:v>
                </c:pt>
                <c:pt idx="6">
                  <c:v>1331.9378133902637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100191.40739192284</c:v>
                </c:pt>
                <c:pt idx="1">
                  <c:v>17692.526816999747</c:v>
                </c:pt>
                <c:pt idx="2">
                  <c:v>547.23</c:v>
                </c:pt>
                <c:pt idx="3">
                  <c:v>1374.7779425013896</c:v>
                </c:pt>
                <c:pt idx="4">
                  <c:v>54039.97960751404</c:v>
                </c:pt>
                <c:pt idx="5">
                  <c:v>135752.21936376806</c:v>
                </c:pt>
                <c:pt idx="6">
                  <c:v>1331.9378133902637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17789.962120035783</c:v>
                </c:pt>
                <c:pt idx="1">
                  <c:v>2415.1996753951244</c:v>
                </c:pt>
                <c:pt idx="2">
                  <c:v>48.011888197931434</c:v>
                </c:pt>
                <c:pt idx="3">
                  <c:v>317.39270385615526</c:v>
                </c:pt>
                <c:pt idx="4">
                  <c:v>5366.0823970015372</c:v>
                </c:pt>
                <c:pt idx="5">
                  <c:v>34332.323687055796</c:v>
                </c:pt>
                <c:pt idx="6">
                  <c:v>340.48518710628809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90560"/>
        <c:axId val="181194752"/>
      </c:barChart>
      <c:catAx>
        <c:axId val="181090560"/>
        <c:scaling>
          <c:orientation val="minMax"/>
        </c:scaling>
        <c:axPos val="b"/>
        <c:numFmt formatCode="General" sourceLinked="0"/>
        <c:tickLblPos val="nextTo"/>
        <c:crossAx val="181194752"/>
        <c:crosses val="autoZero"/>
        <c:auto val="1"/>
        <c:lblAlgn val="ctr"/>
        <c:lblOffset val="100"/>
      </c:catAx>
      <c:valAx>
        <c:axId val="181194752"/>
        <c:scaling>
          <c:orientation val="minMax"/>
        </c:scaling>
        <c:axPos val="l"/>
        <c:majorGridlines/>
        <c:numFmt formatCode="#,##0" sourceLinked="1"/>
        <c:tickLblPos val="nextTo"/>
        <c:crossAx val="1810905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17789.962120035783</c:v>
                </c:pt>
                <c:pt idx="1">
                  <c:v>2415.1996753951244</c:v>
                </c:pt>
                <c:pt idx="2">
                  <c:v>48.011888197931434</c:v>
                </c:pt>
                <c:pt idx="3">
                  <c:v>317.39270385615526</c:v>
                </c:pt>
                <c:pt idx="4">
                  <c:v>5366.0823970015372</c:v>
                </c:pt>
                <c:pt idx="5">
                  <c:v>34332.323687055796</c:v>
                </c:pt>
                <c:pt idx="6">
                  <c:v>340.48518710628809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71069</v>
      </c>
      <c r="B6" s="398"/>
      <c r="C6" s="399"/>
    </row>
    <row r="7" spans="1:7" s="396" customFormat="1" ht="15.75" customHeight="1">
      <c r="A7" s="400" t="str">
        <f>txtMunicipality</f>
        <v>HAM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4225</v>
      </c>
      <c r="C9" s="338">
        <v>4520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921</v>
      </c>
    </row>
    <row r="15" spans="1:6">
      <c r="A15" s="1269" t="s">
        <v>184</v>
      </c>
      <c r="B15" s="335">
        <v>4</v>
      </c>
    </row>
    <row r="16" spans="1:6">
      <c r="A16" s="1269" t="s">
        <v>6</v>
      </c>
      <c r="B16" s="335">
        <v>340</v>
      </c>
    </row>
    <row r="17" spans="1:6">
      <c r="A17" s="1269" t="s">
        <v>7</v>
      </c>
      <c r="B17" s="335">
        <v>64</v>
      </c>
    </row>
    <row r="18" spans="1:6">
      <c r="A18" s="1269" t="s">
        <v>8</v>
      </c>
      <c r="B18" s="335">
        <v>164</v>
      </c>
    </row>
    <row r="19" spans="1:6">
      <c r="A19" s="1269" t="s">
        <v>9</v>
      </c>
      <c r="B19" s="335">
        <v>182</v>
      </c>
    </row>
    <row r="20" spans="1:6">
      <c r="A20" s="1269" t="s">
        <v>10</v>
      </c>
      <c r="B20" s="335">
        <v>84</v>
      </c>
    </row>
    <row r="21" spans="1:6">
      <c r="A21" s="1269" t="s">
        <v>11</v>
      </c>
      <c r="B21" s="335">
        <v>0</v>
      </c>
    </row>
    <row r="22" spans="1:6">
      <c r="A22" s="1269" t="s">
        <v>12</v>
      </c>
      <c r="B22" s="335">
        <v>158</v>
      </c>
    </row>
    <row r="23" spans="1:6">
      <c r="A23" s="1269" t="s">
        <v>13</v>
      </c>
      <c r="B23" s="335">
        <v>0</v>
      </c>
    </row>
    <row r="24" spans="1:6">
      <c r="A24" s="1269" t="s">
        <v>14</v>
      </c>
      <c r="B24" s="335">
        <v>0</v>
      </c>
    </row>
    <row r="25" spans="1:6">
      <c r="A25" s="1269" t="s">
        <v>15</v>
      </c>
      <c r="B25" s="335">
        <v>0</v>
      </c>
    </row>
    <row r="26" spans="1:6">
      <c r="A26" s="1269" t="s">
        <v>16</v>
      </c>
      <c r="B26" s="335">
        <v>100</v>
      </c>
    </row>
    <row r="27" spans="1:6">
      <c r="A27" s="1269" t="s">
        <v>17</v>
      </c>
      <c r="B27" s="335">
        <v>6</v>
      </c>
    </row>
    <row r="28" spans="1:6" s="341" customFormat="1">
      <c r="A28" s="1270" t="s">
        <v>18</v>
      </c>
      <c r="B28" s="1270">
        <v>30831</v>
      </c>
    </row>
    <row r="29" spans="1:6">
      <c r="A29" s="1270" t="s">
        <v>874</v>
      </c>
      <c r="B29" s="1270">
        <v>101</v>
      </c>
      <c r="C29" s="341"/>
      <c r="D29" s="341"/>
      <c r="E29" s="341"/>
      <c r="F29" s="341"/>
    </row>
    <row r="30" spans="1:6">
      <c r="A30" s="1265" t="s">
        <v>875</v>
      </c>
      <c r="B30" s="1265">
        <v>23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466323</v>
      </c>
    </row>
    <row r="36" spans="1:6">
      <c r="A36" s="1269" t="s">
        <v>25</v>
      </c>
      <c r="B36" s="1269" t="s">
        <v>27</v>
      </c>
      <c r="C36" s="335">
        <v>0</v>
      </c>
      <c r="D36" s="335">
        <v>0</v>
      </c>
      <c r="E36" s="335">
        <v>4</v>
      </c>
      <c r="F36" s="335">
        <v>572211</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1944</v>
      </c>
      <c r="D39" s="335">
        <v>31828728</v>
      </c>
      <c r="E39" s="335">
        <v>4327</v>
      </c>
      <c r="F39" s="335">
        <v>15688338</v>
      </c>
    </row>
    <row r="40" spans="1:6">
      <c r="A40" s="1269" t="s">
        <v>30</v>
      </c>
      <c r="B40" s="1269" t="s">
        <v>29</v>
      </c>
      <c r="C40" s="335">
        <v>0</v>
      </c>
      <c r="D40" s="335">
        <v>0</v>
      </c>
      <c r="E40" s="335">
        <v>0</v>
      </c>
      <c r="F40" s="335">
        <v>0</v>
      </c>
    </row>
    <row r="41" spans="1:6">
      <c r="A41" s="1269" t="s">
        <v>32</v>
      </c>
      <c r="B41" s="1269" t="s">
        <v>33</v>
      </c>
      <c r="C41" s="335">
        <v>22</v>
      </c>
      <c r="D41" s="335">
        <v>554829</v>
      </c>
      <c r="E41" s="335">
        <v>59</v>
      </c>
      <c r="F41" s="335">
        <v>677069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101929</v>
      </c>
      <c r="E44" s="335">
        <v>6</v>
      </c>
      <c r="F44" s="335">
        <v>173213</v>
      </c>
    </row>
    <row r="45" spans="1:6">
      <c r="A45" s="1269" t="s">
        <v>32</v>
      </c>
      <c r="B45" s="1269" t="s">
        <v>37</v>
      </c>
      <c r="C45" s="335">
        <v>0</v>
      </c>
      <c r="D45" s="335">
        <v>0</v>
      </c>
      <c r="E45" s="335">
        <v>4</v>
      </c>
      <c r="F45" s="335">
        <v>4886663</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5671</v>
      </c>
      <c r="E48" s="335">
        <v>4</v>
      </c>
      <c r="F48" s="335">
        <v>44062</v>
      </c>
    </row>
    <row r="49" spans="1:6">
      <c r="A49" s="1269" t="s">
        <v>32</v>
      </c>
      <c r="B49" s="1269" t="s">
        <v>40</v>
      </c>
      <c r="C49" s="335">
        <v>0</v>
      </c>
      <c r="D49" s="335">
        <v>0</v>
      </c>
      <c r="E49" s="335">
        <v>0</v>
      </c>
      <c r="F49" s="335">
        <v>0</v>
      </c>
    </row>
    <row r="50" spans="1:6">
      <c r="A50" s="1269" t="s">
        <v>32</v>
      </c>
      <c r="B50" s="1269" t="s">
        <v>41</v>
      </c>
      <c r="C50" s="335">
        <v>4</v>
      </c>
      <c r="D50" s="335">
        <v>475403</v>
      </c>
      <c r="E50" s="335">
        <v>4</v>
      </c>
      <c r="F50" s="335">
        <v>170314</v>
      </c>
    </row>
    <row r="51" spans="1:6">
      <c r="A51" s="1269" t="s">
        <v>42</v>
      </c>
      <c r="B51" s="1269" t="s">
        <v>43</v>
      </c>
      <c r="C51" s="335">
        <v>0</v>
      </c>
      <c r="D51" s="335">
        <v>0</v>
      </c>
      <c r="E51" s="335">
        <v>15</v>
      </c>
      <c r="F51" s="335">
        <v>298007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45</v>
      </c>
      <c r="F54" s="335">
        <v>547230</v>
      </c>
    </row>
    <row r="55" spans="1:6">
      <c r="A55" s="1269" t="s">
        <v>46</v>
      </c>
      <c r="B55" s="1269" t="s">
        <v>29</v>
      </c>
      <c r="C55" s="335">
        <v>0</v>
      </c>
      <c r="D55" s="335">
        <v>0</v>
      </c>
      <c r="E55" s="335">
        <v>0</v>
      </c>
      <c r="F55" s="335">
        <v>0</v>
      </c>
    </row>
    <row r="56" spans="1:6">
      <c r="A56" s="1269" t="s">
        <v>48</v>
      </c>
      <c r="B56" s="1269" t="s">
        <v>29</v>
      </c>
      <c r="C56" s="335">
        <v>57</v>
      </c>
      <c r="D56" s="335">
        <v>3213971</v>
      </c>
      <c r="E56" s="335">
        <v>66</v>
      </c>
      <c r="F56" s="335">
        <v>283073</v>
      </c>
    </row>
    <row r="57" spans="1:6">
      <c r="A57" s="1269" t="s">
        <v>49</v>
      </c>
      <c r="B57" s="1269" t="s">
        <v>50</v>
      </c>
      <c r="C57" s="335">
        <v>6</v>
      </c>
      <c r="D57" s="335">
        <v>213286</v>
      </c>
      <c r="E57" s="335">
        <v>53</v>
      </c>
      <c r="F57" s="335">
        <v>621110</v>
      </c>
    </row>
    <row r="58" spans="1:6">
      <c r="A58" s="1269" t="s">
        <v>49</v>
      </c>
      <c r="B58" s="1269" t="s">
        <v>51</v>
      </c>
      <c r="C58" s="335">
        <v>8</v>
      </c>
      <c r="D58" s="335">
        <v>989902</v>
      </c>
      <c r="E58" s="335">
        <v>13</v>
      </c>
      <c r="F58" s="335">
        <v>297215</v>
      </c>
    </row>
    <row r="59" spans="1:6">
      <c r="A59" s="1269" t="s">
        <v>49</v>
      </c>
      <c r="B59" s="1269" t="s">
        <v>52</v>
      </c>
      <c r="C59" s="335">
        <v>35</v>
      </c>
      <c r="D59" s="335">
        <v>1858640</v>
      </c>
      <c r="E59" s="335">
        <v>111</v>
      </c>
      <c r="F59" s="335">
        <v>5622005</v>
      </c>
    </row>
    <row r="60" spans="1:6">
      <c r="A60" s="1269" t="s">
        <v>49</v>
      </c>
      <c r="B60" s="1269" t="s">
        <v>53</v>
      </c>
      <c r="C60" s="335">
        <v>10</v>
      </c>
      <c r="D60" s="335">
        <v>735565</v>
      </c>
      <c r="E60" s="335">
        <v>32</v>
      </c>
      <c r="F60" s="335">
        <v>777414</v>
      </c>
    </row>
    <row r="61" spans="1:6">
      <c r="A61" s="1269" t="s">
        <v>49</v>
      </c>
      <c r="B61" s="1269" t="s">
        <v>54</v>
      </c>
      <c r="C61" s="335">
        <v>28</v>
      </c>
      <c r="D61" s="335">
        <v>910335</v>
      </c>
      <c r="E61" s="335">
        <v>133</v>
      </c>
      <c r="F61" s="335">
        <v>3049814</v>
      </c>
    </row>
    <row r="62" spans="1:6">
      <c r="A62" s="1269" t="s">
        <v>49</v>
      </c>
      <c r="B62" s="1269" t="s">
        <v>55</v>
      </c>
      <c r="C62" s="335">
        <v>6</v>
      </c>
      <c r="D62" s="335">
        <v>496806</v>
      </c>
      <c r="E62" s="335">
        <v>7</v>
      </c>
      <c r="F62" s="335">
        <v>101439</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2</v>
      </c>
      <c r="D65" s="335">
        <v>232020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645924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51363290</v>
      </c>
      <c r="E73" s="335">
        <v>53614354.229506321</v>
      </c>
    </row>
    <row r="74" spans="1:6">
      <c r="A74" s="1269" t="s">
        <v>64</v>
      </c>
      <c r="B74" s="1269" t="s">
        <v>727</v>
      </c>
      <c r="C74" s="1269" t="s">
        <v>728</v>
      </c>
      <c r="D74" s="335">
        <v>2073814.9564509718</v>
      </c>
      <c r="E74" s="335">
        <v>2243952.9099455709</v>
      </c>
    </row>
    <row r="75" spans="1:6">
      <c r="A75" s="1269" t="s">
        <v>65</v>
      </c>
      <c r="B75" s="1269" t="s">
        <v>725</v>
      </c>
      <c r="C75" s="1269" t="s">
        <v>729</v>
      </c>
      <c r="D75" s="335">
        <v>23901102</v>
      </c>
      <c r="E75" s="335">
        <v>24948604.050418418</v>
      </c>
    </row>
    <row r="76" spans="1:6">
      <c r="A76" s="1269" t="s">
        <v>65</v>
      </c>
      <c r="B76" s="1269" t="s">
        <v>727</v>
      </c>
      <c r="C76" s="1269" t="s">
        <v>730</v>
      </c>
      <c r="D76" s="335">
        <v>710003.95645097166</v>
      </c>
      <c r="E76" s="335">
        <v>781343.84722985118</v>
      </c>
    </row>
    <row r="77" spans="1:6">
      <c r="A77" s="1269" t="s">
        <v>66</v>
      </c>
      <c r="B77" s="1269" t="s">
        <v>725</v>
      </c>
      <c r="C77" s="1269" t="s">
        <v>731</v>
      </c>
      <c r="D77" s="335">
        <v>60042020</v>
      </c>
      <c r="E77" s="335">
        <v>71627626.803541675</v>
      </c>
    </row>
    <row r="78" spans="1:6">
      <c r="A78" s="1265" t="s">
        <v>66</v>
      </c>
      <c r="B78" s="1265" t="s">
        <v>727</v>
      </c>
      <c r="C78" s="1265" t="s">
        <v>732</v>
      </c>
      <c r="D78" s="1265">
        <v>13453197</v>
      </c>
      <c r="E78" s="1265">
        <v>15134425.162467716</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351882.08709805663</v>
      </c>
      <c r="C83" s="335">
        <v>337854.73681775545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3007.8141255030168</v>
      </c>
    </row>
    <row r="92" spans="1:6">
      <c r="A92" s="1265" t="s">
        <v>69</v>
      </c>
      <c r="B92" s="338">
        <v>1138.4056105575548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469</v>
      </c>
    </row>
    <row r="98" spans="1:6">
      <c r="A98" s="1269" t="s">
        <v>72</v>
      </c>
      <c r="B98" s="335">
        <v>0</v>
      </c>
    </row>
    <row r="99" spans="1:6">
      <c r="A99" s="1269" t="s">
        <v>73</v>
      </c>
      <c r="B99" s="335">
        <v>28</v>
      </c>
    </row>
    <row r="100" spans="1:6">
      <c r="A100" s="1269" t="s">
        <v>74</v>
      </c>
      <c r="B100" s="335">
        <v>116</v>
      </c>
    </row>
    <row r="101" spans="1:6">
      <c r="A101" s="1269" t="s">
        <v>75</v>
      </c>
      <c r="B101" s="335">
        <v>37</v>
      </c>
    </row>
    <row r="102" spans="1:6">
      <c r="A102" s="1269" t="s">
        <v>76</v>
      </c>
      <c r="B102" s="335">
        <v>30</v>
      </c>
    </row>
    <row r="103" spans="1:6">
      <c r="A103" s="1269" t="s">
        <v>77</v>
      </c>
      <c r="B103" s="335">
        <v>115</v>
      </c>
    </row>
    <row r="104" spans="1:6">
      <c r="A104" s="1269" t="s">
        <v>78</v>
      </c>
      <c r="B104" s="335">
        <v>2773</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109</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80159.095389516428</v>
      </c>
      <c r="C3" s="43" t="s">
        <v>170</v>
      </c>
      <c r="D3" s="43"/>
      <c r="E3" s="156"/>
      <c r="F3" s="43"/>
      <c r="G3" s="43"/>
      <c r="H3" s="43"/>
      <c r="I3" s="43"/>
      <c r="J3" s="43"/>
      <c r="K3" s="96"/>
    </row>
    <row r="4" spans="1:11">
      <c r="A4" s="366" t="s">
        <v>171</v>
      </c>
      <c r="B4" s="49">
        <f>IF(ISERROR('SEAP template'!B69),0,'SEAP template'!B69)</f>
        <v>48336.219736060571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8.7736213654096867E-2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547.23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547.23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8.7736213654096867E-2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48.011888197931434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15688.338</v>
      </c>
      <c r="C5" s="17">
        <f>IF(ISERROR('Eigen informatie GS &amp; warmtenet'!B57),0,'Eigen informatie GS &amp; warmtenet'!B57)</f>
        <v>0</v>
      </c>
      <c r="D5" s="30">
        <f>(SUM(HH_hh_gas_kWh,HH_rest_gas_kWh)/1000)*0.902</f>
        <v>28709.512655999999</v>
      </c>
      <c r="E5" s="17">
        <f>B46*B57</f>
        <v>2602.986017144061</v>
      </c>
      <c r="F5" s="17">
        <f>B51*B62</f>
        <v>36552.184045840644</v>
      </c>
      <c r="G5" s="18"/>
      <c r="H5" s="17"/>
      <c r="I5" s="17"/>
      <c r="J5" s="17">
        <f>B50*B61+C50*C61</f>
        <v>0</v>
      </c>
      <c r="K5" s="17"/>
      <c r="L5" s="17"/>
      <c r="M5" s="17"/>
      <c r="N5" s="17">
        <f>B48*B59+C48*C59</f>
        <v>12895.035880768457</v>
      </c>
      <c r="O5" s="17">
        <f>B69*B70*B71</f>
        <v>201.67000000000004</v>
      </c>
      <c r="P5" s="17">
        <f>B77*B78*B79/1000-B77*B78*B79/1000/B80</f>
        <v>533.86666666666667</v>
      </c>
    </row>
    <row r="6" spans="1:16">
      <c r="A6" s="16" t="s">
        <v>634</v>
      </c>
      <c r="B6" s="831">
        <f>kWh_PV_kleiner_dan_10kW</f>
        <v>3007.8141255030168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18696.152125503017</v>
      </c>
      <c r="C8" s="21">
        <f>C5</f>
        <v>0</v>
      </c>
      <c r="D8" s="21">
        <f>D5</f>
        <v>28709.512655999999</v>
      </c>
      <c r="E8" s="21">
        <f>E5</f>
        <v>2602.986017144061</v>
      </c>
      <c r="F8" s="21">
        <f>F5</f>
        <v>36552.184045840644</v>
      </c>
      <c r="G8" s="21"/>
      <c r="H8" s="21"/>
      <c r="I8" s="21"/>
      <c r="J8" s="21">
        <f>J5</f>
        <v>0</v>
      </c>
      <c r="K8" s="21"/>
      <c r="L8" s="21">
        <f>L5</f>
        <v>0</v>
      </c>
      <c r="M8" s="21">
        <f>M5</f>
        <v>0</v>
      </c>
      <c r="N8" s="21">
        <f>N5</f>
        <v>12895.035880768457</v>
      </c>
      <c r="O8" s="21">
        <f>O5</f>
        <v>201.67000000000004</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8.7736213654096867E-2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1640.3295973926299</v>
      </c>
      <c r="C12" s="23">
        <f ca="1">C10*C8</f>
        <v>0</v>
      </c>
      <c r="D12" s="23">
        <f>D8*D10</f>
        <v>5799.3215565119999</v>
      </c>
      <c r="E12" s="23">
        <f>E10*E8</f>
        <v>590.87782589170183</v>
      </c>
      <c r="F12" s="23">
        <f>F10*F8</f>
        <v>9759.4331402394528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469</v>
      </c>
      <c r="C18" s="168" t="s">
        <v>111</v>
      </c>
      <c r="D18" s="230"/>
      <c r="E18" s="15"/>
    </row>
    <row r="19" spans="1:7">
      <c r="A19" s="173" t="s">
        <v>72</v>
      </c>
      <c r="B19" s="37">
        <f>aantalw2001_ander</f>
        <v>0</v>
      </c>
      <c r="C19" s="168" t="s">
        <v>111</v>
      </c>
      <c r="D19" s="231"/>
      <c r="E19" s="15"/>
    </row>
    <row r="20" spans="1:7">
      <c r="A20" s="173" t="s">
        <v>73</v>
      </c>
      <c r="B20" s="37">
        <f>aantalw2001_propaan</f>
        <v>28</v>
      </c>
      <c r="C20" s="169">
        <f>IF(ISERROR(B20/SUM($B$20,$B$21,$B$22)*100),0,B20/SUM($B$20,$B$21,$B$22)*100)</f>
        <v>15.469613259668508</v>
      </c>
      <c r="D20" s="231"/>
      <c r="E20" s="15"/>
    </row>
    <row r="21" spans="1:7">
      <c r="A21" s="173" t="s">
        <v>74</v>
      </c>
      <c r="B21" s="37">
        <f>aantalw2001_elektriciteit</f>
        <v>116</v>
      </c>
      <c r="C21" s="169">
        <f>IF(ISERROR(B21/SUM($B$20,$B$21,$B$22)*100),0,B21/SUM($B$20,$B$21,$B$22)*100)</f>
        <v>64.088397790055254</v>
      </c>
      <c r="D21" s="231"/>
      <c r="E21" s="15"/>
    </row>
    <row r="22" spans="1:7">
      <c r="A22" s="173" t="s">
        <v>75</v>
      </c>
      <c r="B22" s="37">
        <f>aantalw2001_hout</f>
        <v>37</v>
      </c>
      <c r="C22" s="169">
        <f>IF(ISERROR(B22/SUM($B$20,$B$21,$B$22)*100),0,B22/SUM($B$20,$B$21,$B$22)*100)</f>
        <v>20.441988950276244</v>
      </c>
      <c r="D22" s="231"/>
      <c r="E22" s="15"/>
    </row>
    <row r="23" spans="1:7">
      <c r="A23" s="173" t="s">
        <v>76</v>
      </c>
      <c r="B23" s="37">
        <f>aantalw2001_niet_gespec</f>
        <v>30</v>
      </c>
      <c r="C23" s="168" t="s">
        <v>111</v>
      </c>
      <c r="D23" s="230"/>
      <c r="E23" s="15"/>
    </row>
    <row r="24" spans="1:7">
      <c r="A24" s="173" t="s">
        <v>77</v>
      </c>
      <c r="B24" s="37">
        <f>aantalw2001_steenkool</f>
        <v>115</v>
      </c>
      <c r="C24" s="168" t="s">
        <v>111</v>
      </c>
      <c r="D24" s="231"/>
      <c r="E24" s="15"/>
    </row>
    <row r="25" spans="1:7">
      <c r="A25" s="173" t="s">
        <v>78</v>
      </c>
      <c r="B25" s="37">
        <f>aantalw2001_stookolie</f>
        <v>2773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4225</v>
      </c>
      <c r="C28" s="36"/>
      <c r="D28" s="230"/>
    </row>
    <row r="29" spans="1:7" s="15" customFormat="1">
      <c r="A29" s="232" t="s">
        <v>746</v>
      </c>
      <c r="B29" s="37">
        <f>SUM(HH_hh_gas_aantal,HH_rest_gas_aantal)</f>
        <v>1944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1944</v>
      </c>
      <c r="C32" s="169">
        <f>IF(ISERROR(B32/SUM($B$32,$B$34,$B$35,$B$36,$B$38,$B$39)*100),0,B32/SUM($B$32,$B$34,$B$35,$B$36,$B$38,$B$39)*100)</f>
        <v>46.318799142244458</v>
      </c>
      <c r="D32" s="235"/>
      <c r="G32" s="15"/>
    </row>
    <row r="33" spans="1:7">
      <c r="A33" s="173" t="s">
        <v>72</v>
      </c>
      <c r="B33" s="34" t="s">
        <v>111</v>
      </c>
      <c r="C33" s="169"/>
      <c r="D33" s="235"/>
      <c r="G33" s="15"/>
    </row>
    <row r="34" spans="1:7">
      <c r="A34" s="173" t="s">
        <v>73</v>
      </c>
      <c r="B34" s="33">
        <f>IF((($B$28-$B$32-$B$39-$B$77-$B$38)*C20/100)&lt;0,0,($B$28-$B$32-$B$39-$B$77-$B$38)*C20/100)</f>
        <v>124.9171270718232</v>
      </c>
      <c r="C34" s="169">
        <f>IF(ISERROR(B34/SUM($B$32,$B$34,$B$35,$B$36,$B$38,$B$39)*100),0,B34/SUM($B$32,$B$34,$B$35,$B$36,$B$38,$B$39)*100)</f>
        <v>2.9763432707129662</v>
      </c>
      <c r="D34" s="235"/>
      <c r="G34" s="15"/>
    </row>
    <row r="35" spans="1:7">
      <c r="A35" s="173" t="s">
        <v>74</v>
      </c>
      <c r="B35" s="33">
        <f>IF((($B$28-$B$32-$B$39-$B$77-$B$38)*C21/100)&lt;0,0,($B$28-$B$32-$B$39-$B$77-$B$38)*C21/100)</f>
        <v>517.51381215469621</v>
      </c>
      <c r="C35" s="169">
        <f>IF(ISERROR(B35/SUM($B$32,$B$34,$B$35,$B$36,$B$38,$B$39)*100),0,B35/SUM($B$32,$B$34,$B$35,$B$36,$B$38,$B$39)*100)</f>
        <v>12.330564978668006</v>
      </c>
      <c r="D35" s="235"/>
      <c r="G35" s="15"/>
    </row>
    <row r="36" spans="1:7">
      <c r="A36" s="173" t="s">
        <v>75</v>
      </c>
      <c r="B36" s="33">
        <f>IF((($B$28-$B$32-$B$39-$B$77-$B$38)*C22/100)&lt;0,0,($B$28-$B$32-$B$39-$B$77-$B$38)*C22/100)</f>
        <v>165.06906077348066</v>
      </c>
      <c r="C36" s="169">
        <f>IF(ISERROR(B36/SUM($B$32,$B$34,$B$35,$B$36,$B$38,$B$39)*100),0,B36/SUM($B$32,$B$34,$B$35,$B$36,$B$38,$B$39)*100)</f>
        <v>3.9330250362992771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1445.5</v>
      </c>
      <c r="C39" s="169">
        <f>IF(ISERROR(B39/SUM($B$32,$B$34,$B$35,$B$36,$B$38,$B$39)*100),0,B39/SUM($B$32,$B$34,$B$35,$B$36,$B$38,$B$39)*100)</f>
        <v>34.44126757207529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1944</v>
      </c>
      <c r="C44" s="34" t="s">
        <v>111</v>
      </c>
      <c r="D44" s="176"/>
    </row>
    <row r="45" spans="1:7">
      <c r="A45" s="173" t="s">
        <v>72</v>
      </c>
      <c r="B45" s="33" t="str">
        <f t="shared" si="0"/>
        <v>-</v>
      </c>
      <c r="C45" s="34" t="s">
        <v>111</v>
      </c>
      <c r="D45" s="176"/>
    </row>
    <row r="46" spans="1:7">
      <c r="A46" s="173" t="s">
        <v>73</v>
      </c>
      <c r="B46" s="33">
        <f t="shared" si="0"/>
        <v>124.9171270718232</v>
      </c>
      <c r="C46" s="34" t="s">
        <v>111</v>
      </c>
      <c r="D46" s="176"/>
    </row>
    <row r="47" spans="1:7">
      <c r="A47" s="173" t="s">
        <v>74</v>
      </c>
      <c r="B47" s="33">
        <f t="shared" si="0"/>
        <v>517.51381215469621</v>
      </c>
      <c r="C47" s="34" t="s">
        <v>111</v>
      </c>
      <c r="D47" s="176"/>
    </row>
    <row r="48" spans="1:7">
      <c r="A48" s="173" t="s">
        <v>75</v>
      </c>
      <c r="B48" s="33">
        <f t="shared" si="0"/>
        <v>165.06906077348066</v>
      </c>
      <c r="C48" s="33">
        <f>B48*10</f>
        <v>1650.6906077348067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1445.5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10468.997000000001</v>
      </c>
      <c r="C5" s="17">
        <f>IF(ISERROR('Eigen informatie GS &amp; warmtenet'!B58),0,'Eigen informatie GS &amp; warmtenet'!B58)</f>
        <v>0</v>
      </c>
      <c r="D5" s="30">
        <f>SUM(D6:D12)</f>
        <v>4694.4896680000002</v>
      </c>
      <c r="E5" s="17">
        <f>SUM(E6:E12)</f>
        <v>139.94126823499425</v>
      </c>
      <c r="F5" s="17">
        <f>SUM(F6:F12)</f>
        <v>1934.9660563059219</v>
      </c>
      <c r="G5" s="18"/>
      <c r="H5" s="17"/>
      <c r="I5" s="17"/>
      <c r="J5" s="17">
        <f>SUM(J6:J12)</f>
        <v>0</v>
      </c>
      <c r="K5" s="17"/>
      <c r="L5" s="17"/>
      <c r="M5" s="17"/>
      <c r="N5" s="17">
        <f>SUM(N6:N12)</f>
        <v>454.13282445882817</v>
      </c>
      <c r="O5" s="17">
        <f>B38*B39*B40</f>
        <v>0</v>
      </c>
      <c r="P5" s="17">
        <f>B46*B47*B48/1000-B46*B47*B48/1000/B49</f>
        <v>0</v>
      </c>
      <c r="R5" s="32"/>
    </row>
    <row r="6" spans="1:18">
      <c r="A6" s="32" t="s">
        <v>54</v>
      </c>
      <c r="B6" s="37">
        <f>B26</f>
        <v>3049.8139999999999</v>
      </c>
      <c r="C6" s="33"/>
      <c r="D6" s="37">
        <f>IF(ISERROR(TER_kantoor_gas_kWh/1000),0,TER_kantoor_gas_kWh/1000)*0.902</f>
        <v>821.1221700000001</v>
      </c>
      <c r="E6" s="33">
        <f>$C$26*'E Balans VL '!I12/100/3.6*1000000</f>
        <v>11.849173073244431</v>
      </c>
      <c r="F6" s="33">
        <f>$C$26*('E Balans VL '!L12+'E Balans VL '!N12)/100/3.6*1000000</f>
        <v>463.84895830510919</v>
      </c>
      <c r="G6" s="34"/>
      <c r="H6" s="33"/>
      <c r="I6" s="33"/>
      <c r="J6" s="33">
        <f>$C$26*('E Balans VL '!D12+'E Balans VL '!E12)/100/3.6*1000000</f>
        <v>0</v>
      </c>
      <c r="K6" s="33"/>
      <c r="L6" s="33"/>
      <c r="M6" s="33"/>
      <c r="N6" s="33">
        <f>$C$26*'E Balans VL '!Y12/100/3.6*1000000</f>
        <v>1.6808128727195315</v>
      </c>
      <c r="O6" s="33"/>
      <c r="P6" s="33"/>
      <c r="R6" s="32"/>
    </row>
    <row r="7" spans="1:18">
      <c r="A7" s="32" t="s">
        <v>53</v>
      </c>
      <c r="B7" s="37">
        <f t="shared" ref="B7:B12" si="0">B27</f>
        <v>777.41399999999999</v>
      </c>
      <c r="C7" s="33"/>
      <c r="D7" s="37">
        <f>IF(ISERROR(TER_horeca_gas_kWh/1000),0,TER_horeca_gas_kWh/1000)*0.902</f>
        <v>663.47963000000004</v>
      </c>
      <c r="E7" s="33">
        <f>$C$27*'E Balans VL '!I9/100/3.6*1000000</f>
        <v>43.791938466067151</v>
      </c>
      <c r="F7" s="33">
        <f>$C$27*('E Balans VL '!L9+'E Balans VL '!N9)/100/3.6*1000000</f>
        <v>224.15965477394514</v>
      </c>
      <c r="G7" s="34"/>
      <c r="H7" s="33"/>
      <c r="I7" s="33"/>
      <c r="J7" s="33">
        <f>$C$27*('E Balans VL '!D9+'E Balans VL '!E9)/100/3.6*1000000</f>
        <v>0</v>
      </c>
      <c r="K7" s="33"/>
      <c r="L7" s="33"/>
      <c r="M7" s="33"/>
      <c r="N7" s="33">
        <f>$C$27*'E Balans VL '!Y9/100/3.6*1000000</f>
        <v>0.21463996557676146</v>
      </c>
      <c r="O7" s="33"/>
      <c r="P7" s="33"/>
      <c r="R7" s="32"/>
    </row>
    <row r="8" spans="1:18">
      <c r="A8" s="6" t="s">
        <v>52</v>
      </c>
      <c r="B8" s="37">
        <f t="shared" si="0"/>
        <v>5622.0050000000001</v>
      </c>
      <c r="C8" s="33"/>
      <c r="D8" s="37">
        <f>IF(ISERROR(TER_handel_gas_kWh/1000),0,TER_handel_gas_kWh/1000)*0.902</f>
        <v>1676.4932800000001</v>
      </c>
      <c r="E8" s="33">
        <f>$C$28*'E Balans VL '!I13/100/3.6*1000000</f>
        <v>81.032165615609173</v>
      </c>
      <c r="F8" s="33">
        <f>$C$28*('E Balans VL '!L13+'E Balans VL '!N13)/100/3.6*1000000</f>
        <v>976.67319616160171</v>
      </c>
      <c r="G8" s="34"/>
      <c r="H8" s="33"/>
      <c r="I8" s="33"/>
      <c r="J8" s="33">
        <f>$C$28*('E Balans VL '!D13+'E Balans VL '!E13)/100/3.6*1000000</f>
        <v>0</v>
      </c>
      <c r="K8" s="33"/>
      <c r="L8" s="33"/>
      <c r="M8" s="33"/>
      <c r="N8" s="33">
        <f>$C$28*'E Balans VL '!Y13/100/3.6*1000000</f>
        <v>16.8441528344893</v>
      </c>
      <c r="O8" s="33"/>
      <c r="P8" s="33"/>
      <c r="R8" s="32"/>
    </row>
    <row r="9" spans="1:18">
      <c r="A9" s="32" t="s">
        <v>51</v>
      </c>
      <c r="B9" s="37">
        <f t="shared" si="0"/>
        <v>297.21499999999997</v>
      </c>
      <c r="C9" s="33"/>
      <c r="D9" s="37">
        <f>IF(ISERROR(TER_gezond_gas_kWh/1000),0,TER_gezond_gas_kWh/1000)*0.902</f>
        <v>892.89160400000003</v>
      </c>
      <c r="E9" s="33">
        <f>$C$29*'E Balans VL '!I10/100/3.6*1000000</f>
        <v>0.31750265529896832</v>
      </c>
      <c r="F9" s="33">
        <f>$C$29*('E Balans VL '!L10+'E Balans VL '!N10)/100/3.6*1000000</f>
        <v>48.484799202804339</v>
      </c>
      <c r="G9" s="34"/>
      <c r="H9" s="33"/>
      <c r="I9" s="33"/>
      <c r="J9" s="33">
        <f>$C$29*('E Balans VL '!D10+'E Balans VL '!E10)/100/3.6*1000000</f>
        <v>0</v>
      </c>
      <c r="K9" s="33"/>
      <c r="L9" s="33"/>
      <c r="M9" s="33"/>
      <c r="N9" s="33">
        <f>$C$29*'E Balans VL '!Y10/100/3.6*1000000</f>
        <v>3.0596588375043225</v>
      </c>
      <c r="O9" s="33"/>
      <c r="P9" s="33"/>
      <c r="R9" s="32"/>
    </row>
    <row r="10" spans="1:18">
      <c r="A10" s="32" t="s">
        <v>50</v>
      </c>
      <c r="B10" s="37">
        <f t="shared" si="0"/>
        <v>621.11</v>
      </c>
      <c r="C10" s="33"/>
      <c r="D10" s="37">
        <f>IF(ISERROR(TER_ander_gas_kWh/1000),0,TER_ander_gas_kWh/1000)*0.902</f>
        <v>192.383972</v>
      </c>
      <c r="E10" s="33">
        <f>$C$30*'E Balans VL '!I14/100/3.6*1000000</f>
        <v>2.8563904121555659</v>
      </c>
      <c r="F10" s="33">
        <f>$C$30*('E Balans VL '!L14+'E Balans VL '!N14)/100/3.6*1000000</f>
        <v>186.16625857025693</v>
      </c>
      <c r="G10" s="34"/>
      <c r="H10" s="33"/>
      <c r="I10" s="33"/>
      <c r="J10" s="33">
        <f>$C$30*('E Balans VL '!D14+'E Balans VL '!E14)/100/3.6*1000000</f>
        <v>0</v>
      </c>
      <c r="K10" s="33"/>
      <c r="L10" s="33"/>
      <c r="M10" s="33"/>
      <c r="N10" s="33">
        <f>$C$30*'E Balans VL '!Y14/100/3.6*1000000</f>
        <v>432.33355994853827</v>
      </c>
      <c r="O10" s="33"/>
      <c r="P10" s="33"/>
      <c r="R10" s="32"/>
    </row>
    <row r="11" spans="1:18">
      <c r="A11" s="32" t="s">
        <v>55</v>
      </c>
      <c r="B11" s="37">
        <f t="shared" si="0"/>
        <v>101.43899999999999</v>
      </c>
      <c r="C11" s="33"/>
      <c r="D11" s="37">
        <f>IF(ISERROR(TER_onderwijs_gas_kWh/1000),0,TER_onderwijs_gas_kWh/1000)*0.902</f>
        <v>448.119012</v>
      </c>
      <c r="E11" s="33">
        <f>$C$31*'E Balans VL '!I11/100/3.6*1000000</f>
        <v>9.4098012618954202E-2</v>
      </c>
      <c r="F11" s="33">
        <f>$C$31*('E Balans VL '!L11+'E Balans VL '!N11)/100/3.6*1000000</f>
        <v>35.633189292204378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10468.997000000001</v>
      </c>
      <c r="C16" s="21">
        <f t="shared" ca="1" si="1"/>
        <v>0</v>
      </c>
      <c r="D16" s="21">
        <f t="shared" ca="1" si="1"/>
        <v>4694.4896680000002</v>
      </c>
      <c r="E16" s="21">
        <f t="shared" si="1"/>
        <v>139.94126823499425</v>
      </c>
      <c r="F16" s="21">
        <f t="shared" ca="1" si="1"/>
        <v>1934.9660563059219</v>
      </c>
      <c r="G16" s="21">
        <f t="shared" si="1"/>
        <v>0</v>
      </c>
      <c r="H16" s="21">
        <f t="shared" si="1"/>
        <v>0</v>
      </c>
      <c r="I16" s="21">
        <f t="shared" si="1"/>
        <v>0</v>
      </c>
      <c r="J16" s="21">
        <f t="shared" si="1"/>
        <v>0</v>
      </c>
      <c r="K16" s="21">
        <f t="shared" si="1"/>
        <v>0</v>
      </c>
      <c r="L16" s="21">
        <f t="shared" ca="1" si="1"/>
        <v>0</v>
      </c>
      <c r="M16" s="21">
        <f t="shared" si="1"/>
        <v>0</v>
      </c>
      <c r="N16" s="21">
        <f t="shared" ca="1" si="1"/>
        <v>454.13282445882817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8.7736213654096867E-2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918.5101575360992</v>
      </c>
      <c r="C20" s="23">
        <f t="shared" ref="C20:P20" ca="1" si="2">C16*C18</f>
        <v>0</v>
      </c>
      <c r="D20" s="23">
        <f t="shared" ca="1" si="2"/>
        <v>948.28691293600014</v>
      </c>
      <c r="E20" s="23">
        <f t="shared" si="2"/>
        <v>31.766667889343697</v>
      </c>
      <c r="F20" s="23">
        <f t="shared" ca="1" si="2"/>
        <v>516.63593703368122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3049.8139999999999</v>
      </c>
      <c r="C26" s="39">
        <f>IF(ISERROR(B26*3.6/1000000/'E Balans VL '!Z12*100),0,B26*3.6/1000000/'E Balans VL '!Z12*100)</f>
        <v>6.4779560041469689E-2</v>
      </c>
      <c r="D26" s="239" t="s">
        <v>692</v>
      </c>
      <c r="F26" s="6"/>
    </row>
    <row r="27" spans="1:18">
      <c r="A27" s="233" t="s">
        <v>53</v>
      </c>
      <c r="B27" s="33">
        <f>IF(ISERROR(TER_horeca_ele_kWh/1000),0,TER_horeca_ele_kWh/1000)</f>
        <v>777.41399999999999</v>
      </c>
      <c r="C27" s="39">
        <f>IF(ISERROR(B27*3.6/1000000/'E Balans VL '!Z9*100),0,B27*3.6/1000000/'E Balans VL '!Z9*100)</f>
        <v>6.0448673012128244E-2</v>
      </c>
      <c r="D27" s="239" t="s">
        <v>692</v>
      </c>
      <c r="F27" s="6"/>
    </row>
    <row r="28" spans="1:18">
      <c r="A28" s="173" t="s">
        <v>52</v>
      </c>
      <c r="B28" s="33">
        <f>IF(ISERROR(TER_handel_ele_kWh/1000),0,TER_handel_ele_kWh/1000)</f>
        <v>5622.0050000000001</v>
      </c>
      <c r="C28" s="39">
        <f>IF(ISERROR(B28*3.6/1000000/'E Balans VL '!Z13*100),0,B28*3.6/1000000/'E Balans VL '!Z13*100)</f>
        <v>0.16085217948800909</v>
      </c>
      <c r="D28" s="239" t="s">
        <v>692</v>
      </c>
      <c r="F28" s="6"/>
    </row>
    <row r="29" spans="1:18">
      <c r="A29" s="233" t="s">
        <v>51</v>
      </c>
      <c r="B29" s="33">
        <f>IF(ISERROR(TER_gezond_ele_kWh/1000),0,TER_gezond_ele_kWh/1000)</f>
        <v>297.21499999999997</v>
      </c>
      <c r="C29" s="39">
        <f>IF(ISERROR(B29*3.6/1000000/'E Balans VL '!Z10*100),0,B29*3.6/1000000/'E Balans VL '!Z10*100)</f>
        <v>3.2403341448297047E-2</v>
      </c>
      <c r="D29" s="239" t="s">
        <v>692</v>
      </c>
      <c r="F29" s="6"/>
    </row>
    <row r="30" spans="1:18">
      <c r="A30" s="233" t="s">
        <v>50</v>
      </c>
      <c r="B30" s="33">
        <f>IF(ISERROR(TER_ander_ele_kWh/1000),0,TER_ander_ele_kWh/1000)</f>
        <v>621.11</v>
      </c>
      <c r="C30" s="39">
        <f>IF(ISERROR(B30*3.6/1000000/'E Balans VL '!Z14*100),0,B30*3.6/1000000/'E Balans VL '!Z14*100)</f>
        <v>4.5451420845364895E-2</v>
      </c>
      <c r="D30" s="239" t="s">
        <v>692</v>
      </c>
      <c r="F30" s="6"/>
    </row>
    <row r="31" spans="1:18">
      <c r="A31" s="233" t="s">
        <v>55</v>
      </c>
      <c r="B31" s="33">
        <f>IF(ISERROR(TER_onderwijs_ele_kWh/1000),0,TER_onderwijs_ele_kWh/1000)</f>
        <v>101.43899999999999</v>
      </c>
      <c r="C31" s="39">
        <f>IF(ISERROR(B31*3.6/1000000/'E Balans VL '!Z11*100),0,B31*3.6/1000000/'E Balans VL '!Z11*100)</f>
        <v>2.0374098476524275E-2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5951.320999999999</v>
      </c>
      <c r="C5" s="17">
        <f>IF(ISERROR('Eigen informatie GS &amp; warmtenet'!B59),0,'Eigen informatie GS &amp; warmtenet'!B59)</f>
        <v>0</v>
      </c>
      <c r="D5" s="30">
        <f>SUM(D6:D15)</f>
        <v>1026.324464</v>
      </c>
      <c r="E5" s="17">
        <f>SUM(E6:E15)</f>
        <v>242.65663796702529</v>
      </c>
      <c r="F5" s="17">
        <f>SUM(F6:F15)</f>
        <v>2602.6860995778929</v>
      </c>
      <c r="G5" s="18"/>
      <c r="H5" s="17"/>
      <c r="I5" s="17"/>
      <c r="J5" s="17">
        <f>SUM(J6:J15)</f>
        <v>26.991405969128053</v>
      </c>
      <c r="K5" s="17"/>
      <c r="L5" s="17"/>
      <c r="M5" s="17"/>
      <c r="N5" s="17">
        <f>SUM(N6:N15)</f>
        <v>284.43441670468064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173.21299999999999</v>
      </c>
      <c r="C8" s="33"/>
      <c r="D8" s="37">
        <f>IF( ISERROR(IND_metaal_Gas_kWH/1000),0,IND_metaal_Gas_kWH/1000)*0.902</f>
        <v>91.939958000000004</v>
      </c>
      <c r="E8" s="33">
        <f>C30*'E Balans VL '!I18/100/3.6*1000000</f>
        <v>4.9753275218410824</v>
      </c>
      <c r="F8" s="33">
        <f>C30*'E Balans VL '!L18/100/3.6*1000000+C30*'E Balans VL '!N18/100/3.6*1000000</f>
        <v>44.425803135255293</v>
      </c>
      <c r="G8" s="34"/>
      <c r="H8" s="33"/>
      <c r="I8" s="33"/>
      <c r="J8" s="40">
        <f>C30*'E Balans VL '!D18/100/3.6*1000000+C30*'E Balans VL '!E18/100/3.6*1000000</f>
        <v>0</v>
      </c>
      <c r="K8" s="33"/>
      <c r="L8" s="33"/>
      <c r="M8" s="33"/>
      <c r="N8" s="33">
        <f>C30*'E Balans VL '!Y18/100/3.6*1000000</f>
        <v>4.7030865278271001</v>
      </c>
      <c r="O8" s="33"/>
      <c r="P8" s="33"/>
      <c r="R8" s="32"/>
    </row>
    <row r="9" spans="1:18">
      <c r="A9" s="6" t="s">
        <v>33</v>
      </c>
      <c r="B9" s="37">
        <f t="shared" si="0"/>
        <v>677.06899999999996</v>
      </c>
      <c r="C9" s="33"/>
      <c r="D9" s="37">
        <f>IF( ISERROR(IND_andere_gas_kWh/1000),0,IND_andere_gas_kWh/1000)*0.902</f>
        <v>500.45575799999995</v>
      </c>
      <c r="E9" s="33">
        <f>C31*'E Balans VL '!I19/100/3.6*1000000</f>
        <v>183.26593117711241</v>
      </c>
      <c r="F9" s="33">
        <f>C31*'E Balans VL '!L19/100/3.6*1000000+C31*'E Balans VL '!N19/100/3.6*1000000</f>
        <v>450.99960286694977</v>
      </c>
      <c r="G9" s="34"/>
      <c r="H9" s="33"/>
      <c r="I9" s="33"/>
      <c r="J9" s="40">
        <f>C31*'E Balans VL '!D19/100/3.6*1000000+C31*'E Balans VL '!E19/100/3.6*1000000</f>
        <v>0</v>
      </c>
      <c r="K9" s="33"/>
      <c r="L9" s="33"/>
      <c r="M9" s="33"/>
      <c r="N9" s="33">
        <f>C31*'E Balans VL '!Y19/100/3.6*1000000</f>
        <v>221.05178142103625</v>
      </c>
      <c r="O9" s="33"/>
      <c r="P9" s="33"/>
      <c r="R9" s="32"/>
    </row>
    <row r="10" spans="1:18">
      <c r="A10" s="6" t="s">
        <v>41</v>
      </c>
      <c r="B10" s="37">
        <f t="shared" si="0"/>
        <v>170.31399999999999</v>
      </c>
      <c r="C10" s="33"/>
      <c r="D10" s="37">
        <f>IF( ISERROR(IND_voed_gas_kWh/1000),0,IND_voed_gas_kWh/1000)*0.902</f>
        <v>428.81350600000002</v>
      </c>
      <c r="E10" s="33">
        <f>C32*'E Balans VL '!I20/100/3.6*1000000</f>
        <v>13.891201126233202</v>
      </c>
      <c r="F10" s="33">
        <f>C32*'E Balans VL '!L20/100/3.6*1000000+C32*'E Balans VL '!N20/100/3.6*1000000</f>
        <v>253.95362624002519</v>
      </c>
      <c r="G10" s="34"/>
      <c r="H10" s="33"/>
      <c r="I10" s="33"/>
      <c r="J10" s="40">
        <f>C32*'E Balans VL '!D20/100/3.6*1000000+C32*'E Balans VL '!E20/100/3.6*1000000</f>
        <v>2.2530474865374204E-3</v>
      </c>
      <c r="K10" s="33"/>
      <c r="L10" s="33"/>
      <c r="M10" s="33"/>
      <c r="N10" s="33">
        <f>C32*'E Balans VL '!Y20/100/3.6*1000000</f>
        <v>50.032243466956658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4886.6629999999996</v>
      </c>
      <c r="C12" s="33"/>
      <c r="D12" s="37">
        <f>IF( ISERROR(IND_min_gas_kWh/1000),0,IND_min_gas_kWh/1000)*0.902</f>
        <v>0</v>
      </c>
      <c r="E12" s="33">
        <f>C34*'E Balans VL '!I22/100/3.6*1000000</f>
        <v>38.066040011454319</v>
      </c>
      <c r="F12" s="33">
        <f>C34*'E Balans VL '!L22/100/3.6*1000000+C34*'E Balans VL '!N22/100/3.6*1000000</f>
        <v>1842.9489889869783</v>
      </c>
      <c r="G12" s="34"/>
      <c r="H12" s="33"/>
      <c r="I12" s="33"/>
      <c r="J12" s="40">
        <f>C34*'E Balans VL '!D22/100/3.6*1000000+C34*'E Balans VL '!E22/100/3.6*1000000</f>
        <v>26.876219244748519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44.061999999999998</v>
      </c>
      <c r="C15" s="33"/>
      <c r="D15" s="37">
        <f>IF( ISERROR(IND_rest_gas_kWh/1000),0,IND_rest_gas_kWh/1000)*0.902</f>
        <v>5.1152420000000003</v>
      </c>
      <c r="E15" s="33">
        <f>C37*'E Balans VL '!I15/100/3.6*1000000</f>
        <v>2.4581381303842624</v>
      </c>
      <c r="F15" s="33">
        <f>C37*'E Balans VL '!L15/100/3.6*1000000+C37*'E Balans VL '!N15/100/3.6*1000000</f>
        <v>10.358078348684755</v>
      </c>
      <c r="G15" s="34"/>
      <c r="H15" s="33"/>
      <c r="I15" s="33"/>
      <c r="J15" s="40">
        <f>C37*'E Balans VL '!D15/100/3.6*1000000+C37*'E Balans VL '!E15/100/3.6*1000000</f>
        <v>0.11293367689299741</v>
      </c>
      <c r="K15" s="33"/>
      <c r="L15" s="33"/>
      <c r="M15" s="33"/>
      <c r="N15" s="33">
        <f>C37*'E Balans VL '!Y15/100/3.6*1000000</f>
        <v>8.6473052888605739</v>
      </c>
      <c r="O15" s="33"/>
      <c r="P15" s="33"/>
      <c r="R15" s="32"/>
    </row>
    <row r="16" spans="1:18">
      <c r="A16" s="16" t="s">
        <v>497</v>
      </c>
      <c r="B16" s="249">
        <f>'lokale energieproductie'!N89+'lokale energieproductie'!N58</f>
        <v>44190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-110475</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50141.320999999996</v>
      </c>
      <c r="C18" s="21">
        <f>C5+C16</f>
        <v>0</v>
      </c>
      <c r="D18" s="21">
        <f>MAX((D5+D16),0)</f>
        <v>1026.324464</v>
      </c>
      <c r="E18" s="21">
        <f>MAX((E5+E16),0)</f>
        <v>242.65663796702529</v>
      </c>
      <c r="F18" s="21">
        <f>MAX((F5+F16),0)</f>
        <v>2602.6860995778929</v>
      </c>
      <c r="G18" s="21"/>
      <c r="H18" s="21"/>
      <c r="I18" s="21"/>
      <c r="J18" s="21">
        <f>MAX((J5+J16),0)</f>
        <v>26.991405969128053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8.7736213654096867E-2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4399.2096521546537</v>
      </c>
      <c r="C22" s="23">
        <f ca="1">C18*C20</f>
        <v>0</v>
      </c>
      <c r="D22" s="23">
        <f>D18*D20</f>
        <v>207.31754172800001</v>
      </c>
      <c r="E22" s="23">
        <f>E18*E20</f>
        <v>55.083056818514741</v>
      </c>
      <c r="F22" s="23">
        <f>F18*F20</f>
        <v>694.91718858729746</v>
      </c>
      <c r="G22" s="23"/>
      <c r="H22" s="23"/>
      <c r="I22" s="23"/>
      <c r="J22" s="23">
        <f>J18*J20</f>
        <v>9.5549577130713299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173.21299999999999</v>
      </c>
      <c r="C30" s="39">
        <f>IF(ISERROR(B30*3.6/1000000/'E Balans VL '!Z18*100),0,B30*3.6/1000000/'E Balans VL '!Z18*100)</f>
        <v>1.7043717034312723E-2</v>
      </c>
      <c r="D30" s="239" t="s">
        <v>692</v>
      </c>
    </row>
    <row r="31" spans="1:18">
      <c r="A31" s="6" t="s">
        <v>33</v>
      </c>
      <c r="B31" s="37">
        <f>IF( ISERROR(IND_ander_ele_kWh/1000),0,IND_ander_ele_kWh/1000)</f>
        <v>677.06899999999996</v>
      </c>
      <c r="C31" s="39">
        <f>IF(ISERROR(B31*3.6/1000000/'E Balans VL '!Z19*100),0,B31*3.6/1000000/'E Balans VL '!Z19*100)</f>
        <v>2.9485814857378962E-2</v>
      </c>
      <c r="D31" s="239" t="s">
        <v>692</v>
      </c>
    </row>
    <row r="32" spans="1:18">
      <c r="A32" s="173" t="s">
        <v>41</v>
      </c>
      <c r="B32" s="37">
        <f>IF( ISERROR(IND_voed_ele_kWh/1000),0,IND_voed_ele_kWh/1000)</f>
        <v>170.31399999999999</v>
      </c>
      <c r="C32" s="39">
        <f>IF(ISERROR(B32*3.6/1000000/'E Balans VL '!Z20*100),0,B32*3.6/1000000/'E Balans VL '!Z20*100)</f>
        <v>3.2314625304917903E-2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4886.6629999999996</v>
      </c>
      <c r="C34" s="39">
        <f>IF(ISERROR(B34*3.6/1000000/'E Balans VL '!Z22*100),0,B34*3.6/1000000/'E Balans VL '!Z22*100)</f>
        <v>0.68711388814034147</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44.061999999999998</v>
      </c>
      <c r="C37" s="39">
        <f>IF(ISERROR(B37*3.6/1000000/'E Balans VL '!Z15*100),0,B37*3.6/1000000/'E Balans VL '!Z15*100)</f>
        <v>3.395518292915309E-4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298.00700000000001</v>
      </c>
      <c r="C5" s="17">
        <f>'Eigen informatie GS &amp; warmtenet'!B60</f>
        <v>0</v>
      </c>
      <c r="D5" s="30">
        <f>IF(ISERROR(SUM(LB_lb_gas_kWh,LB_rest_gas_kWh,onbekend_gas_kWh)/1000),0,SUM(LB_lb_gas_kWh,LB_rest_gas_kWh,onbekend_gas_kWh)/1000)*0.902</f>
        <v>0</v>
      </c>
      <c r="E5" s="17">
        <f>B17*'E Balans VL '!I25/3.6*1000000/100</f>
        <v>3.7552721110730203</v>
      </c>
      <c r="F5" s="17">
        <f>B17*('E Balans VL '!L25/3.6*1000000+'E Balans VL '!N25/3.6*1000000)/100</f>
        <v>1028.1988052143322</v>
      </c>
      <c r="G5" s="18"/>
      <c r="H5" s="17"/>
      <c r="I5" s="17"/>
      <c r="J5" s="17">
        <f>('E Balans VL '!D25+'E Balans VL '!E25)/3.6*1000000*landbouw!B17/100</f>
        <v>44.816865175984383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298.00700000000001</v>
      </c>
      <c r="C8" s="21">
        <f>C5+C6</f>
        <v>0</v>
      </c>
      <c r="D8" s="21">
        <f>MAX((D5+D6),0)</f>
        <v>0</v>
      </c>
      <c r="E8" s="21">
        <f>MAX((E5+E6),0)</f>
        <v>3.7552721110730203</v>
      </c>
      <c r="F8" s="21">
        <f>MAX((F5+F6),0)</f>
        <v>1028.1988052143322</v>
      </c>
      <c r="G8" s="21"/>
      <c r="H8" s="21"/>
      <c r="I8" s="21"/>
      <c r="J8" s="21">
        <f>MAX((J5+J6),0)</f>
        <v>44.816865175984383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8.7736213654096867E-2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26.146005822416445</v>
      </c>
      <c r="C12" s="23">
        <f ca="1">C8*C10</f>
        <v>0</v>
      </c>
      <c r="D12" s="23">
        <f>D8*D10</f>
        <v>0</v>
      </c>
      <c r="E12" s="23">
        <f>E8*E10</f>
        <v>0.85244676921357565</v>
      </c>
      <c r="F12" s="23">
        <f>F8*F10</f>
        <v>274.52908099222674</v>
      </c>
      <c r="G12" s="23"/>
      <c r="H12" s="23"/>
      <c r="I12" s="23"/>
      <c r="J12" s="23">
        <f>J8*J10</f>
        <v>15.865170272298471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4.1562583864567737E-2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75.983358822554024</v>
      </c>
      <c r="C26" s="249">
        <f>B26*'GWP N2O_CH4'!B5</f>
        <v>1595.6505352736344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16.565249333887881</v>
      </c>
      <c r="C27" s="249">
        <f>B27*'GWP N2O_CH4'!B5</f>
        <v>347.87023601164549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0.81677100280724335</v>
      </c>
      <c r="C28" s="249">
        <f>B28*'GWP N2O_CH4'!B4</f>
        <v>253.19901087024544</v>
      </c>
      <c r="D28" s="50"/>
    </row>
    <row r="29" spans="1:4">
      <c r="A29" s="41" t="s">
        <v>277</v>
      </c>
      <c r="B29" s="249">
        <f>B34*'ha_N2O bodem landbouw'!B4</f>
        <v>5.4860508473798877</v>
      </c>
      <c r="C29" s="249">
        <f>B29*'GWP N2O_CH4'!B4</f>
        <v>1700.6757626877652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1.3698120784407047E-3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2.6597750448354029E-5</v>
      </c>
      <c r="C5" s="448" t="s">
        <v>211</v>
      </c>
      <c r="D5" s="433">
        <f>SUM(D6:D11)</f>
        <v>4.3605451672023473E-5</v>
      </c>
      <c r="E5" s="433">
        <f>SUM(E6:E11)</f>
        <v>1.476581358621334E-3</v>
      </c>
      <c r="F5" s="446" t="s">
        <v>211</v>
      </c>
      <c r="G5" s="433">
        <f>SUM(G6:G11)</f>
        <v>0.39959466534551824</v>
      </c>
      <c r="H5" s="433">
        <f>SUM(H6:H11)</f>
        <v>6.6499051287496558E-2</v>
      </c>
      <c r="I5" s="448" t="s">
        <v>211</v>
      </c>
      <c r="J5" s="448" t="s">
        <v>211</v>
      </c>
      <c r="K5" s="448" t="s">
        <v>211</v>
      </c>
      <c r="L5" s="448" t="s">
        <v>211</v>
      </c>
      <c r="M5" s="433">
        <f>SUM(M6:M11)</f>
        <v>2.1067488515808516E-2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1.0096697927563388E-5</v>
      </c>
      <c r="C6" s="949"/>
      <c r="D6" s="949">
        <f>vkm_2011_GW_PW*SUMIFS(TableVerdeelsleutelVkm[CNG],TableVerdeelsleutelVkm[Voertuigtype],"Lichte voertuigen")*SUMIFS(TableECFTransport[EnergieConsumptieFactor (PJ per km)],TableECFTransport[Index],CONCATENATE($A6,"_CNG_CNG"))</f>
        <v>1.4298898983814307E-5</v>
      </c>
      <c r="E6" s="949">
        <f>vkm_2011_GW_PW*SUMIFS(TableVerdeelsleutelVkm[LPG],TableVerdeelsleutelVkm[Voertuigtype],"Lichte voertuigen")*SUMIFS(TableECFTransport[EnergieConsumptieFactor (PJ per km)],TableECFTransport[Index],CONCATENATE($A6,"_LPG_LPG"))</f>
        <v>4.4908134386341001E-4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8.0712214255232714E-2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2.1627487268795917E-2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4.6301751004006204E-3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1.9576291347779655E-2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6.9552533731031943E-6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8.8341607383645359E-4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4.6983401380612728E-6</v>
      </c>
      <c r="C8" s="949"/>
      <c r="D8" s="436">
        <f>vkm_2011_NGW_PW*SUMIFS(TableVerdeelsleutelVkm[CNG],TableVerdeelsleutelVkm[Voertuigtype],"Lichte voertuigen")*SUMIFS(TableECFTransport[EnergieConsumptieFactor (PJ per km)],TableECFTransport[Index],CONCATENATE($A8,"_CNG_CNG"))</f>
        <v>1.1853802107755234E-5</v>
      </c>
      <c r="E8" s="436">
        <f>vkm_2011_NGW_PW*SUMIFS(TableVerdeelsleutelVkm[LPG],TableVerdeelsleutelVkm[Voertuigtype],"Lichte voertuigen")*SUMIFS(TableECFTransport[EnergieConsumptieFactor (PJ per km)],TableECFTransport[Index],CONCATENATE($A8,"_LPG_LPG"))</f>
        <v>3.4290384182807294E-4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5.8125526327245623E-2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1.7299923453274489E-2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3.413341903903726E-3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8.5496337337274513E-3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2.8744499251730807E-6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3.8581045067852591E-4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1.1802712382729368E-5</v>
      </c>
      <c r="C10" s="949"/>
      <c r="D10" s="436">
        <f>vkm_2011_SW_PW*SUMIFS(TableVerdeelsleutelVkm[CNG],TableVerdeelsleutelVkm[Voertuigtype],"Lichte voertuigen")*SUMIFS(TableECFTransport[EnergieConsumptieFactor (PJ per km)],TableECFTransport[Index],CONCATENATE($A10,"_CNG_CNG"))</f>
        <v>1.7452750580453935E-5</v>
      </c>
      <c r="E10" s="436">
        <f>vkm_2011_SW_PW*SUMIFS(TableVerdeelsleutelVkm[LPG],TableVerdeelsleutelVkm[Voertuigtype],"Lichte voertuigen")*SUMIFS(TableECFTransport[EnergieConsumptieFactor (PJ per km)],TableECFTransport[Index],CONCATENATE($A10,"_LPG_LPG"))</f>
        <v>6.8459617292985109E-4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0.11143213105893979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2.751537424996545E-2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6.2852692063213129E-3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0.12119886862259296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4.6436612162429269E-5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5.4694757806678764E-3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7.3882640134316748</v>
      </c>
      <c r="C14" s="21"/>
      <c r="D14" s="21">
        <f t="shared" ref="D14:M14" si="0">((D5)*10^9/3600)+D12</f>
        <v>12.112625464450966</v>
      </c>
      <c r="E14" s="21">
        <f t="shared" si="0"/>
        <v>410.16148850592612</v>
      </c>
      <c r="F14" s="21"/>
      <c r="G14" s="21">
        <f t="shared" si="0"/>
        <v>110998.51815153284</v>
      </c>
      <c r="H14" s="21">
        <f t="shared" si="0"/>
        <v>18471.958690971267</v>
      </c>
      <c r="I14" s="21"/>
      <c r="J14" s="21"/>
      <c r="K14" s="21"/>
      <c r="L14" s="21"/>
      <c r="M14" s="21">
        <f t="shared" si="0"/>
        <v>5852.0801432801427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8.7736213654096867E-2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0.6482183100153166</v>
      </c>
      <c r="C18" s="23"/>
      <c r="D18" s="23">
        <f t="shared" ref="D18:M18" si="1">D14*D16</f>
        <v>2.4467503438190952</v>
      </c>
      <c r="E18" s="23">
        <f t="shared" si="1"/>
        <v>93.106657890845227</v>
      </c>
      <c r="F18" s="23"/>
      <c r="G18" s="23">
        <f t="shared" si="1"/>
        <v>29636.604346459269</v>
      </c>
      <c r="H18" s="23">
        <f t="shared" si="1"/>
        <v>4599.5177140518454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4.5908115115454572E-3</v>
      </c>
      <c r="H50" s="323">
        <f t="shared" si="2"/>
        <v>0</v>
      </c>
      <c r="I50" s="323">
        <f t="shared" si="2"/>
        <v>0</v>
      </c>
      <c r="J50" s="323">
        <f t="shared" si="2"/>
        <v>0</v>
      </c>
      <c r="K50" s="323">
        <f t="shared" si="2"/>
        <v>0</v>
      </c>
      <c r="L50" s="323">
        <f t="shared" si="2"/>
        <v>0</v>
      </c>
      <c r="M50" s="323">
        <f t="shared" si="2"/>
        <v>2.0416461665949265E-4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4.5908115115454572E-3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2.0416461665949265E-4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1275.225419873738</v>
      </c>
      <c r="H54" s="21">
        <f t="shared" si="3"/>
        <v>0</v>
      </c>
      <c r="I54" s="21">
        <f t="shared" si="3"/>
        <v>0</v>
      </c>
      <c r="J54" s="21">
        <f t="shared" si="3"/>
        <v>0</v>
      </c>
      <c r="K54" s="21">
        <f t="shared" si="3"/>
        <v>0</v>
      </c>
      <c r="L54" s="21">
        <f t="shared" si="3"/>
        <v>0</v>
      </c>
      <c r="M54" s="21">
        <f t="shared" si="3"/>
        <v>56.712393516525736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8.7736213654096867E-2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340.48518710628809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4146.2197360605714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44190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48336.219736060571</v>
      </c>
      <c r="C9" s="580">
        <f t="shared" ref="C9:L9" si="0">SUM(C7:C8)</f>
        <v>0</v>
      </c>
      <c r="D9" s="580">
        <f t="shared" si="0"/>
        <v>0</v>
      </c>
      <c r="E9" s="580">
        <f t="shared" si="0"/>
        <v>0</v>
      </c>
      <c r="F9" s="580">
        <f t="shared" si="0"/>
        <v>0</v>
      </c>
      <c r="G9" s="580">
        <f t="shared" si="0"/>
        <v>0</v>
      </c>
      <c r="H9" s="580">
        <f t="shared" si="0"/>
        <v>0</v>
      </c>
      <c r="I9" s="580">
        <f t="shared" si="0"/>
        <v>0</v>
      </c>
      <c r="J9" s="580">
        <f t="shared" si="0"/>
        <v>110475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71069</v>
      </c>
      <c r="C63" s="839">
        <v>3945</v>
      </c>
      <c r="D63" s="660" t="s">
        <v>878</v>
      </c>
      <c r="E63" s="660" t="s">
        <v>879</v>
      </c>
      <c r="F63" s="660" t="s">
        <v>880</v>
      </c>
      <c r="G63" s="660" t="s">
        <v>881</v>
      </c>
      <c r="H63" s="660" t="s">
        <v>882</v>
      </c>
      <c r="I63" s="660" t="s">
        <v>883</v>
      </c>
      <c r="J63" s="838">
        <v>40742</v>
      </c>
      <c r="K63" s="838">
        <v>40774</v>
      </c>
      <c r="L63" s="660" t="s">
        <v>884</v>
      </c>
      <c r="M63" s="660">
        <v>9820</v>
      </c>
      <c r="N63" s="660">
        <v>44190</v>
      </c>
      <c r="O63" s="660">
        <v>0</v>
      </c>
      <c r="P63" s="660">
        <v>0</v>
      </c>
      <c r="Q63" s="660">
        <v>0</v>
      </c>
      <c r="R63" s="660">
        <v>0</v>
      </c>
      <c r="S63" s="660">
        <v>0</v>
      </c>
      <c r="T63" s="660">
        <v>0</v>
      </c>
      <c r="U63" s="660">
        <v>0</v>
      </c>
      <c r="V63" s="660">
        <v>110475</v>
      </c>
      <c r="W63" s="660">
        <v>0</v>
      </c>
      <c r="X63" s="660">
        <v>16000</v>
      </c>
      <c r="Y63" s="660" t="s">
        <v>33</v>
      </c>
      <c r="Z63" s="661" t="s">
        <v>390</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9820</v>
      </c>
      <c r="N88" s="615">
        <f t="shared" ref="N88:W88" si="5">SUM(N63:N87)</f>
        <v>44190</v>
      </c>
      <c r="O88" s="615">
        <f t="shared" si="5"/>
        <v>0</v>
      </c>
      <c r="P88" s="615">
        <f t="shared" si="5"/>
        <v>0</v>
      </c>
      <c r="Q88" s="615">
        <f t="shared" si="5"/>
        <v>0</v>
      </c>
      <c r="R88" s="615">
        <f t="shared" si="5"/>
        <v>0</v>
      </c>
      <c r="S88" s="615">
        <f t="shared" si="5"/>
        <v>0</v>
      </c>
      <c r="T88" s="615">
        <f t="shared" si="5"/>
        <v>0</v>
      </c>
      <c r="U88" s="615">
        <f t="shared" si="5"/>
        <v>0</v>
      </c>
      <c r="V88" s="615">
        <f t="shared" si="5"/>
        <v>110475</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9820</v>
      </c>
      <c r="N89" s="615">
        <f t="shared" ref="N89:W89" si="6">SUMIF($Z$63:$Z$87,"industrie",N63:N87)</f>
        <v>44190</v>
      </c>
      <c r="O89" s="615">
        <f t="shared" si="6"/>
        <v>0</v>
      </c>
      <c r="P89" s="615">
        <f t="shared" si="6"/>
        <v>0</v>
      </c>
      <c r="Q89" s="615">
        <f t="shared" si="6"/>
        <v>0</v>
      </c>
      <c r="R89" s="615">
        <f t="shared" si="6"/>
        <v>0</v>
      </c>
      <c r="S89" s="615">
        <f t="shared" si="6"/>
        <v>0</v>
      </c>
      <c r="T89" s="615">
        <f t="shared" si="6"/>
        <v>0</v>
      </c>
      <c r="U89" s="615">
        <f t="shared" si="6"/>
        <v>0</v>
      </c>
      <c r="V89" s="615">
        <f t="shared" si="6"/>
        <v>110475</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11016.227000000001</v>
      </c>
      <c r="D10" s="704">
        <f ca="1">tertiair!C16</f>
        <v>0</v>
      </c>
      <c r="E10" s="704">
        <f ca="1">tertiair!D16</f>
        <v>4694.4896680000002</v>
      </c>
      <c r="F10" s="704">
        <f>tertiair!E16</f>
        <v>139.94126823499425</v>
      </c>
      <c r="G10" s="704">
        <f ca="1">tertiair!F16</f>
        <v>1934.9660563059219</v>
      </c>
      <c r="H10" s="704">
        <f>tertiair!G16</f>
        <v>0</v>
      </c>
      <c r="I10" s="704">
        <f>tertiair!H16</f>
        <v>0</v>
      </c>
      <c r="J10" s="704">
        <f>tertiair!I16</f>
        <v>0</v>
      </c>
      <c r="K10" s="704">
        <f>tertiair!J16</f>
        <v>0</v>
      </c>
      <c r="L10" s="704">
        <f>tertiair!K16</f>
        <v>0</v>
      </c>
      <c r="M10" s="704">
        <f ca="1">tertiair!L16</f>
        <v>0</v>
      </c>
      <c r="N10" s="704">
        <f>tertiair!M16</f>
        <v>0</v>
      </c>
      <c r="O10" s="704">
        <f ca="1">tertiair!N16</f>
        <v>454.13282445882817</v>
      </c>
      <c r="P10" s="704">
        <f>tertiair!O16</f>
        <v>0</v>
      </c>
      <c r="Q10" s="705">
        <f>tertiair!P16</f>
        <v>0</v>
      </c>
      <c r="R10" s="707">
        <f ca="1">SUM(C10:Q10)</f>
        <v>18239.756816999747</v>
      </c>
      <c r="S10" s="67"/>
    </row>
    <row r="11" spans="1:19" s="459" customFormat="1">
      <c r="A11" s="858" t="s">
        <v>225</v>
      </c>
      <c r="B11" s="863"/>
      <c r="C11" s="704">
        <f>huishoudens!B8</f>
        <v>18696.152125503017</v>
      </c>
      <c r="D11" s="704">
        <f>huishoudens!C8</f>
        <v>0</v>
      </c>
      <c r="E11" s="704">
        <f>huishoudens!D8</f>
        <v>28709.512655999999</v>
      </c>
      <c r="F11" s="704">
        <f>huishoudens!E8</f>
        <v>2602.986017144061</v>
      </c>
      <c r="G11" s="704">
        <f>huishoudens!F8</f>
        <v>36552.184045840644</v>
      </c>
      <c r="H11" s="704">
        <f>huishoudens!G8</f>
        <v>0</v>
      </c>
      <c r="I11" s="704">
        <f>huishoudens!H8</f>
        <v>0</v>
      </c>
      <c r="J11" s="704">
        <f>huishoudens!I8</f>
        <v>0</v>
      </c>
      <c r="K11" s="704">
        <f>huishoudens!J8</f>
        <v>0</v>
      </c>
      <c r="L11" s="704">
        <f>huishoudens!K8</f>
        <v>0</v>
      </c>
      <c r="M11" s="704">
        <f>huishoudens!L8</f>
        <v>0</v>
      </c>
      <c r="N11" s="704">
        <f>huishoudens!M8</f>
        <v>0</v>
      </c>
      <c r="O11" s="704">
        <f>huishoudens!N8</f>
        <v>12895.035880768457</v>
      </c>
      <c r="P11" s="704">
        <f>huishoudens!O8</f>
        <v>201.67000000000004</v>
      </c>
      <c r="Q11" s="705">
        <f>huishoudens!P8</f>
        <v>533.86666666666667</v>
      </c>
      <c r="R11" s="707">
        <f>SUM(C11:Q11)</f>
        <v>100191.40739192284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50141.320999999996</v>
      </c>
      <c r="D13" s="704">
        <f>industrie!C18</f>
        <v>0</v>
      </c>
      <c r="E13" s="704">
        <f>industrie!D18</f>
        <v>1026.324464</v>
      </c>
      <c r="F13" s="704">
        <f>industrie!E18</f>
        <v>242.65663796702529</v>
      </c>
      <c r="G13" s="704">
        <f>industrie!F18</f>
        <v>2602.6860995778929</v>
      </c>
      <c r="H13" s="704">
        <f>industrie!G18</f>
        <v>0</v>
      </c>
      <c r="I13" s="704">
        <f>industrie!H18</f>
        <v>0</v>
      </c>
      <c r="J13" s="704">
        <f>industrie!I18</f>
        <v>0</v>
      </c>
      <c r="K13" s="704">
        <f>industrie!J18</f>
        <v>26.991405969128053</v>
      </c>
      <c r="L13" s="704">
        <f>industrie!K18</f>
        <v>0</v>
      </c>
      <c r="M13" s="704">
        <f>industrie!L18</f>
        <v>0</v>
      </c>
      <c r="N13" s="704">
        <f>industrie!M18</f>
        <v>0</v>
      </c>
      <c r="O13" s="704">
        <f>industrie!N18</f>
        <v>0</v>
      </c>
      <c r="P13" s="704">
        <f>industrie!O18</f>
        <v>0</v>
      </c>
      <c r="Q13" s="705">
        <f>industrie!P18</f>
        <v>0</v>
      </c>
      <c r="R13" s="707">
        <f>SUM(C13:Q13)</f>
        <v>54039.97960751404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79853.700125503005</v>
      </c>
      <c r="D15" s="709">
        <f t="shared" ref="D15:Q15" ca="1" si="0">SUM(D9:D14)</f>
        <v>0</v>
      </c>
      <c r="E15" s="709">
        <f t="shared" ca="1" si="0"/>
        <v>34430.326787999998</v>
      </c>
      <c r="F15" s="709">
        <f t="shared" si="0"/>
        <v>2985.5839233460806</v>
      </c>
      <c r="G15" s="709">
        <f t="shared" ca="1" si="0"/>
        <v>41089.836201724458</v>
      </c>
      <c r="H15" s="709">
        <f t="shared" si="0"/>
        <v>0</v>
      </c>
      <c r="I15" s="709">
        <f t="shared" si="0"/>
        <v>0</v>
      </c>
      <c r="J15" s="709">
        <f t="shared" si="0"/>
        <v>0</v>
      </c>
      <c r="K15" s="709">
        <f t="shared" si="0"/>
        <v>26.991405969128053</v>
      </c>
      <c r="L15" s="709">
        <f t="shared" si="0"/>
        <v>0</v>
      </c>
      <c r="M15" s="709">
        <f t="shared" ca="1" si="0"/>
        <v>0</v>
      </c>
      <c r="N15" s="709">
        <f t="shared" si="0"/>
        <v>0</v>
      </c>
      <c r="O15" s="709">
        <f t="shared" ca="1" si="0"/>
        <v>13349.168705227285</v>
      </c>
      <c r="P15" s="709">
        <f t="shared" si="0"/>
        <v>201.67000000000004</v>
      </c>
      <c r="Q15" s="710">
        <f t="shared" si="0"/>
        <v>533.86666666666667</v>
      </c>
      <c r="R15" s="711">
        <f ca="1">SUM(R9:R14)</f>
        <v>172471.14381643664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1275.225419873738</v>
      </c>
      <c r="I18" s="704">
        <f>transport!H54</f>
        <v>0</v>
      </c>
      <c r="J18" s="704">
        <f>transport!I54</f>
        <v>0</v>
      </c>
      <c r="K18" s="704">
        <f>transport!J54</f>
        <v>0</v>
      </c>
      <c r="L18" s="704">
        <f>transport!K54</f>
        <v>0</v>
      </c>
      <c r="M18" s="704">
        <f>transport!L54</f>
        <v>0</v>
      </c>
      <c r="N18" s="704">
        <f>transport!M54</f>
        <v>56.712393516525736</v>
      </c>
      <c r="O18" s="704">
        <f>transport!N54</f>
        <v>0</v>
      </c>
      <c r="P18" s="704">
        <f>transport!O54</f>
        <v>0</v>
      </c>
      <c r="Q18" s="705">
        <f>transport!P54</f>
        <v>0</v>
      </c>
      <c r="R18" s="707">
        <f>SUM(C18:Q18)</f>
        <v>1331.9378133902637</v>
      </c>
      <c r="S18" s="67"/>
    </row>
    <row r="19" spans="1:19" s="459" customFormat="1" ht="15" thickBot="1">
      <c r="A19" s="858" t="s">
        <v>307</v>
      </c>
      <c r="B19" s="863"/>
      <c r="C19" s="713">
        <f>transport!B14</f>
        <v>7.3882640134316748</v>
      </c>
      <c r="D19" s="713">
        <f>transport!C14</f>
        <v>0</v>
      </c>
      <c r="E19" s="713">
        <f>transport!D14</f>
        <v>12.112625464450966</v>
      </c>
      <c r="F19" s="713">
        <f>transport!E14</f>
        <v>410.16148850592612</v>
      </c>
      <c r="G19" s="713">
        <f>transport!F14</f>
        <v>0</v>
      </c>
      <c r="H19" s="713">
        <f>transport!G14</f>
        <v>110998.51815153284</v>
      </c>
      <c r="I19" s="713">
        <f>transport!H14</f>
        <v>18471.958690971267</v>
      </c>
      <c r="J19" s="713">
        <f>transport!I14</f>
        <v>0</v>
      </c>
      <c r="K19" s="713">
        <f>transport!J14</f>
        <v>0</v>
      </c>
      <c r="L19" s="713">
        <f>transport!K14</f>
        <v>0</v>
      </c>
      <c r="M19" s="713">
        <f>transport!L14</f>
        <v>0</v>
      </c>
      <c r="N19" s="713">
        <f>transport!M14</f>
        <v>5852.0801432801427</v>
      </c>
      <c r="O19" s="713">
        <f>transport!N14</f>
        <v>0</v>
      </c>
      <c r="P19" s="713">
        <f>transport!O14</f>
        <v>0</v>
      </c>
      <c r="Q19" s="714">
        <f>transport!P14</f>
        <v>0</v>
      </c>
      <c r="R19" s="715">
        <f>SUM(C19:Q19)</f>
        <v>135752.21936376806</v>
      </c>
      <c r="S19" s="67"/>
    </row>
    <row r="20" spans="1:19" s="459" customFormat="1" ht="15.75" thickBot="1">
      <c r="A20" s="716" t="s">
        <v>230</v>
      </c>
      <c r="B20" s="866"/>
      <c r="C20" s="861">
        <f>SUM(C17:C19)</f>
        <v>7.3882640134316748</v>
      </c>
      <c r="D20" s="717">
        <f t="shared" ref="D20:R20" si="1">SUM(D17:D19)</f>
        <v>0</v>
      </c>
      <c r="E20" s="717">
        <f t="shared" si="1"/>
        <v>12.112625464450966</v>
      </c>
      <c r="F20" s="717">
        <f t="shared" si="1"/>
        <v>410.16148850592612</v>
      </c>
      <c r="G20" s="717">
        <f t="shared" si="1"/>
        <v>0</v>
      </c>
      <c r="H20" s="717">
        <f t="shared" si="1"/>
        <v>112273.74357140658</v>
      </c>
      <c r="I20" s="717">
        <f t="shared" si="1"/>
        <v>18471.958690971267</v>
      </c>
      <c r="J20" s="717">
        <f t="shared" si="1"/>
        <v>0</v>
      </c>
      <c r="K20" s="717">
        <f t="shared" si="1"/>
        <v>0</v>
      </c>
      <c r="L20" s="717">
        <f t="shared" si="1"/>
        <v>0</v>
      </c>
      <c r="M20" s="717">
        <f t="shared" si="1"/>
        <v>0</v>
      </c>
      <c r="N20" s="717">
        <f t="shared" si="1"/>
        <v>5908.7925367966682</v>
      </c>
      <c r="O20" s="717">
        <f t="shared" si="1"/>
        <v>0</v>
      </c>
      <c r="P20" s="717">
        <f t="shared" si="1"/>
        <v>0</v>
      </c>
      <c r="Q20" s="718">
        <f t="shared" si="1"/>
        <v>0</v>
      </c>
      <c r="R20" s="719">
        <f t="shared" si="1"/>
        <v>137084.15717715831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298.00700000000001</v>
      </c>
      <c r="D22" s="713">
        <f>+landbouw!C8</f>
        <v>0</v>
      </c>
      <c r="E22" s="713">
        <f>+landbouw!D8</f>
        <v>0</v>
      </c>
      <c r="F22" s="713">
        <f>+landbouw!E8</f>
        <v>3.7552721110730203</v>
      </c>
      <c r="G22" s="713">
        <f>+landbouw!F8</f>
        <v>1028.1988052143322</v>
      </c>
      <c r="H22" s="713">
        <f>+landbouw!G8</f>
        <v>0</v>
      </c>
      <c r="I22" s="713">
        <f>+landbouw!H8</f>
        <v>0</v>
      </c>
      <c r="J22" s="713">
        <f>+landbouw!I8</f>
        <v>0</v>
      </c>
      <c r="K22" s="713">
        <f>+landbouw!J8</f>
        <v>44.816865175984383</v>
      </c>
      <c r="L22" s="713">
        <f>+landbouw!K8</f>
        <v>0</v>
      </c>
      <c r="M22" s="713">
        <f>+landbouw!L8</f>
        <v>0</v>
      </c>
      <c r="N22" s="713">
        <f>+landbouw!M8</f>
        <v>0</v>
      </c>
      <c r="O22" s="713">
        <f>+landbouw!N8</f>
        <v>0</v>
      </c>
      <c r="P22" s="713">
        <f>+landbouw!O8</f>
        <v>0</v>
      </c>
      <c r="Q22" s="714">
        <f>+landbouw!P8</f>
        <v>0</v>
      </c>
      <c r="R22" s="715">
        <f>SUM(C22:Q22)</f>
        <v>1374.7779425013896</v>
      </c>
      <c r="S22" s="67"/>
    </row>
    <row r="23" spans="1:19" s="459" customFormat="1" ht="17.25" thickTop="1" thickBot="1">
      <c r="A23" s="720" t="s">
        <v>116</v>
      </c>
      <c r="B23" s="852"/>
      <c r="C23" s="721">
        <f ca="1">C20+C15+C22</f>
        <v>80159.095389516428</v>
      </c>
      <c r="D23" s="721">
        <f t="shared" ref="D23:Q23" ca="1" si="2">D20+D15+D22</f>
        <v>0</v>
      </c>
      <c r="E23" s="721">
        <f t="shared" ca="1" si="2"/>
        <v>34442.439413464446</v>
      </c>
      <c r="F23" s="721">
        <f t="shared" si="2"/>
        <v>3399.5006839630796</v>
      </c>
      <c r="G23" s="721">
        <f t="shared" ca="1" si="2"/>
        <v>42118.035006938793</v>
      </c>
      <c r="H23" s="721">
        <f t="shared" si="2"/>
        <v>112273.74357140658</v>
      </c>
      <c r="I23" s="721">
        <f t="shared" si="2"/>
        <v>18471.958690971267</v>
      </c>
      <c r="J23" s="721">
        <f t="shared" si="2"/>
        <v>0</v>
      </c>
      <c r="K23" s="721">
        <f t="shared" si="2"/>
        <v>71.808271145112428</v>
      </c>
      <c r="L23" s="721">
        <f t="shared" si="2"/>
        <v>0</v>
      </c>
      <c r="M23" s="721">
        <f t="shared" ca="1" si="2"/>
        <v>0</v>
      </c>
      <c r="N23" s="721">
        <f t="shared" si="2"/>
        <v>5908.7925367966682</v>
      </c>
      <c r="O23" s="721">
        <f t="shared" ca="1" si="2"/>
        <v>13349.168705227285</v>
      </c>
      <c r="P23" s="721">
        <f t="shared" si="2"/>
        <v>201.67000000000004</v>
      </c>
      <c r="Q23" s="722">
        <f t="shared" si="2"/>
        <v>533.86666666666667</v>
      </c>
      <c r="R23" s="723">
        <f ca="1">R20+R15+R22</f>
        <v>310930.07893609634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966.5220457340306</v>
      </c>
      <c r="D36" s="704">
        <f ca="1">tertiair!C20</f>
        <v>0</v>
      </c>
      <c r="E36" s="704">
        <f ca="1">tertiair!D20</f>
        <v>948.28691293600014</v>
      </c>
      <c r="F36" s="704">
        <f>tertiair!E20</f>
        <v>31.766667889343697</v>
      </c>
      <c r="G36" s="704">
        <f ca="1">tertiair!F20</f>
        <v>516.63593703368122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2463.2115635930559</v>
      </c>
    </row>
    <row r="37" spans="1:18">
      <c r="A37" s="873" t="s">
        <v>225</v>
      </c>
      <c r="B37" s="880"/>
      <c r="C37" s="704">
        <f ca="1">huishoudens!B12</f>
        <v>1640.3295973926299</v>
      </c>
      <c r="D37" s="704">
        <f ca="1">huishoudens!C12</f>
        <v>0</v>
      </c>
      <c r="E37" s="704">
        <f>huishoudens!D12</f>
        <v>5799.3215565119999</v>
      </c>
      <c r="F37" s="704">
        <f>huishoudens!E12</f>
        <v>590.87782589170183</v>
      </c>
      <c r="G37" s="704">
        <f>huishoudens!F12</f>
        <v>9759.4331402394528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17789.962120035783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4399.2096521546537</v>
      </c>
      <c r="D39" s="704">
        <f ca="1">industrie!C22</f>
        <v>0</v>
      </c>
      <c r="E39" s="704">
        <f>industrie!D22</f>
        <v>207.31754172800001</v>
      </c>
      <c r="F39" s="704">
        <f>industrie!E22</f>
        <v>55.083056818514741</v>
      </c>
      <c r="G39" s="704">
        <f>industrie!F22</f>
        <v>694.91718858729746</v>
      </c>
      <c r="H39" s="704">
        <f>industrie!G22</f>
        <v>0</v>
      </c>
      <c r="I39" s="704">
        <f>industrie!H22</f>
        <v>0</v>
      </c>
      <c r="J39" s="704">
        <f>industrie!I22</f>
        <v>0</v>
      </c>
      <c r="K39" s="704">
        <f>industrie!J22</f>
        <v>9.5549577130713299</v>
      </c>
      <c r="L39" s="704">
        <f>industrie!K22</f>
        <v>0</v>
      </c>
      <c r="M39" s="704">
        <f>industrie!L22</f>
        <v>0</v>
      </c>
      <c r="N39" s="704">
        <f>industrie!M22</f>
        <v>0</v>
      </c>
      <c r="O39" s="704">
        <f>industrie!N22</f>
        <v>0</v>
      </c>
      <c r="P39" s="704">
        <f>industrie!O22</f>
        <v>0</v>
      </c>
      <c r="Q39" s="814">
        <f>industrie!P22</f>
        <v>0</v>
      </c>
      <c r="R39" s="906">
        <f ca="1">SUM(C39:Q39)</f>
        <v>5366.0823970015372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7006.0612952813144</v>
      </c>
      <c r="D41" s="749">
        <f t="shared" ref="D41:R41" ca="1" si="4">SUM(D35:D40)</f>
        <v>0</v>
      </c>
      <c r="E41" s="749">
        <f t="shared" ca="1" si="4"/>
        <v>6954.9260111759995</v>
      </c>
      <c r="F41" s="749">
        <f t="shared" si="4"/>
        <v>677.72755059956023</v>
      </c>
      <c r="G41" s="749">
        <f t="shared" ca="1" si="4"/>
        <v>10970.986265860432</v>
      </c>
      <c r="H41" s="749">
        <f t="shared" si="4"/>
        <v>0</v>
      </c>
      <c r="I41" s="749">
        <f t="shared" si="4"/>
        <v>0</v>
      </c>
      <c r="J41" s="749">
        <f t="shared" si="4"/>
        <v>0</v>
      </c>
      <c r="K41" s="749">
        <f t="shared" si="4"/>
        <v>9.5549577130713299</v>
      </c>
      <c r="L41" s="749">
        <f t="shared" si="4"/>
        <v>0</v>
      </c>
      <c r="M41" s="749">
        <f t="shared" ca="1" si="4"/>
        <v>0</v>
      </c>
      <c r="N41" s="749">
        <f t="shared" si="4"/>
        <v>0</v>
      </c>
      <c r="O41" s="749">
        <f t="shared" ca="1" si="4"/>
        <v>0</v>
      </c>
      <c r="P41" s="749">
        <f t="shared" si="4"/>
        <v>0</v>
      </c>
      <c r="Q41" s="750">
        <f t="shared" si="4"/>
        <v>0</v>
      </c>
      <c r="R41" s="751">
        <f t="shared" ca="1" si="4"/>
        <v>25619.256080630377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340.48518710628809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340.48518710628809</v>
      </c>
    </row>
    <row r="45" spans="1:18" ht="15" thickBot="1">
      <c r="A45" s="876" t="s">
        <v>307</v>
      </c>
      <c r="B45" s="886"/>
      <c r="C45" s="713">
        <f ca="1">transport!B18</f>
        <v>0.6482183100153166</v>
      </c>
      <c r="D45" s="713">
        <f>transport!C18</f>
        <v>0</v>
      </c>
      <c r="E45" s="713">
        <f>transport!D18</f>
        <v>2.4467503438190952</v>
      </c>
      <c r="F45" s="713">
        <f>transport!E18</f>
        <v>93.106657890845227</v>
      </c>
      <c r="G45" s="713">
        <f>transport!F18</f>
        <v>0</v>
      </c>
      <c r="H45" s="713">
        <f>transport!G18</f>
        <v>29636.604346459269</v>
      </c>
      <c r="I45" s="713">
        <f>transport!H18</f>
        <v>4599.5177140518454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34332.323687055796</v>
      </c>
    </row>
    <row r="46" spans="1:18" ht="15.75" thickBot="1">
      <c r="A46" s="874" t="s">
        <v>230</v>
      </c>
      <c r="B46" s="887"/>
      <c r="C46" s="749">
        <f t="shared" ref="C46:R46" ca="1" si="5">SUM(C43:C45)</f>
        <v>0.6482183100153166</v>
      </c>
      <c r="D46" s="749">
        <f t="shared" ca="1" si="5"/>
        <v>0</v>
      </c>
      <c r="E46" s="749">
        <f t="shared" si="5"/>
        <v>2.4467503438190952</v>
      </c>
      <c r="F46" s="749">
        <f t="shared" si="5"/>
        <v>93.106657890845227</v>
      </c>
      <c r="G46" s="749">
        <f t="shared" si="5"/>
        <v>0</v>
      </c>
      <c r="H46" s="749">
        <f t="shared" si="5"/>
        <v>29977.089533565559</v>
      </c>
      <c r="I46" s="749">
        <f t="shared" si="5"/>
        <v>4599.5177140518454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34672.808874162081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26.146005822416445</v>
      </c>
      <c r="D48" s="704">
        <f ca="1">+landbouw!C12</f>
        <v>0</v>
      </c>
      <c r="E48" s="704">
        <f>+landbouw!D12</f>
        <v>0</v>
      </c>
      <c r="F48" s="704">
        <f>+landbouw!E12</f>
        <v>0.85244676921357565</v>
      </c>
      <c r="G48" s="704">
        <f>+landbouw!F12</f>
        <v>274.52908099222674</v>
      </c>
      <c r="H48" s="704">
        <f>+landbouw!G12</f>
        <v>0</v>
      </c>
      <c r="I48" s="704">
        <f>+landbouw!H12</f>
        <v>0</v>
      </c>
      <c r="J48" s="704">
        <f>+landbouw!I12</f>
        <v>0</v>
      </c>
      <c r="K48" s="704">
        <f>+landbouw!J12</f>
        <v>15.865170272298471</v>
      </c>
      <c r="L48" s="704">
        <f>+landbouw!K12</f>
        <v>0</v>
      </c>
      <c r="M48" s="704">
        <f>+landbouw!L12</f>
        <v>0</v>
      </c>
      <c r="N48" s="704">
        <f>+landbouw!M12</f>
        <v>0</v>
      </c>
      <c r="O48" s="704">
        <f>+landbouw!N12</f>
        <v>0</v>
      </c>
      <c r="P48" s="704">
        <f>+landbouw!O12</f>
        <v>0</v>
      </c>
      <c r="Q48" s="705">
        <f>+landbouw!P12</f>
        <v>0</v>
      </c>
      <c r="R48" s="747">
        <f ca="1">SUM(C48:Q48)</f>
        <v>317.39270385615526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7032.8555194137462</v>
      </c>
      <c r="D53" s="759">
        <f t="shared" ref="D53:Q53" ca="1" si="6">D41+D46+D48</f>
        <v>0</v>
      </c>
      <c r="E53" s="759">
        <f t="shared" ca="1" si="6"/>
        <v>6957.3727615198186</v>
      </c>
      <c r="F53" s="759">
        <f t="shared" si="6"/>
        <v>771.68665525961899</v>
      </c>
      <c r="G53" s="759">
        <f t="shared" ca="1" si="6"/>
        <v>11245.515346852659</v>
      </c>
      <c r="H53" s="759">
        <f t="shared" si="6"/>
        <v>29977.089533565559</v>
      </c>
      <c r="I53" s="759">
        <f t="shared" si="6"/>
        <v>4599.5177140518454</v>
      </c>
      <c r="J53" s="759">
        <f t="shared" si="6"/>
        <v>0</v>
      </c>
      <c r="K53" s="759">
        <f t="shared" si="6"/>
        <v>25.420127985369803</v>
      </c>
      <c r="L53" s="759">
        <f t="shared" si="6"/>
        <v>0</v>
      </c>
      <c r="M53" s="759">
        <f t="shared" ca="1" si="6"/>
        <v>0</v>
      </c>
      <c r="N53" s="759">
        <f t="shared" si="6"/>
        <v>0</v>
      </c>
      <c r="O53" s="759">
        <f t="shared" ca="1" si="6"/>
        <v>0</v>
      </c>
      <c r="P53" s="759">
        <f>P41+P46+P48</f>
        <v>0</v>
      </c>
      <c r="Q53" s="760">
        <f t="shared" si="6"/>
        <v>0</v>
      </c>
      <c r="R53" s="761">
        <f ca="1">R41+R46+R48</f>
        <v>60609.457658648607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8.7736213654096895E-2</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4146.2197360605714</v>
      </c>
      <c r="C66" s="781">
        <f>'lokale energieproductie'!B6</f>
        <v>4146.2197360605714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44190</v>
      </c>
      <c r="C68" s="780">
        <f>B68*IFERROR(SUM(J68:L68)/SUM(D68:M68),0)</f>
        <v>44190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110475</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48336.219736060571</v>
      </c>
      <c r="C69" s="789">
        <f>SUM(C64:C68)</f>
        <v>48336.219736060571</v>
      </c>
      <c r="D69" s="790">
        <f t="shared" ref="D69:M69" si="8">SUM(D67:D68)</f>
        <v>0</v>
      </c>
      <c r="E69" s="790">
        <f t="shared" si="8"/>
        <v>0</v>
      </c>
      <c r="F69" s="790">
        <f t="shared" si="8"/>
        <v>0</v>
      </c>
      <c r="G69" s="790">
        <f t="shared" si="8"/>
        <v>0</v>
      </c>
      <c r="H69" s="790">
        <f t="shared" si="8"/>
        <v>0</v>
      </c>
      <c r="I69" s="790">
        <f t="shared" si="8"/>
        <v>0</v>
      </c>
      <c r="J69" s="790">
        <f t="shared" si="8"/>
        <v>0</v>
      </c>
      <c r="K69" s="790">
        <f t="shared" si="8"/>
        <v>110475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18696.152125503017</v>
      </c>
      <c r="C4" s="463">
        <f>huishoudens!C8</f>
        <v>0</v>
      </c>
      <c r="D4" s="463">
        <f>huishoudens!D8</f>
        <v>28709.512655999999</v>
      </c>
      <c r="E4" s="463">
        <f>huishoudens!E8</f>
        <v>2602.986017144061</v>
      </c>
      <c r="F4" s="463">
        <f>huishoudens!F8</f>
        <v>36552.184045840644</v>
      </c>
      <c r="G4" s="463">
        <f>huishoudens!G8</f>
        <v>0</v>
      </c>
      <c r="H4" s="463">
        <f>huishoudens!H8</f>
        <v>0</v>
      </c>
      <c r="I4" s="463">
        <f>huishoudens!I8</f>
        <v>0</v>
      </c>
      <c r="J4" s="463">
        <f>huishoudens!J8</f>
        <v>0</v>
      </c>
      <c r="K4" s="463">
        <f>huishoudens!K8</f>
        <v>0</v>
      </c>
      <c r="L4" s="463">
        <f>huishoudens!L8</f>
        <v>0</v>
      </c>
      <c r="M4" s="463">
        <f>huishoudens!M8</f>
        <v>0</v>
      </c>
      <c r="N4" s="463">
        <f>huishoudens!N8</f>
        <v>12895.035880768457</v>
      </c>
      <c r="O4" s="463">
        <f>huishoudens!O8</f>
        <v>201.67000000000004</v>
      </c>
      <c r="P4" s="464">
        <f>huishoudens!P8</f>
        <v>533.86666666666667</v>
      </c>
      <c r="Q4" s="465">
        <f>SUM(B4:P4)</f>
        <v>100191.40739192284</v>
      </c>
    </row>
    <row r="5" spans="1:17">
      <c r="A5" s="462" t="s">
        <v>156</v>
      </c>
      <c r="B5" s="463">
        <f ca="1">tertiair!B16</f>
        <v>10468.997000000001</v>
      </c>
      <c r="C5" s="463">
        <f ca="1">tertiair!C16</f>
        <v>0</v>
      </c>
      <c r="D5" s="463">
        <f ca="1">tertiair!D16</f>
        <v>4694.4896680000002</v>
      </c>
      <c r="E5" s="463">
        <f>tertiair!E16</f>
        <v>139.94126823499425</v>
      </c>
      <c r="F5" s="463">
        <f ca="1">tertiair!F16</f>
        <v>1934.9660563059219</v>
      </c>
      <c r="G5" s="463">
        <f>tertiair!G16</f>
        <v>0</v>
      </c>
      <c r="H5" s="463">
        <f>tertiair!H16</f>
        <v>0</v>
      </c>
      <c r="I5" s="463">
        <f>tertiair!I16</f>
        <v>0</v>
      </c>
      <c r="J5" s="463">
        <f>tertiair!J16</f>
        <v>0</v>
      </c>
      <c r="K5" s="463">
        <f>tertiair!K16</f>
        <v>0</v>
      </c>
      <c r="L5" s="463">
        <f ca="1">tertiair!L16</f>
        <v>0</v>
      </c>
      <c r="M5" s="463">
        <f>tertiair!M16</f>
        <v>0</v>
      </c>
      <c r="N5" s="463">
        <f ca="1">tertiair!N16</f>
        <v>454.13282445882817</v>
      </c>
      <c r="O5" s="463">
        <f>tertiair!O16</f>
        <v>0</v>
      </c>
      <c r="P5" s="464">
        <f>tertiair!P16</f>
        <v>0</v>
      </c>
      <c r="Q5" s="462">
        <f t="shared" ref="Q5:Q13" ca="1" si="0">SUM(B5:P5)</f>
        <v>17692.526816999747</v>
      </c>
    </row>
    <row r="6" spans="1:17">
      <c r="A6" s="462" t="s">
        <v>194</v>
      </c>
      <c r="B6" s="463">
        <f>'openbare verlichting'!B8</f>
        <v>547.23</v>
      </c>
      <c r="C6" s="463"/>
      <c r="D6" s="463"/>
      <c r="E6" s="463"/>
      <c r="F6" s="463"/>
      <c r="G6" s="463"/>
      <c r="H6" s="463"/>
      <c r="I6" s="463"/>
      <c r="J6" s="463"/>
      <c r="K6" s="463"/>
      <c r="L6" s="463"/>
      <c r="M6" s="463"/>
      <c r="N6" s="463"/>
      <c r="O6" s="463"/>
      <c r="P6" s="464"/>
      <c r="Q6" s="462">
        <f t="shared" si="0"/>
        <v>547.23</v>
      </c>
    </row>
    <row r="7" spans="1:17">
      <c r="A7" s="462" t="s">
        <v>112</v>
      </c>
      <c r="B7" s="463">
        <f>landbouw!B8</f>
        <v>298.00700000000001</v>
      </c>
      <c r="C7" s="463">
        <f>landbouw!C8</f>
        <v>0</v>
      </c>
      <c r="D7" s="463">
        <f>landbouw!D8</f>
        <v>0</v>
      </c>
      <c r="E7" s="463">
        <f>landbouw!E8</f>
        <v>3.7552721110730203</v>
      </c>
      <c r="F7" s="463">
        <f>landbouw!F8</f>
        <v>1028.1988052143322</v>
      </c>
      <c r="G7" s="463">
        <f>landbouw!G8</f>
        <v>0</v>
      </c>
      <c r="H7" s="463">
        <f>landbouw!H8</f>
        <v>0</v>
      </c>
      <c r="I7" s="463">
        <f>landbouw!I8</f>
        <v>0</v>
      </c>
      <c r="J7" s="463">
        <f>landbouw!J8</f>
        <v>44.816865175984383</v>
      </c>
      <c r="K7" s="463">
        <f>landbouw!K8</f>
        <v>0</v>
      </c>
      <c r="L7" s="463">
        <f>landbouw!L8</f>
        <v>0</v>
      </c>
      <c r="M7" s="463">
        <f>landbouw!M8</f>
        <v>0</v>
      </c>
      <c r="N7" s="463">
        <f>landbouw!N8</f>
        <v>0</v>
      </c>
      <c r="O7" s="463">
        <f>landbouw!O8</f>
        <v>0</v>
      </c>
      <c r="P7" s="464">
        <f>landbouw!P8</f>
        <v>0</v>
      </c>
      <c r="Q7" s="462">
        <f t="shared" si="0"/>
        <v>1374.7779425013896</v>
      </c>
    </row>
    <row r="8" spans="1:17">
      <c r="A8" s="462" t="s">
        <v>657</v>
      </c>
      <c r="B8" s="463">
        <f>industrie!B18</f>
        <v>50141.320999999996</v>
      </c>
      <c r="C8" s="463">
        <f>industrie!C18</f>
        <v>0</v>
      </c>
      <c r="D8" s="463">
        <f>industrie!D18</f>
        <v>1026.324464</v>
      </c>
      <c r="E8" s="463">
        <f>industrie!E18</f>
        <v>242.65663796702529</v>
      </c>
      <c r="F8" s="463">
        <f>industrie!F18</f>
        <v>2602.6860995778929</v>
      </c>
      <c r="G8" s="463">
        <f>industrie!G18</f>
        <v>0</v>
      </c>
      <c r="H8" s="463">
        <f>industrie!H18</f>
        <v>0</v>
      </c>
      <c r="I8" s="463">
        <f>industrie!I18</f>
        <v>0</v>
      </c>
      <c r="J8" s="463">
        <f>industrie!J18</f>
        <v>26.991405969128053</v>
      </c>
      <c r="K8" s="463">
        <f>industrie!K18</f>
        <v>0</v>
      </c>
      <c r="L8" s="463">
        <f>industrie!L18</f>
        <v>0</v>
      </c>
      <c r="M8" s="463">
        <f>industrie!M18</f>
        <v>0</v>
      </c>
      <c r="N8" s="463">
        <f>industrie!N18</f>
        <v>0</v>
      </c>
      <c r="O8" s="463">
        <f>industrie!O18</f>
        <v>0</v>
      </c>
      <c r="P8" s="464">
        <f>industrie!P18</f>
        <v>0</v>
      </c>
      <c r="Q8" s="462">
        <f t="shared" si="0"/>
        <v>54039.97960751404</v>
      </c>
    </row>
    <row r="9" spans="1:17" s="468" customFormat="1">
      <c r="A9" s="466" t="s">
        <v>574</v>
      </c>
      <c r="B9" s="467">
        <f>transport!B14</f>
        <v>7.3882640134316748</v>
      </c>
      <c r="C9" s="467"/>
      <c r="D9" s="467">
        <f>transport!D14</f>
        <v>12.112625464450966</v>
      </c>
      <c r="E9" s="467">
        <f>transport!E14</f>
        <v>410.16148850592612</v>
      </c>
      <c r="F9" s="467"/>
      <c r="G9" s="467">
        <f>transport!G14</f>
        <v>110998.51815153284</v>
      </c>
      <c r="H9" s="467">
        <f>transport!H14</f>
        <v>18471.958690971267</v>
      </c>
      <c r="I9" s="467"/>
      <c r="J9" s="467"/>
      <c r="K9" s="467"/>
      <c r="L9" s="467"/>
      <c r="M9" s="467">
        <f>transport!M14</f>
        <v>5852.0801432801427</v>
      </c>
      <c r="N9" s="467"/>
      <c r="O9" s="467"/>
      <c r="P9" s="467"/>
      <c r="Q9" s="466">
        <f>SUM(B9:P9)</f>
        <v>135752.21936376806</v>
      </c>
    </row>
    <row r="10" spans="1:17">
      <c r="A10" s="462" t="s">
        <v>564</v>
      </c>
      <c r="B10" s="463">
        <f>transport!B54</f>
        <v>0</v>
      </c>
      <c r="C10" s="463"/>
      <c r="D10" s="463">
        <f>transport!D54</f>
        <v>0</v>
      </c>
      <c r="E10" s="463"/>
      <c r="F10" s="463"/>
      <c r="G10" s="463">
        <f>transport!G54</f>
        <v>1275.225419873738</v>
      </c>
      <c r="H10" s="463"/>
      <c r="I10" s="463"/>
      <c r="J10" s="463"/>
      <c r="K10" s="463"/>
      <c r="L10" s="463"/>
      <c r="M10" s="463">
        <f>transport!M54</f>
        <v>56.712393516525736</v>
      </c>
      <c r="N10" s="463"/>
      <c r="O10" s="463"/>
      <c r="P10" s="464"/>
      <c r="Q10" s="462">
        <f t="shared" si="0"/>
        <v>1331.9378133902637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80159.095389516442</v>
      </c>
      <c r="C14" s="473">
        <f t="shared" ref="C14:Q14" ca="1" si="1">SUM(C4:C13)</f>
        <v>0</v>
      </c>
      <c r="D14" s="473">
        <f t="shared" ca="1" si="1"/>
        <v>34442.439413464446</v>
      </c>
      <c r="E14" s="473">
        <f t="shared" si="1"/>
        <v>3399.5006839630796</v>
      </c>
      <c r="F14" s="473">
        <f t="shared" ca="1" si="1"/>
        <v>42118.035006938793</v>
      </c>
      <c r="G14" s="473">
        <f t="shared" si="1"/>
        <v>112273.74357140658</v>
      </c>
      <c r="H14" s="473">
        <f t="shared" si="1"/>
        <v>18471.958690971267</v>
      </c>
      <c r="I14" s="473">
        <f t="shared" si="1"/>
        <v>0</v>
      </c>
      <c r="J14" s="473">
        <f t="shared" si="1"/>
        <v>71.808271145112428</v>
      </c>
      <c r="K14" s="473">
        <f t="shared" si="1"/>
        <v>0</v>
      </c>
      <c r="L14" s="473">
        <f t="shared" ca="1" si="1"/>
        <v>0</v>
      </c>
      <c r="M14" s="473">
        <f t="shared" si="1"/>
        <v>5908.7925367966682</v>
      </c>
      <c r="N14" s="473">
        <f t="shared" ca="1" si="1"/>
        <v>13349.168705227285</v>
      </c>
      <c r="O14" s="473">
        <f t="shared" si="1"/>
        <v>201.67000000000004</v>
      </c>
      <c r="P14" s="474">
        <f t="shared" si="1"/>
        <v>533.86666666666667</v>
      </c>
      <c r="Q14" s="474">
        <f t="shared" ca="1" si="1"/>
        <v>310930.07893609634</v>
      </c>
    </row>
    <row r="16" spans="1:17">
      <c r="A16" s="476" t="s">
        <v>569</v>
      </c>
      <c r="B16" s="829">
        <f ca="1">huishoudens!B10</f>
        <v>8.7736213654096867E-2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1640.3295973926299</v>
      </c>
      <c r="C21" s="463">
        <f t="shared" ref="C21:C28" ca="1" si="3">C4*$C$16</f>
        <v>0</v>
      </c>
      <c r="D21" s="463">
        <f t="shared" ref="D21:D30" si="4">D4*$D$16</f>
        <v>5799.3215565119999</v>
      </c>
      <c r="E21" s="463">
        <f t="shared" ref="E21:E30" si="5">E4*$E$16</f>
        <v>590.87782589170183</v>
      </c>
      <c r="F21" s="463">
        <f t="shared" ref="F21:F28" si="6">F4*$F$16</f>
        <v>9759.4331402394528</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17789.962120035783</v>
      </c>
    </row>
    <row r="22" spans="1:17">
      <c r="A22" s="462" t="s">
        <v>156</v>
      </c>
      <c r="B22" s="463">
        <f t="shared" ca="1" si="2"/>
        <v>918.5101575360992</v>
      </c>
      <c r="C22" s="463">
        <f t="shared" ca="1" si="3"/>
        <v>0</v>
      </c>
      <c r="D22" s="463">
        <f t="shared" ca="1" si="4"/>
        <v>948.28691293600014</v>
      </c>
      <c r="E22" s="463">
        <f t="shared" si="5"/>
        <v>31.766667889343697</v>
      </c>
      <c r="F22" s="463">
        <f t="shared" ca="1" si="6"/>
        <v>516.63593703368122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2415.1996753951244</v>
      </c>
    </row>
    <row r="23" spans="1:17">
      <c r="A23" s="462" t="s">
        <v>194</v>
      </c>
      <c r="B23" s="463">
        <f t="shared" ca="1" si="2"/>
        <v>48.011888197931434</v>
      </c>
      <c r="C23" s="463"/>
      <c r="D23" s="463"/>
      <c r="E23" s="463"/>
      <c r="F23" s="463"/>
      <c r="G23" s="463"/>
      <c r="H23" s="463"/>
      <c r="I23" s="463"/>
      <c r="J23" s="463"/>
      <c r="K23" s="463"/>
      <c r="L23" s="463"/>
      <c r="M23" s="463"/>
      <c r="N23" s="463"/>
      <c r="O23" s="463"/>
      <c r="P23" s="464"/>
      <c r="Q23" s="462">
        <f t="shared" ca="1" si="17"/>
        <v>48.011888197931434</v>
      </c>
    </row>
    <row r="24" spans="1:17">
      <c r="A24" s="462" t="s">
        <v>112</v>
      </c>
      <c r="B24" s="463">
        <f t="shared" ca="1" si="2"/>
        <v>26.146005822416445</v>
      </c>
      <c r="C24" s="463">
        <f t="shared" ca="1" si="3"/>
        <v>0</v>
      </c>
      <c r="D24" s="463">
        <f t="shared" si="4"/>
        <v>0</v>
      </c>
      <c r="E24" s="463">
        <f t="shared" si="5"/>
        <v>0.85244676921357565</v>
      </c>
      <c r="F24" s="463">
        <f t="shared" si="6"/>
        <v>274.52908099222674</v>
      </c>
      <c r="G24" s="463">
        <f t="shared" si="7"/>
        <v>0</v>
      </c>
      <c r="H24" s="463">
        <f t="shared" si="8"/>
        <v>0</v>
      </c>
      <c r="I24" s="463">
        <f t="shared" si="9"/>
        <v>0</v>
      </c>
      <c r="J24" s="463">
        <f t="shared" si="10"/>
        <v>15.865170272298471</v>
      </c>
      <c r="K24" s="463">
        <f t="shared" si="11"/>
        <v>0</v>
      </c>
      <c r="L24" s="463">
        <f t="shared" si="12"/>
        <v>0</v>
      </c>
      <c r="M24" s="463">
        <f t="shared" si="13"/>
        <v>0</v>
      </c>
      <c r="N24" s="463">
        <f t="shared" si="14"/>
        <v>0</v>
      </c>
      <c r="O24" s="463">
        <f t="shared" si="15"/>
        <v>0</v>
      </c>
      <c r="P24" s="464">
        <f t="shared" si="16"/>
        <v>0</v>
      </c>
      <c r="Q24" s="462">
        <f t="shared" ca="1" si="17"/>
        <v>317.39270385615526</v>
      </c>
    </row>
    <row r="25" spans="1:17">
      <c r="A25" s="462" t="s">
        <v>657</v>
      </c>
      <c r="B25" s="463">
        <f t="shared" ca="1" si="2"/>
        <v>4399.2096521546537</v>
      </c>
      <c r="C25" s="463">
        <f t="shared" ca="1" si="3"/>
        <v>0</v>
      </c>
      <c r="D25" s="463">
        <f t="shared" si="4"/>
        <v>207.31754172800001</v>
      </c>
      <c r="E25" s="463">
        <f t="shared" si="5"/>
        <v>55.083056818514741</v>
      </c>
      <c r="F25" s="463">
        <f t="shared" si="6"/>
        <v>694.91718858729746</v>
      </c>
      <c r="G25" s="463">
        <f t="shared" si="7"/>
        <v>0</v>
      </c>
      <c r="H25" s="463">
        <f t="shared" si="8"/>
        <v>0</v>
      </c>
      <c r="I25" s="463">
        <f t="shared" si="9"/>
        <v>0</v>
      </c>
      <c r="J25" s="463">
        <f t="shared" si="10"/>
        <v>9.5549577130713299</v>
      </c>
      <c r="K25" s="463">
        <f t="shared" si="11"/>
        <v>0</v>
      </c>
      <c r="L25" s="463">
        <f t="shared" si="12"/>
        <v>0</v>
      </c>
      <c r="M25" s="463">
        <f t="shared" si="13"/>
        <v>0</v>
      </c>
      <c r="N25" s="463">
        <f t="shared" si="14"/>
        <v>0</v>
      </c>
      <c r="O25" s="463">
        <f t="shared" si="15"/>
        <v>0</v>
      </c>
      <c r="P25" s="464">
        <f t="shared" si="16"/>
        <v>0</v>
      </c>
      <c r="Q25" s="462">
        <f t="shared" ca="1" si="17"/>
        <v>5366.0823970015372</v>
      </c>
    </row>
    <row r="26" spans="1:17" s="468" customFormat="1">
      <c r="A26" s="466" t="s">
        <v>574</v>
      </c>
      <c r="B26" s="823">
        <f t="shared" ca="1" si="2"/>
        <v>0.6482183100153166</v>
      </c>
      <c r="C26" s="467"/>
      <c r="D26" s="467">
        <f t="shared" si="4"/>
        <v>2.4467503438190952</v>
      </c>
      <c r="E26" s="467">
        <f t="shared" si="5"/>
        <v>93.106657890845227</v>
      </c>
      <c r="F26" s="467"/>
      <c r="G26" s="467">
        <f t="shared" si="7"/>
        <v>29636.604346459269</v>
      </c>
      <c r="H26" s="467">
        <f t="shared" si="8"/>
        <v>4599.5177140518454</v>
      </c>
      <c r="I26" s="467"/>
      <c r="J26" s="467"/>
      <c r="K26" s="467"/>
      <c r="L26" s="467"/>
      <c r="M26" s="467">
        <f t="shared" si="13"/>
        <v>0</v>
      </c>
      <c r="N26" s="467"/>
      <c r="O26" s="467"/>
      <c r="P26" s="478"/>
      <c r="Q26" s="466">
        <f t="shared" ca="1" si="17"/>
        <v>34332.323687055796</v>
      </c>
    </row>
    <row r="27" spans="1:17">
      <c r="A27" s="462" t="s">
        <v>564</v>
      </c>
      <c r="B27" s="463">
        <f t="shared" ca="1" si="2"/>
        <v>0</v>
      </c>
      <c r="C27" s="463"/>
      <c r="D27" s="467">
        <f t="shared" si="4"/>
        <v>0</v>
      </c>
      <c r="E27" s="463"/>
      <c r="F27" s="463"/>
      <c r="G27" s="463">
        <f t="shared" si="7"/>
        <v>340.48518710628809</v>
      </c>
      <c r="H27" s="463"/>
      <c r="I27" s="463"/>
      <c r="J27" s="463"/>
      <c r="K27" s="463"/>
      <c r="L27" s="463"/>
      <c r="M27" s="463">
        <f t="shared" si="13"/>
        <v>0</v>
      </c>
      <c r="N27" s="463"/>
      <c r="O27" s="463"/>
      <c r="P27" s="464"/>
      <c r="Q27" s="462">
        <f t="shared" ca="1" si="17"/>
        <v>340.48518710628809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7032.8555194137462</v>
      </c>
      <c r="C31" s="473">
        <f t="shared" ca="1" si="18"/>
        <v>0</v>
      </c>
      <c r="D31" s="473">
        <f t="shared" ca="1" si="18"/>
        <v>6957.3727615198186</v>
      </c>
      <c r="E31" s="473">
        <f t="shared" si="18"/>
        <v>771.68665525961899</v>
      </c>
      <c r="F31" s="473">
        <f t="shared" ca="1" si="18"/>
        <v>11245.515346852659</v>
      </c>
      <c r="G31" s="473">
        <f t="shared" si="18"/>
        <v>29977.089533565559</v>
      </c>
      <c r="H31" s="473">
        <f t="shared" si="18"/>
        <v>4599.5177140518454</v>
      </c>
      <c r="I31" s="473">
        <f t="shared" si="18"/>
        <v>0</v>
      </c>
      <c r="J31" s="473">
        <f t="shared" si="18"/>
        <v>25.420127985369803</v>
      </c>
      <c r="K31" s="473">
        <f t="shared" si="18"/>
        <v>0</v>
      </c>
      <c r="L31" s="473">
        <f t="shared" ca="1" si="18"/>
        <v>0</v>
      </c>
      <c r="M31" s="473">
        <f t="shared" si="18"/>
        <v>0</v>
      </c>
      <c r="N31" s="473">
        <f t="shared" ca="1" si="18"/>
        <v>0</v>
      </c>
      <c r="O31" s="473">
        <f t="shared" si="18"/>
        <v>0</v>
      </c>
      <c r="P31" s="474">
        <f t="shared" si="18"/>
        <v>0</v>
      </c>
      <c r="Q31" s="474">
        <f t="shared" ca="1" si="18"/>
        <v>60609.457658648615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8.7736213654096867E-2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8.7736213654096867E-2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8.7736213654096867E-2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2019-01-02T18:05:43Z</dcterms:modified>
</cp:coreProperties>
</file>