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<sst xmlns="http://schemas.openxmlformats.org/spreadsheetml/2006/main" count="2196" uniqueCount="899">
  <si>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</si>
  <si>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</si>
  <si>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</si>
  <si>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</si>
  <si>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</si>
  <si>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</si>
  <si>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</si>
  <si>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</si>
  <si>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</si>
  <si>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</si>
  <si>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</si>
  <si>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</si>
  <si>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</si>
  <si>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</si>
  <si>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</si>
  <si>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</si>
  <si>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</si>
  <si>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</si>
  <si>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</si>
  <si>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</si>
  <si>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</si>
  <si>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</si>
  <si>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</si>
  <si>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</si>
  <si>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</si>
  <si>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</si>
  <si>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</si>
  <si>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</si>
  <si>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</si>
  <si>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</si>
  <si>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</si>
  <si>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</si>
  <si>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</si>
  <si>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</si>
  <si>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</si>
  <si>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</si>
  <si>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</si>
  <si>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</si>
  <si>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</si>
  <si>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</si>
  <si>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</si>
  <si>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</si>
  <si>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</si>
  <si>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</si>
  <si>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</si>
  <si>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</si>
  <si>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</si>
  <si>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</si>
  <si>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</si>
  <si>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</si>
  <si>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</si>
  <si>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</si>
  <si>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</si>
  <si>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</si>
  <si>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</si>
  <si>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</si>
  <si>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</si>
  <si>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</si>
  <si>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</si>
  <si>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</si>
  <si>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</si>
  <si>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</si>
  <si>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</si>
  <si>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</si>
  <si>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</si>
  <si>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</si>
  <si>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</si>
  <si>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</si>
  <si>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</si>
  <si>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</si>
  <si>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</si>
  <si>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</si>
  <si>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</si>
  <si>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</si>
  <si>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</si>
  <si>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</si>
  <si>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</si>
  <si>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</si>
  <si>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</si>
  <si>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</si>
  <si>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</si>
  <si>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</si>
  <si>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</si>
  <si>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</si>
  <si>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</si>
  <si>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</si>
  <si>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</si>
  <si>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</si>
  <si>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</si>
  <si>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</si>
  <si>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</si>
  <si>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</si>
  <si>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</si>
  <si>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</si>
  <si>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</si>
  <si>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</si>
  <si>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</si>
  <si>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</si>
  <si>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</si>
  <si>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</si>
  <si>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</si>
  <si>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</si>
  <si>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</si>
  <si>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</si>
  <si>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</si>
  <si>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</si>
  <si>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</si>
  <si>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</si>
  <si>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</si>
  <si>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</si>
  <si>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</si>
  <si>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</si>
  <si>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</si>
  <si>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</si>
  <si>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</si>
  <si>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</si>
  <si>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</si>
  <si>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</si>
  <si>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</si>
  <si>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</si>
  <si>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</si>
  <si>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</si>
  <si>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</si>
  <si>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</si>
  <si>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</si>
  <si>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</si>
  <si>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</si>
  <si>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</si>
  <si>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</si>
  <si>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</si>
  <si>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</si>
  <si>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</si>
  <si>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</si>
  <si>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</si>
  <si>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</si>
  <si>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</si>
  <si>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</si>
  <si>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</si>
  <si>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</si>
  <si>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</si>
  <si>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</si>
  <si>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</si>
  <si>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</si>
  <si>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</si>
  <si>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</si>
  <si>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</si>
  <si>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</si>
  <si>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</si>
  <si>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</si>
  <si>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</si>
  <si>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</si>
  <si>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</si>
  <si>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</si>
  <si>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</si>
  <si>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</si>
  <si>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</si>
  <si>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</si>
  <si>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</si>
  <si>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</si>
  <si>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</si>
  <si>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</si>
  <si>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</si>
  <si>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</si>
  <si>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</si>
  <si>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</si>
  <si>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</si>
  <si>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</si>
  <si>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</si>
  <si>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</si>
  <si>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</si>
  <si>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</si>
  <si>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</si>
  <si>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</si>
  <si>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</si>
  <si>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</si>
  <si>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</si>
  <si>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</si>
  <si>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</si>
  <si>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</si>
  <si>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</si>
  <si>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</si>
  <si>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</si>
  <si>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</si>
  <si>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</si>
  <si>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</si>
  <si>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</si>
  <si>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</si>
  <si>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</si>
  <si>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</si>
  <si>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</si>
  <si>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</si>
  <si>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</si>
  <si>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</si>
  <si>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</si>
  <si>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</si>
  <si>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</si>
  <si>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</si>
  <si>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</si>
  <si>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</si>
  <si>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</si>
  <si>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</si>
  <si>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</si>
  <si>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</si>
  <si>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</si>
  <si>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</si>
  <si>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</si>
  <si>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</si>
  <si>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</si>
  <si>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</si>
  <si>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</si>
  <si>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</si>
  <si>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</si>
  <si>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</si>
  <si>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</si>
  <si>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</si>
  <si>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</si>
  <si>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</si>
  <si>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</si>
  <si>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</si>
  <si>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</si>
  <si>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</si>
  <si>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</si>
  <si>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</si>
  <si>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</si>
  <si>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</si>
  <si>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</si>
  <si>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</si>
  <si>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</si>
  <si>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</si>
  <si>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</si>
  <si>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</si>
  <si>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</si>
  <si>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</si>
  <si>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</si>
  <si>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</si>
  <si>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</si>
  <si>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</si>
  <si>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</si>
  <si>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</si>
  <si>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</si>
  <si>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</si>
  <si>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</si>
  <si>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</si>
  <si>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</si>
  <si>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</si>
  <si>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</si>
  <si>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</si>
  <si>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</si>
  <si>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</si>
  <si>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</si>
  <si>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</si>
  <si>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</si>
  <si>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</si>
  <si>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</si>
  <si>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</si>
  <si>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</si>
  <si>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</si>
  <si>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</si>
  <si>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</si>
  <si>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</si>
  <si>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</si>
  <si>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</si>
  <si>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</si>
  <si>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</si>
  <si>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</si>
  <si>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</si>
  <si>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</si>
  <si>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</si>
  <si>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</si>
  <si>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</si>
  <si>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</si>
  <si>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</si>
  <si>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</si>
  <si>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</si>
  <si>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</si>
  <si>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</si>
  <si>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</si>
  <si>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</si>
  <si>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</si>
  <si>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</si>
  <si>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</si>
  <si>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</si>
  <si>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</si>
  <si>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</si>
  <si>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</si>
  <si>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</si>
  <si>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</si>
  <si>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</si>
  <si>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</si>
  <si>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</si>
  <si>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</si>
  <si>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</si>
  <si>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</si>
  <si>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</si>
  <si>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</si>
  <si>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</si>
  <si>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</si>
  <si>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</si>
  <si>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</si>
  <si>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</si>
  <si>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</si>
  <si>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</si>
  <si>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</si>
  <si>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</si>
  <si>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</si>
  <si>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</si>
  <si>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</si>
  <si>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</si>
  <si>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</si>
  <si>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</si>
  <si>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</si>
  <si>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</si>
  <si>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</si>
  <si>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</si>
  <si>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</si>
  <si>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</si>
  <si>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</si>
  <si>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</si>
  <si>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</si>
  <si>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</si>
  <si>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</si>
  <si>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</si>
  <si>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</si>
  <si>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</si>
  <si>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</si>
  <si>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</si>
  <si>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</si>
  <si>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</si>
  <si>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</si>
  <si>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</si>
  <si>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</si>
  <si>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</si>
  <si>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</si>
  <si>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</si>
  <si>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</si>
  <si>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</si>
  <si>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</si>
  <si>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</si>
  <si>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</si>
  <si>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</si>
  <si>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</si>
  <si>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</si>
  <si>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</si>
  <si>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</si>
  <si>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</si>
  <si>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</si>
  <si>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</si>
  <si>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</si>
  <si>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</si>
  <si>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</si>
  <si>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</si>
  <si>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</si>
  <si>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</si>
  <si>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</si>
  <si>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</si>
  <si>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</si>
  <si>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</si>
  <si>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</si>
  <si>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</si>
  <si>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</si>
  <si>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</si>
  <si>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</si>
  <si>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</si>
  <si>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</si>
  <si>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</si>
  <si>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</si>
  <si>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</si>
  <si>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</si>
  <si>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</si>
  <si>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</si>
  <si>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</si>
  <si>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</si>
  <si>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</si>
  <si>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</si>
  <si>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</si>
  <si>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</si>
  <si>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</si>
  <si>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</si>
  <si>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</si>
  <si>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</si>
  <si>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</si>
  <si>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</si>
  <si>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</si>
  <si>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</si>
  <si>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</si>
  <si>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</si>
  <si>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</si>
  <si>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</si>
  <si>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</si>
  <si>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</si>
  <si>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</si>
  <si>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</si>
  <si>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</si>
  <si>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</si>
  <si>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</si>
  <si>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</si>
  <si>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</si>
  <si>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</si>
  <si>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</si>
  <si>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</si>
  <si>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</si>
  <si>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</si>
  <si>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</si>
  <si>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</si>
  <si>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</si>
  <si>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</si>
  <si>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</si>
  <si>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</si>
  <si>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</si>
  <si>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</si>
  <si>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</si>
  <si>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</si>
  <si>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</si>
  <si>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</si>
  <si>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</si>
  <si>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</si>
  <si>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</si>
  <si>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</si>
  <si>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</si>
  <si>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</si>
  <si>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</si>
  <si>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</si>
  <si>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</si>
  <si>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</si>
  <si>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</si>
  <si>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</si>
  <si>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</si>
  <si>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</si>
  <si>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</si>
  <si>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</si>
  <si>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</si>
  <si>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</si>
  <si>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</si>
  <si>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</si>
  <si>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</si>
  <si>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</si>
  <si>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</si>
  <si>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</si>
  <si>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</si>
  <si>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</si>
  <si>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</si>
  <si>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</si>
  <si>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</si>
  <si>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</si>
  <si>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</si>
  <si>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</si>
  <si>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</si>
  <si>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</si>
  <si>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</si>
  <si>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</si>
  <si>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</si>
  <si>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</si>
  <si>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</si>
  <si>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</si>
  <si>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</si>
  <si>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</si>
  <si>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</si>
  <si>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</si>
  <si>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</si>
  <si>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</si>
  <si>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</si>
  <si>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</si>
  <si>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</si>
  <si>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</si>
  <si>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</si>
  <si>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</si>
  <si>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</si>
  <si>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</si>
  <si>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</si>
  <si>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</si>
  <si>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</si>
  <si>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</si>
  <si>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</si>
  <si>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</si>
  <si>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</si>
  <si>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</si>
  <si>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</si>
  <si>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</si>
  <si>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</si>
  <si>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</si>
  <si>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</si>
  <si>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</si>
  <si>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</si>
  <si>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</si>
  <si>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</si>
  <si>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</si>
  <si>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</si>
  <si>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</si>
  <si>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</si>
  <si>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</si>
  <si>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</si>
  <si>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</si>
  <si>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</si>
  <si>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</si>
  <si>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</si>
  <si>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</si>
  <si>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</si>
  <si>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</si>
  <si>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</si>
  <si>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</si>
  <si>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</si>
  <si>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</si>
  <si>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</si>
  <si>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</si>
  <si>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</si>
  <si>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</si>
  <si>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</si>
  <si>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</si>
  <si>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</si>
  <si>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</si>
  <si>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</si>
  <si>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</si>
  <si>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</si>
  <si>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</si>
  <si>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</si>
  <si>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</si>
  <si>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</si>
  <si>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</si>
  <si>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</si>
  <si>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</si>
  <si>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</si>
  <si>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</si>
  <si>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</si>
  <si>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</si>
  <si>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</si>
  <si>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</si>
  <si>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</si>
  <si>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</si>
  <si>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</si>
  <si>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</si>
  <si>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</si>
  <si>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</si>
  <si>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</si>
  <si>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</si>
  <si>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</si>
  <si>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</si>
  <si>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</si>
  <si>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</si>
  <si>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</si>
  <si>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</si>
  <si>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</si>
  <si>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</si>
  <si>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</si>
  <si>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</si>
  <si>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</si>
  <si>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</si>
  <si>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</si>
  <si>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</si>
  <si>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</si>
  <si>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</si>
  <si>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</si>
  <si>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</si>
  <si>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</si>
  <si>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</si>
  <si>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</si>
  <si>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</si>
  <si>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</si>
  <si>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</si>
  <si>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</si>
  <si>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</si>
  <si>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</si>
  <si>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</si>
  <si>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</si>
  <si>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</si>
  <si>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</si>
  <si>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</si>
  <si>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</si>
  <si>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</si>
  <si>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</si>
  <si>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</si>
  <si>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</si>
  <si>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</si>
  <si>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</si>
  <si>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</si>
  <si>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</si>
  <si>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</si>
  <si>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</si>
  <si>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</si>
  <si>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</si>
  <si>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</si>
  <si>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</si>
  <si>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</si>
  <si>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</si>
  <si>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</si>
  <si>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</si>
  <si>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</si>
  <si>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</si>
  <si>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</si>
  <si>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</si>
  <si>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</si>
  <si>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</si>
  <si>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</si>
  <si>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</si>
  <si>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</si>
  <si>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</si>
  <si>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</si>
  <si>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</si>
  <si>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</si>
  <si>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</si>
  <si>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</si>
  <si>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</si>
  <si>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</si>
  <si>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</si>
  <si>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</si>
  <si>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</si>
  <si>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</si>
  <si>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</si>
  <si>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</si>
  <si>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</si>
  <si>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</si>
  <si>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</si>
  <si>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</si>
  <si>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</si>
  <si>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</si>
  <si>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</si>
  <si>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</si>
  <si>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</si>
  <si>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</si>
  <si>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</si>
  <si>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</si>
  <si>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</si>
  <si>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</si>
  <si>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</si>
  <si>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</si>
  <si>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</si>
  <si>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</si>
  <si>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</si>
  <si>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</si>
  <si>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</si>
  <si>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</si>
  <si>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</si>
  <si>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</si>
  <si>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</si>
  <si>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</si>
  <si>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</si>
  <si>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</si>
  <si>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</si>
  <si>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</si>
  <si>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</si>
  <si>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</si>
  <si>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</si>
  <si>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</si>
  <si>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</si>
  <si>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</si>
  <si>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</si>
  <si>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</si>
  <si>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</si>
  <si>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</si>
  <si>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</si>
  <si>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</si>
  <si>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</si>
  <si>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</si>
  <si>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</si>
  <si>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</si>
  <si>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</si>
  <si>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</si>
  <si>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</si>
  <si>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</si>
  <si>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</si>
  <si>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</si>
  <si>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</si>
  <si>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</si>
  <si>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</si>
  <si>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</si>
  <si>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</si>
  <si>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</si>
  <si>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</si>
  <si>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</si>
  <si>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</si>
  <si>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</si>
  <si>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</si>
  <si>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</si>
  <si>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</si>
  <si>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</si>
  <si>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</si>
  <si>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</si>
  <si>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</si>
  <si>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</si>
  <si>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</si>
  <si>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</si>
  <si>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</si>
  <si>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</si>
  <si>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</si>
  <si>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</si>
  <si>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</si>
  <si>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</si>
  <si>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</si>
  <si>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</si>
  <si>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</si>
  <si>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</si>
  <si>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</si>
  <si>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</si>
  <si>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</si>
  <si>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</si>
  <si>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</si>
  <si>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</si>
  <si>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</si>
  <si>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</si>
  <si>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</si>
  <si>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</si>
  <si>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</si>
  <si>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</si>
  <si>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</si>
  <si>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</si>
  <si>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</si>
  <si>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</si>
  <si>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</si>
  <si>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</si>
  <si>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</si>
  <si>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</si>
  <si>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</si>
  <si>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</si>
  <si>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</si>
  <si>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</si>
  <si>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</si>
  <si>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</si>
  <si>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</si>
  <si>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</si>
  <si>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</si>
  <si>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</si>
  <si>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</si>
  <si>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</si>
  <si>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</si>
  <si>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</si>
  <si>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</si>
  <si>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</si>
  <si>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</si>
  <si>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</si>
  <si>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</si>
  <si>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</si>
  <si>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</si>
  <si>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</si>
  <si>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</si>
  <si>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</si>
  <si>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</si>
  <si>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</si>
  <si>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</si>
  <si>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</si>
  <si>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</si>
  <si>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</si>
  <si>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</si>
  <si>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</si>
  <si>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</si>
  <si>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</si>
  <si>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</si>
  <si>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</si>
  <si>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</si>
  <si>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</si>
  <si>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</si>
  <si>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</si>
  <si>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</si>
  <si>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</si>
  <si>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</si>
  <si>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</si>
  <si>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</si>
  <si>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</si>
  <si>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</si>
  <si>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</si>
  <si>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</si>
  <si>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</si>
  <si>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</si>
  <si>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</si>
  <si>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</si>
  <si>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</si>
  <si>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</si>
  <si>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</si>
  <si>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</si>
  <si>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</si>
  <si>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</si>
  <si>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</si>
  <si>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</si>
  <si>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</si>
  <si>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</si>
  <si>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</si>
  <si>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</si>
  <si>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</si>
  <si>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</si>
  <si>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</si>
  <si>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</si>
  <si>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</si>
  <si>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</si>
  <si>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</si>
  <si>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</si>
  <si>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</si>
  <si>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</si>
  <si>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</si>
  <si>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</si>
  <si>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</si>
  <si>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</si>
  <si>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</si>
  <si>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</si>
  <si>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</si>
  <si>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</si>
  <si>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</si>
  <si>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</si>
  <si>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</si>
  <si>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</si>
  <si>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</si>
  <si>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</si>
  <si>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</si>
  <si>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</si>
  <si>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</si>
  <si>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</si>
  <si>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</si>
  <si>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</si>
  <si>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</si>
  <si>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</si>
  <si>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</si>
  <si>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</si>
  <si>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</si>
  <si>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</si>
  <si>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</si>
  <si>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</si>
  <si>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</si>
  <si>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</si>
  <si>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</si>
  <si>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</si>
  <si>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</si>
  <si>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</si>
  <si>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</si>
  <si>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</si>
  <si>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</si>
  <si>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</si>
  <si>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</si>
  <si>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</si>
  <si>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</si>
  <si>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</si>
  <si>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</si>
  <si>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</si>
  <si>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</si>
  <si>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</si>
  <si>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</si>
  <si>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</si>
  <si>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</si>
  <si>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</si>
  <si>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</si>
  <si>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</si>
  <si>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</si>
  <si>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</si>
  <si>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</si>
  <si>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</si>
  <si>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</si>
  <si>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</si>
  <si>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</si>
  <si>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</si>
  <si>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</si>
  <si>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</si>
  <si>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</si>
  <si>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</si>
  <si>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</si>
  <si>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</si>
  <si>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</si>
  <si>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</si>
  <si>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</si>
  <si>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</si>
  <si>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</si>
  <si>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</si>
  <si>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</si>
  <si>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</si>
  <si>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</si>
  <si>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</si>
  <si>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</si>
  <si>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</si>
  <si>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</si>
  <si>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</si>
  <si>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</si>
  <si>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</si>
  <si>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</si>
  <si>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</si>
  <si>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</si>
  <si>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</si>
  <si>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</si>
  <si>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</si>
  <si>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Cultuurgrond (ha)</t>
  </si>
  <si>
    <t>Paarden&amp;pony's 200 - 600 kg</t>
  </si>
  <si>
    <t>Paarden&amp;pony's &lt; 200 kg</t>
  </si>
  <si>
    <t>op basis van VEA (maart 2018) en Inventaris Hernieuwbare Energiebronnen (juni 2018)</t>
  </si>
  <si>
    <t>VEA (juni 2018)</t>
  </si>
  <si>
    <t>Roebben-Hendrickx</t>
  </si>
  <si>
    <t>Rapertingenstraat 5, 3500 Hasselt</t>
  </si>
  <si>
    <t>WKK-0093 Roebben-hendrickx</t>
  </si>
  <si>
    <t>interne verbrandingsmotor</t>
  </si>
  <si>
    <t>WKK interne verbrandinsgmotor (gas)</t>
  </si>
  <si>
    <t>Inter-Energa</t>
  </si>
  <si>
    <t>vzw Jessa Ziekenhuis</t>
  </si>
  <si>
    <t>Salvatorstraat 20, 3500 Hasselt</t>
  </si>
  <si>
    <t>WKK-0097 vzw Jessa Ziekenhuis (voorheen CAZ Midden-Limburg)</t>
  </si>
  <si>
    <t>Limburgs Galvano Technisch Bedrijf nv</t>
  </si>
  <si>
    <t>Albertkanaalstraat 139 , 3511 Kuringen</t>
  </si>
  <si>
    <t>WKK-0345 Limburgs Galvano Technisch Bedrijf</t>
  </si>
  <si>
    <t>Salvatorrusthuis VZW</t>
  </si>
  <si>
    <t>Ekkelgaarden 17 , 3500 Hasselt</t>
  </si>
  <si>
    <t>WKK-0387 Salvatorrusthuis</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</si>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</sst>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607835.67153075908</c:v>
                </c:pt>
                <c:pt idx="1">
                  <c:v>400053.26926154451</c:v>
                </c:pt>
                <c:pt idx="2">
                  <c:v>5052.1210000000001</c:v>
                </c:pt>
                <c:pt idx="3">
                  <c:v>11059.013300048795</c:v>
                </c:pt>
                <c:pt idx="4">
                  <c:v>221203.28003258203</c:v>
                </c:pt>
                <c:pt idx="5">
                  <c:v>560350.25957792229</c:v>
                </c:pt>
                <c:pt idx="6">
                  <c:v>18767.286760420822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1040"/>
        <c:axId val="162632832"/>
      </c:barChart>
      <c:catAx>
        <c:axId val="162631040"/>
        <c:scaling>
          <c:orientation val="minMax"/>
        </c:scaling>
        <c:axPos val="b"/>
        <c:numFmt formatCode="General" sourceLinked="0"/>
        <c:tickLblPos val="nextTo"/>
        <c:crossAx val="162632832"/>
        <c:crosses val="autoZero"/>
        <c:auto val="1"/>
        <c:lblAlgn val="ctr"/>
        <c:lblOffset val="100"/>
      </c:catAx>
      <c:valAx>
        <c:axId val="162632832"/>
        <c:scaling>
          <c:orientation val="minMax"/>
        </c:scaling>
        <c:axPos val="l"/>
        <c:majorGridlines/>
        <c:numFmt formatCode="#,##0" sourceLinked="1"/>
        <c:tickLblPos val="nextTo"/>
        <c:crossAx val="1626310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607835.67153075908</c:v>
                </c:pt>
                <c:pt idx="1">
                  <c:v>400053.26926154451</c:v>
                </c:pt>
                <c:pt idx="2">
                  <c:v>5052.1210000000001</c:v>
                </c:pt>
                <c:pt idx="3">
                  <c:v>11059.013300048795</c:v>
                </c:pt>
                <c:pt idx="4">
                  <c:v>221203.28003258203</c:v>
                </c:pt>
                <c:pt idx="5">
                  <c:v>560350.25957792229</c:v>
                </c:pt>
                <c:pt idx="6">
                  <c:v>18767.286760420822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120284.60479058578</c:v>
                </c:pt>
                <c:pt idx="1">
                  <c:v>81430.204070384993</c:v>
                </c:pt>
                <c:pt idx="2">
                  <c:v>1009.5854189313062</c:v>
                </c:pt>
                <c:pt idx="3">
                  <c:v>2688.8097074501179</c:v>
                </c:pt>
                <c:pt idx="4">
                  <c:v>43112.867624369101</c:v>
                </c:pt>
                <c:pt idx="5">
                  <c:v>141511.86241967007</c:v>
                </c:pt>
                <c:pt idx="6">
                  <c:v>4797.5086222940299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60192"/>
        <c:axId val="181231616"/>
      </c:barChart>
      <c:catAx>
        <c:axId val="181160192"/>
        <c:scaling>
          <c:orientation val="minMax"/>
        </c:scaling>
        <c:axPos val="b"/>
        <c:numFmt formatCode="General" sourceLinked="0"/>
        <c:tickLblPos val="nextTo"/>
        <c:crossAx val="181231616"/>
        <c:crosses val="autoZero"/>
        <c:auto val="1"/>
        <c:lblAlgn val="ctr"/>
        <c:lblOffset val="100"/>
      </c:catAx>
      <c:valAx>
        <c:axId val="181231616"/>
        <c:scaling>
          <c:orientation val="minMax"/>
        </c:scaling>
        <c:axPos val="l"/>
        <c:majorGridlines/>
        <c:numFmt formatCode="#,##0" sourceLinked="1"/>
        <c:tickLblPos val="nextTo"/>
        <c:crossAx val="181160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120284.60479058578</c:v>
                </c:pt>
                <c:pt idx="1">
                  <c:v>81430.204070384993</c:v>
                </c:pt>
                <c:pt idx="2">
                  <c:v>1009.5854189313062</c:v>
                </c:pt>
                <c:pt idx="3">
                  <c:v>2688.8097074501179</c:v>
                </c:pt>
                <c:pt idx="4">
                  <c:v>43112.867624369101</c:v>
                </c:pt>
                <c:pt idx="5">
                  <c:v>141511.86241967007</c:v>
                </c:pt>
                <c:pt idx="6">
                  <c:v>4797.5086222940299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675</v>
      </c>
      <c r="B2" s="402"/>
      <c r="C2" s="403"/>
    </row>
    <row r="3" spans="1:7" s="11" customFormat="1" ht="15" customHeight="1">
      <c r="A3" s="93"/>
      <c r="B3" s="74"/>
      <c r="C3" s="94"/>
    </row>
    <row r="4" spans="1:7" s="11" customFormat="1" ht="15.75" customHeight="1" thickBot="1">
      <c r="A4" s="105" t="s">
        <v>869</v>
      </c>
      <c r="B4" s="106"/>
      <c r="C4" s="107"/>
    </row>
    <row r="5" spans="1:7" s="396" customFormat="1" ht="15.75" customHeight="1">
      <c r="A5" s="393" t="s">
        <v>0</v>
      </c>
      <c r="B5" s="394"/>
      <c r="C5" s="395"/>
    </row>
    <row r="6" spans="1:7" s="396" customFormat="1" ht="15" customHeight="1">
      <c r="A6" s="397" t="str">
        <f>txtNIS</f>
        <v>71022</v>
      </c>
      <c r="B6" s="398"/>
      <c r="C6" s="399"/>
    </row>
    <row r="7" spans="1:7" s="396" customFormat="1" ht="15.75" customHeight="1">
      <c r="A7" s="400" t="str">
        <f>txtMunicipality</f>
        <v>HASSELT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677</v>
      </c>
      <c r="B10" s="1054"/>
      <c r="C10" s="1055"/>
    </row>
    <row r="11" spans="1:7" s="390" customFormat="1" ht="15.75" thickBot="1">
      <c r="A11" s="413" t="s">
        <v>360</v>
      </c>
      <c r="B11" s="416"/>
      <c r="C11" s="417"/>
      <c r="G11" s="391"/>
    </row>
    <row r="12" spans="1:7">
      <c r="A12" s="44"/>
      <c r="B12" s="43"/>
      <c r="C12" s="96"/>
    </row>
    <row r="13" spans="1:7" s="390" customFormat="1">
      <c r="A13" s="819" t="s">
        <v>631</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678</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588</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579</v>
      </c>
      <c r="B10" s="516"/>
      <c r="C10" s="142" t="s">
        <v>182</v>
      </c>
      <c r="D10" s="145" t="s">
        <v>392</v>
      </c>
      <c r="I10" s="1162"/>
      <c r="K10" s="58"/>
    </row>
    <row r="11" spans="1:11" s="43" customFormat="1">
      <c r="A11" s="44" t="s">
        <v>580</v>
      </c>
      <c r="B11" s="47"/>
      <c r="D11" s="143" t="s">
        <v>393</v>
      </c>
      <c r="I11" s="1162"/>
      <c r="K11" s="58"/>
    </row>
    <row r="12" spans="1:11" s="43" customFormat="1">
      <c r="A12" s="44" t="s">
        <v>581</v>
      </c>
      <c r="B12" s="47"/>
      <c r="D12" s="143" t="s">
        <v>393</v>
      </c>
      <c r="I12" s="1162"/>
      <c r="K12" s="58"/>
    </row>
    <row r="13" spans="1:11" s="43" customFormat="1">
      <c r="A13" s="44"/>
      <c r="B13" s="463"/>
      <c r="D13" s="96"/>
      <c r="I13" s="1162"/>
    </row>
    <row r="14" spans="1:11" s="43" customFormat="1">
      <c r="A14" s="306" t="s">
        <v>578</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589</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579</v>
      </c>
      <c r="B31" s="516"/>
      <c r="C31" s="142" t="s">
        <v>182</v>
      </c>
      <c r="D31" s="145" t="s">
        <v>392</v>
      </c>
    </row>
    <row r="32" spans="1:11">
      <c r="A32" s="452" t="s">
        <v>580</v>
      </c>
      <c r="B32" s="47"/>
      <c r="C32" s="48"/>
      <c r="D32" s="143" t="s">
        <v>393</v>
      </c>
    </row>
    <row r="33" spans="1:11">
      <c r="A33" s="44"/>
      <c r="B33" s="48"/>
      <c r="C33" s="48"/>
      <c r="D33" s="143"/>
    </row>
    <row r="34" spans="1:11" s="43" customFormat="1">
      <c r="A34" s="306" t="s">
        <v>578</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582</v>
      </c>
      <c r="B50" s="47"/>
      <c r="C50" s="32"/>
      <c r="D50" s="144" t="s">
        <v>394</v>
      </c>
    </row>
    <row r="51" spans="1:4">
      <c r="A51" s="44" t="s">
        <v>583</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584</v>
      </c>
      <c r="B57" s="47"/>
      <c r="C57" s="32"/>
      <c r="D57" s="143" t="s">
        <v>155</v>
      </c>
    </row>
    <row r="58" spans="1:4">
      <c r="A58" s="44" t="s">
        <v>585</v>
      </c>
      <c r="B58" s="47"/>
      <c r="C58" s="32"/>
      <c r="D58" s="143" t="s">
        <v>156</v>
      </c>
    </row>
    <row r="59" spans="1:4">
      <c r="A59" s="44" t="s">
        <v>586</v>
      </c>
      <c r="B59" s="47"/>
      <c r="C59" s="48"/>
      <c r="D59" s="143" t="s">
        <v>390</v>
      </c>
    </row>
    <row r="60" spans="1:4">
      <c r="A60" s="44" t="s">
        <v>587</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604</v>
      </c>
      <c r="B1" s="664"/>
      <c r="C1" s="664"/>
      <c r="D1" s="664"/>
      <c r="E1" s="665"/>
    </row>
    <row r="2" spans="1:5">
      <c r="A2" s="676" t="s">
        <v>395</v>
      </c>
      <c r="B2" s="681" t="s">
        <v>527</v>
      </c>
      <c r="C2" s="677"/>
      <c r="D2" s="677"/>
      <c r="E2" s="678"/>
    </row>
    <row r="3" spans="1:5">
      <c r="A3" s="679"/>
      <c r="B3" s="680"/>
      <c r="C3" s="668"/>
      <c r="D3" s="668"/>
      <c r="E3" s="669"/>
    </row>
    <row r="4" spans="1:5" s="335" customFormat="1" ht="45">
      <c r="A4" s="667" t="s">
        <v>608</v>
      </c>
      <c r="B4" s="675" t="s">
        <v>597</v>
      </c>
      <c r="C4" s="696" t="s">
        <v>619</v>
      </c>
      <c r="D4" s="697" t="s">
        <v>620</v>
      </c>
      <c r="E4" s="698" t="s">
        <v>621</v>
      </c>
    </row>
    <row r="5" spans="1:5">
      <c r="A5" s="670" t="s">
        <v>598</v>
      </c>
      <c r="B5" s="662" t="s">
        <v>599</v>
      </c>
      <c r="C5" s="693">
        <v>3.678273E-2</v>
      </c>
      <c r="D5" s="694">
        <v>0.27778000000000003</v>
      </c>
      <c r="E5" s="686">
        <f>C5*D5</f>
        <v>1.0217506739400001E-2</v>
      </c>
    </row>
    <row r="6" spans="1:5">
      <c r="A6" s="670" t="s">
        <v>598</v>
      </c>
      <c r="B6" s="662" t="s">
        <v>600</v>
      </c>
      <c r="C6" s="693">
        <v>4.2278999999999997E-2</v>
      </c>
      <c r="D6" s="694">
        <v>0.27778000000000003</v>
      </c>
      <c r="E6" s="686">
        <f t="shared" ref="E6:E21" si="0">C6*D6</f>
        <v>1.174426062E-2</v>
      </c>
    </row>
    <row r="7" spans="1:5">
      <c r="A7" s="670" t="s">
        <v>598</v>
      </c>
      <c r="B7" s="662" t="s">
        <v>601</v>
      </c>
      <c r="C7" s="693">
        <v>42.279000000000003</v>
      </c>
      <c r="D7" s="694">
        <v>0.27778000000000003</v>
      </c>
      <c r="E7" s="686">
        <f t="shared" si="0"/>
        <v>11.744260620000002</v>
      </c>
    </row>
    <row r="8" spans="1:5">
      <c r="A8" s="670" t="s">
        <v>602</v>
      </c>
      <c r="B8" s="662" t="s">
        <v>599</v>
      </c>
      <c r="C8" s="693">
        <v>3.8573799999999998E-2</v>
      </c>
      <c r="D8" s="694">
        <v>0.27778000000000003</v>
      </c>
      <c r="E8" s="686">
        <f t="shared" si="0"/>
        <v>1.0715030164E-2</v>
      </c>
    </row>
    <row r="9" spans="1:5">
      <c r="A9" s="670" t="s">
        <v>602</v>
      </c>
      <c r="B9" s="662" t="s">
        <v>600</v>
      </c>
      <c r="C9" s="693">
        <v>4.0604000000000001E-2</v>
      </c>
      <c r="D9" s="694">
        <v>0.27778000000000003</v>
      </c>
      <c r="E9" s="686">
        <f t="shared" si="0"/>
        <v>1.1278979120000001E-2</v>
      </c>
    </row>
    <row r="10" spans="1:5">
      <c r="A10" s="670" t="s">
        <v>602</v>
      </c>
      <c r="B10" s="662" t="s">
        <v>601</v>
      </c>
      <c r="C10" s="693">
        <v>40.603999999999999</v>
      </c>
      <c r="D10" s="694">
        <v>0.27778000000000003</v>
      </c>
      <c r="E10" s="686">
        <f t="shared" si="0"/>
        <v>11.278979120000001</v>
      </c>
    </row>
    <row r="11" spans="1:5">
      <c r="A11" s="670" t="s">
        <v>622</v>
      </c>
      <c r="B11" s="662" t="s">
        <v>599</v>
      </c>
      <c r="C11" s="693">
        <v>2.3511000000000001E-2</v>
      </c>
      <c r="D11" s="694">
        <v>0.27778000000000003</v>
      </c>
      <c r="E11" s="686">
        <f t="shared" si="0"/>
        <v>6.5308855800000004E-3</v>
      </c>
    </row>
    <row r="12" spans="1:5">
      <c r="A12" s="670" t="s">
        <v>622</v>
      </c>
      <c r="B12" s="662" t="s">
        <v>600</v>
      </c>
      <c r="C12" s="693">
        <v>4.6100000000000002E-2</v>
      </c>
      <c r="D12" s="694">
        <v>0.27778000000000003</v>
      </c>
      <c r="E12" s="686">
        <f t="shared" si="0"/>
        <v>1.2805658000000001E-2</v>
      </c>
    </row>
    <row r="13" spans="1:5">
      <c r="A13" s="670" t="s">
        <v>622</v>
      </c>
      <c r="B13" s="662" t="s">
        <v>601</v>
      </c>
      <c r="C13" s="693">
        <v>46.1</v>
      </c>
      <c r="D13" s="694">
        <v>0.27778000000000003</v>
      </c>
      <c r="E13" s="686">
        <f t="shared" si="0"/>
        <v>12.805658000000001</v>
      </c>
    </row>
    <row r="14" spans="1:5">
      <c r="A14" s="670" t="s">
        <v>623</v>
      </c>
      <c r="B14" s="662" t="s">
        <v>599</v>
      </c>
      <c r="C14" s="693">
        <v>2.6525139999999999E-2</v>
      </c>
      <c r="D14" s="694">
        <v>0.27778000000000003</v>
      </c>
      <c r="E14" s="686">
        <f t="shared" si="0"/>
        <v>7.3681533892000009E-3</v>
      </c>
    </row>
    <row r="15" spans="1:5">
      <c r="A15" s="670" t="s">
        <v>623</v>
      </c>
      <c r="B15" s="662" t="s">
        <v>600</v>
      </c>
      <c r="C15" s="693">
        <v>4.5733000000000003E-2</v>
      </c>
      <c r="D15" s="694">
        <v>0.27778000000000003</v>
      </c>
      <c r="E15" s="686">
        <f t="shared" si="0"/>
        <v>1.2703712740000001E-2</v>
      </c>
    </row>
    <row r="16" spans="1:5">
      <c r="A16" s="670" t="s">
        <v>623</v>
      </c>
      <c r="B16" s="662" t="s">
        <v>601</v>
      </c>
      <c r="C16" s="693">
        <v>45.732999999999997</v>
      </c>
      <c r="D16" s="694">
        <v>0.27778000000000003</v>
      </c>
      <c r="E16" s="686">
        <f t="shared" si="0"/>
        <v>12.70371274</v>
      </c>
    </row>
    <row r="17" spans="1:10">
      <c r="A17" s="670" t="s">
        <v>606</v>
      </c>
      <c r="B17" s="662" t="s">
        <v>603</v>
      </c>
      <c r="C17" s="693">
        <v>3.2923000000000001E-2</v>
      </c>
      <c r="D17" s="694">
        <f>0.27778</f>
        <v>0.27778000000000003</v>
      </c>
      <c r="E17" s="686">
        <f t="shared" si="0"/>
        <v>9.1453509400000015E-3</v>
      </c>
    </row>
    <row r="18" spans="1:10">
      <c r="A18" s="670" t="s">
        <v>607</v>
      </c>
      <c r="B18" s="662" t="s">
        <v>603</v>
      </c>
      <c r="C18" s="693">
        <v>3.8852400000000002E-2</v>
      </c>
      <c r="D18" s="694">
        <f>0.27778</f>
        <v>0.27778000000000003</v>
      </c>
      <c r="E18" s="686">
        <f t="shared" si="0"/>
        <v>1.0792419672000002E-2</v>
      </c>
    </row>
    <row r="19" spans="1:10">
      <c r="A19" s="670" t="s">
        <v>610</v>
      </c>
      <c r="B19" s="662" t="s">
        <v>599</v>
      </c>
      <c r="C19" s="693">
        <v>2.4812460000000001E-2</v>
      </c>
      <c r="D19" s="694">
        <v>0.27778000000000003</v>
      </c>
      <c r="E19" s="686">
        <f t="shared" si="0"/>
        <v>6.8924051388000009E-3</v>
      </c>
    </row>
    <row r="20" spans="1:10">
      <c r="A20" s="670" t="s">
        <v>610</v>
      </c>
      <c r="B20" s="662" t="s">
        <v>600</v>
      </c>
      <c r="C20" s="693">
        <v>4.5948999999999997E-2</v>
      </c>
      <c r="D20" s="694">
        <v>0.27778000000000003</v>
      </c>
      <c r="E20" s="686">
        <f t="shared" si="0"/>
        <v>1.276371322E-2</v>
      </c>
    </row>
    <row r="21" spans="1:10">
      <c r="A21" s="670" t="s">
        <v>610</v>
      </c>
      <c r="B21" s="662" t="s">
        <v>601</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605</v>
      </c>
      <c r="B24" s="664"/>
      <c r="C24" s="664"/>
      <c r="D24" s="664"/>
      <c r="E24" s="665"/>
    </row>
    <row r="25" spans="1:10">
      <c r="A25" s="690" t="s">
        <v>395</v>
      </c>
      <c r="B25" s="668" t="s">
        <v>676</v>
      </c>
      <c r="C25" s="668"/>
      <c r="D25" s="668"/>
      <c r="E25" s="669"/>
    </row>
    <row r="26" spans="1:10">
      <c r="A26" s="44"/>
      <c r="B26" s="43"/>
      <c r="C26" s="43"/>
      <c r="D26" s="43"/>
      <c r="E26" s="96"/>
    </row>
    <row r="27" spans="1:10" s="335" customFormat="1">
      <c r="A27" s="667" t="s">
        <v>608</v>
      </c>
      <c r="B27" s="675" t="s">
        <v>597</v>
      </c>
      <c r="C27" s="683"/>
      <c r="D27" s="682"/>
      <c r="E27" s="698" t="s">
        <v>612</v>
      </c>
    </row>
    <row r="28" spans="1:10">
      <c r="A28" s="670" t="s">
        <v>202</v>
      </c>
      <c r="B28" s="662" t="s">
        <v>599</v>
      </c>
      <c r="C28" s="684"/>
      <c r="D28" s="685"/>
      <c r="E28" s="692">
        <f>E29*0.853</f>
        <v>1.0116343055555555E-2</v>
      </c>
      <c r="G28" s="666"/>
      <c r="H28" s="840"/>
      <c r="I28" s="840"/>
      <c r="J28" s="840"/>
    </row>
    <row r="29" spans="1:10">
      <c r="A29" s="670" t="s">
        <v>202</v>
      </c>
      <c r="B29" s="662" t="s">
        <v>600</v>
      </c>
      <c r="C29" s="684"/>
      <c r="D29" s="685"/>
      <c r="E29" s="692">
        <f>0.042695/3.6</f>
        <v>1.1859722222222221E-2</v>
      </c>
      <c r="F29" s="970"/>
      <c r="G29" s="666"/>
      <c r="H29" s="840"/>
      <c r="I29" s="840"/>
      <c r="J29" s="840"/>
    </row>
    <row r="30" spans="1:10">
      <c r="A30" s="670" t="s">
        <v>120</v>
      </c>
      <c r="B30" s="662" t="s">
        <v>599</v>
      </c>
      <c r="C30" s="684"/>
      <c r="D30" s="685"/>
      <c r="E30" s="692">
        <f>E31*0.755</f>
        <v>9.1803805555555566E-3</v>
      </c>
      <c r="H30" s="840"/>
      <c r="I30" s="840"/>
      <c r="J30" s="840"/>
    </row>
    <row r="31" spans="1:10">
      <c r="A31" s="670" t="s">
        <v>120</v>
      </c>
      <c r="B31" s="662" t="s">
        <v>600</v>
      </c>
      <c r="C31" s="684"/>
      <c r="D31" s="685"/>
      <c r="E31" s="692">
        <f>0.043774/3.6</f>
        <v>1.2159444444444445E-2</v>
      </c>
      <c r="H31" s="840"/>
      <c r="I31" s="840"/>
      <c r="J31" s="840"/>
    </row>
    <row r="32" spans="1:10">
      <c r="A32" s="670" t="s">
        <v>610</v>
      </c>
      <c r="B32" s="662" t="s">
        <v>599</v>
      </c>
      <c r="C32" s="684"/>
      <c r="D32" s="685"/>
      <c r="E32" s="692">
        <f>E33*0.55</f>
        <v>7.1139444444444453E-3</v>
      </c>
      <c r="H32" s="840"/>
    </row>
    <row r="33" spans="1:8">
      <c r="A33" s="670" t="s">
        <v>610</v>
      </c>
      <c r="B33" s="662" t="s">
        <v>600</v>
      </c>
      <c r="C33" s="684"/>
      <c r="D33" s="685"/>
      <c r="E33" s="692">
        <f>0.046564/3.6</f>
        <v>1.2934444444444445E-2</v>
      </c>
      <c r="H33" s="840"/>
    </row>
    <row r="34" spans="1:8">
      <c r="A34" s="670" t="s">
        <v>611</v>
      </c>
      <c r="B34" s="662" t="s">
        <v>599</v>
      </c>
      <c r="C34" s="684"/>
      <c r="D34" s="685"/>
      <c r="E34" s="692">
        <f>E35*0.0007</f>
        <v>9.3333333333333326E-6</v>
      </c>
      <c r="H34" s="840"/>
    </row>
    <row r="35" spans="1:8">
      <c r="A35" s="670" t="s">
        <v>611</v>
      </c>
      <c r="B35" s="662" t="s">
        <v>600</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624</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682</v>
      </c>
      <c r="C21" s="131" t="s">
        <v>592</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71022</v>
      </c>
      <c r="B1" s="1258"/>
      <c r="C1" s="1258"/>
      <c r="D1" s="1258"/>
      <c r="E1" s="1258"/>
      <c r="F1" s="1259"/>
    </row>
    <row r="3" spans="1:6" ht="19.5">
      <c r="A3" s="1260" t="s">
        <v>0</v>
      </c>
    </row>
    <row r="4" spans="1:6" ht="22.5">
      <c r="A4" s="1261" t="s">
        <v>561</v>
      </c>
    </row>
    <row r="5" spans="1:6" ht="22.5">
      <c r="A5" s="1261" t="s">
        <v>562</v>
      </c>
    </row>
    <row r="6" spans="1:6" ht="15.75" thickBot="1"/>
    <row r="7" spans="1:6" ht="20.25" thickBot="1">
      <c r="A7" s="1262" t="s">
        <v>1</v>
      </c>
      <c r="B7" s="336" t="s">
        <v>395</v>
      </c>
      <c r="C7" s="336" t="s">
        <v>653</v>
      </c>
      <c r="D7" s="336"/>
      <c r="E7" s="336"/>
      <c r="F7" s="337"/>
    </row>
    <row r="8" spans="1:6" ht="16.5" thickTop="1" thickBot="1">
      <c r="A8" s="1263" t="s">
        <v>4</v>
      </c>
      <c r="B8" s="1264">
        <v>2013</v>
      </c>
      <c r="C8" s="1264">
        <v>2020</v>
      </c>
      <c r="D8" s="1258"/>
      <c r="E8" s="1258"/>
      <c r="F8" s="1259"/>
    </row>
    <row r="9" spans="1:6">
      <c r="A9" s="1265" t="s">
        <v>2</v>
      </c>
      <c r="B9" s="338">
        <v>34321</v>
      </c>
      <c r="C9" s="338">
        <v>36094</v>
      </c>
      <c r="D9" s="338"/>
      <c r="E9" s="338"/>
      <c r="F9" s="338"/>
    </row>
    <row r="10" spans="1:6">
      <c r="A10" s="339"/>
    </row>
    <row r="11" spans="1:6" ht="15.75" thickBot="1">
      <c r="A11" s="339"/>
    </row>
    <row r="12" spans="1:6" ht="20.25" thickBot="1">
      <c r="A12" s="1262" t="s">
        <v>3</v>
      </c>
      <c r="B12" s="336" t="s">
        <v>395</v>
      </c>
      <c r="C12" s="336" t="s">
        <v>685</v>
      </c>
      <c r="D12" s="336"/>
      <c r="E12" s="336"/>
      <c r="F12" s="340"/>
    </row>
    <row r="13" spans="1:6" ht="16.5" thickTop="1" thickBot="1">
      <c r="A13" s="1266" t="s">
        <v>4</v>
      </c>
      <c r="B13" s="1267" t="s">
        <v>5</v>
      </c>
      <c r="C13" s="1267"/>
      <c r="D13" s="1267"/>
      <c r="E13" s="1267"/>
      <c r="F13" s="1268"/>
    </row>
    <row r="14" spans="1:6">
      <c r="A14" s="1269" t="s">
        <v>873</v>
      </c>
      <c r="B14" s="335">
        <v>3077</v>
      </c>
    </row>
    <row r="15" spans="1:6">
      <c r="A15" s="1269" t="s">
        <v>184</v>
      </c>
      <c r="B15" s="335">
        <v>3863</v>
      </c>
    </row>
    <row r="16" spans="1:6">
      <c r="A16" s="1269" t="s">
        <v>6</v>
      </c>
      <c r="B16" s="335">
        <v>543</v>
      </c>
    </row>
    <row r="17" spans="1:6">
      <c r="A17" s="1269" t="s">
        <v>7</v>
      </c>
      <c r="B17" s="335">
        <v>330</v>
      </c>
    </row>
    <row r="18" spans="1:6">
      <c r="A18" s="1269" t="s">
        <v>8</v>
      </c>
      <c r="B18" s="335">
        <v>581</v>
      </c>
    </row>
    <row r="19" spans="1:6">
      <c r="A19" s="1269" t="s">
        <v>9</v>
      </c>
      <c r="B19" s="335">
        <v>539</v>
      </c>
    </row>
    <row r="20" spans="1:6">
      <c r="A20" s="1269" t="s">
        <v>10</v>
      </c>
      <c r="B20" s="335">
        <v>509</v>
      </c>
    </row>
    <row r="21" spans="1:6">
      <c r="A21" s="1269" t="s">
        <v>11</v>
      </c>
      <c r="B21" s="335">
        <v>1340</v>
      </c>
    </row>
    <row r="22" spans="1:6">
      <c r="A22" s="1269" t="s">
        <v>12</v>
      </c>
      <c r="B22" s="335">
        <v>3682</v>
      </c>
    </row>
    <row r="23" spans="1:6">
      <c r="A23" s="1269" t="s">
        <v>13</v>
      </c>
      <c r="B23" s="335">
        <v>37</v>
      </c>
    </row>
    <row r="24" spans="1:6">
      <c r="A24" s="1269" t="s">
        <v>14</v>
      </c>
      <c r="B24" s="335">
        <v>3</v>
      </c>
    </row>
    <row r="25" spans="1:6">
      <c r="A25" s="1269" t="s">
        <v>15</v>
      </c>
      <c r="B25" s="335">
        <v>356</v>
      </c>
    </row>
    <row r="26" spans="1:6">
      <c r="A26" s="1269" t="s">
        <v>16</v>
      </c>
      <c r="B26" s="335">
        <v>1040</v>
      </c>
    </row>
    <row r="27" spans="1:6">
      <c r="A27" s="1269" t="s">
        <v>17</v>
      </c>
      <c r="B27" s="335">
        <v>315</v>
      </c>
    </row>
    <row r="28" spans="1:6" s="341" customFormat="1">
      <c r="A28" s="1270" t="s">
        <v>18</v>
      </c>
      <c r="B28" s="1270">
        <v>50185</v>
      </c>
    </row>
    <row r="29" spans="1:6">
      <c r="A29" s="1270" t="s">
        <v>874</v>
      </c>
      <c r="B29" s="1270">
        <v>461</v>
      </c>
      <c r="C29" s="341"/>
      <c r="D29" s="341"/>
      <c r="E29" s="341"/>
      <c r="F29" s="341"/>
    </row>
    <row r="30" spans="1:6">
      <c r="A30" s="1265" t="s">
        <v>875</v>
      </c>
      <c r="B30" s="1265">
        <v>134</v>
      </c>
      <c r="C30" s="338"/>
      <c r="D30" s="338"/>
      <c r="E30" s="338"/>
      <c r="F30" s="338"/>
    </row>
    <row r="31" spans="1:6" ht="15.75" thickBot="1">
      <c r="A31" s="339"/>
    </row>
    <row r="32" spans="1:6" ht="20.25" thickBot="1">
      <c r="A32" s="1262" t="s">
        <v>19</v>
      </c>
      <c r="B32" s="336" t="s">
        <v>395</v>
      </c>
      <c r="C32" s="336" t="s">
        <v>686</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48</v>
      </c>
      <c r="F36" s="335">
        <v>3566171</v>
      </c>
    </row>
    <row r="37" spans="1:6">
      <c r="A37" s="1269" t="s">
        <v>25</v>
      </c>
      <c r="B37" s="1269" t="s">
        <v>28</v>
      </c>
      <c r="C37" s="335">
        <v>0</v>
      </c>
      <c r="D37" s="335">
        <v>0</v>
      </c>
      <c r="E37" s="335">
        <v>3</v>
      </c>
      <c r="F37" s="335">
        <v>92291</v>
      </c>
    </row>
    <row r="38" spans="1:6">
      <c r="A38" s="1269" t="s">
        <v>25</v>
      </c>
      <c r="B38" s="1269" t="s">
        <v>29</v>
      </c>
      <c r="C38" s="335">
        <v>3</v>
      </c>
      <c r="D38" s="335">
        <v>3920925</v>
      </c>
      <c r="E38" s="335">
        <v>2</v>
      </c>
      <c r="F38" s="335">
        <v>593108</v>
      </c>
    </row>
    <row r="39" spans="1:6">
      <c r="A39" s="1269" t="s">
        <v>30</v>
      </c>
      <c r="B39" s="1269" t="s">
        <v>31</v>
      </c>
      <c r="C39" s="335">
        <v>22287</v>
      </c>
      <c r="D39" s="335">
        <v>356398914</v>
      </c>
      <c r="E39" s="335">
        <v>34708</v>
      </c>
      <c r="F39" s="335">
        <v>123420812</v>
      </c>
    </row>
    <row r="40" spans="1:6">
      <c r="A40" s="1269" t="s">
        <v>30</v>
      </c>
      <c r="B40" s="1269" t="s">
        <v>29</v>
      </c>
      <c r="C40" s="335">
        <v>0</v>
      </c>
      <c r="D40" s="335">
        <v>0</v>
      </c>
      <c r="E40" s="335">
        <v>0</v>
      </c>
      <c r="F40" s="335">
        <v>0</v>
      </c>
    </row>
    <row r="41" spans="1:6">
      <c r="A41" s="1269" t="s">
        <v>32</v>
      </c>
      <c r="B41" s="1269" t="s">
        <v>33</v>
      </c>
      <c r="C41" s="335">
        <v>240</v>
      </c>
      <c r="D41" s="335">
        <v>17412949</v>
      </c>
      <c r="E41" s="335">
        <v>576</v>
      </c>
      <c r="F41" s="335">
        <v>32295413</v>
      </c>
    </row>
    <row r="42" spans="1:6">
      <c r="A42" s="1269" t="s">
        <v>32</v>
      </c>
      <c r="B42" s="1269" t="s">
        <v>34</v>
      </c>
      <c r="C42" s="335">
        <v>4</v>
      </c>
      <c r="D42" s="335">
        <v>683853</v>
      </c>
      <c r="E42" s="335">
        <v>10</v>
      </c>
      <c r="F42" s="335">
        <v>1458032</v>
      </c>
    </row>
    <row r="43" spans="1:6">
      <c r="A43" s="1269" t="s">
        <v>32</v>
      </c>
      <c r="B43" s="1269" t="s">
        <v>35</v>
      </c>
      <c r="C43" s="335">
        <v>0</v>
      </c>
      <c r="D43" s="335">
        <v>0</v>
      </c>
      <c r="E43" s="335">
        <v>0</v>
      </c>
      <c r="F43" s="335">
        <v>0</v>
      </c>
    </row>
    <row r="44" spans="1:6">
      <c r="A44" s="1269" t="s">
        <v>32</v>
      </c>
      <c r="B44" s="1269" t="s">
        <v>36</v>
      </c>
      <c r="C44" s="335">
        <v>24</v>
      </c>
      <c r="D44" s="335">
        <v>4373455</v>
      </c>
      <c r="E44" s="335">
        <v>82</v>
      </c>
      <c r="F44" s="335">
        <v>3957952</v>
      </c>
    </row>
    <row r="45" spans="1:6">
      <c r="A45" s="1269" t="s">
        <v>32</v>
      </c>
      <c r="B45" s="1269" t="s">
        <v>37</v>
      </c>
      <c r="C45" s="335">
        <v>9</v>
      </c>
      <c r="D45" s="335">
        <v>49772566</v>
      </c>
      <c r="E45" s="335">
        <v>17</v>
      </c>
      <c r="F45" s="335">
        <v>11911291</v>
      </c>
    </row>
    <row r="46" spans="1:6">
      <c r="A46" s="1269" t="s">
        <v>32</v>
      </c>
      <c r="B46" s="1269" t="s">
        <v>38</v>
      </c>
      <c r="C46" s="335">
        <v>0</v>
      </c>
      <c r="D46" s="335">
        <v>0</v>
      </c>
      <c r="E46" s="335">
        <v>0</v>
      </c>
      <c r="F46" s="335">
        <v>0</v>
      </c>
    </row>
    <row r="47" spans="1:6">
      <c r="A47" s="1269" t="s">
        <v>32</v>
      </c>
      <c r="B47" s="1269" t="s">
        <v>39</v>
      </c>
      <c r="C47" s="335">
        <v>10</v>
      </c>
      <c r="D47" s="335">
        <v>3533676</v>
      </c>
      <c r="E47" s="335">
        <v>20</v>
      </c>
      <c r="F47" s="335">
        <v>4053610</v>
      </c>
    </row>
    <row r="48" spans="1:6">
      <c r="A48" s="1269" t="s">
        <v>32</v>
      </c>
      <c r="B48" s="1269" t="s">
        <v>29</v>
      </c>
      <c r="C48" s="335">
        <v>1</v>
      </c>
      <c r="D48" s="335">
        <v>33754</v>
      </c>
      <c r="E48" s="335">
        <v>2</v>
      </c>
      <c r="F48" s="335">
        <v>64328</v>
      </c>
    </row>
    <row r="49" spans="1:6">
      <c r="A49" s="1269" t="s">
        <v>32</v>
      </c>
      <c r="B49" s="1269" t="s">
        <v>40</v>
      </c>
      <c r="C49" s="335">
        <v>9</v>
      </c>
      <c r="D49" s="335">
        <v>288610</v>
      </c>
      <c r="E49" s="335">
        <v>18</v>
      </c>
      <c r="F49" s="335">
        <v>418204</v>
      </c>
    </row>
    <row r="50" spans="1:6">
      <c r="A50" s="1269" t="s">
        <v>32</v>
      </c>
      <c r="B50" s="1269" t="s">
        <v>41</v>
      </c>
      <c r="C50" s="335">
        <v>43</v>
      </c>
      <c r="D50" s="335">
        <v>10565529</v>
      </c>
      <c r="E50" s="335">
        <v>78</v>
      </c>
      <c r="F50" s="335">
        <v>11567435</v>
      </c>
    </row>
    <row r="51" spans="1:6">
      <c r="A51" s="1269" t="s">
        <v>42</v>
      </c>
      <c r="B51" s="1269" t="s">
        <v>43</v>
      </c>
      <c r="C51" s="335">
        <v>27</v>
      </c>
      <c r="D51" s="335">
        <v>2775208</v>
      </c>
      <c r="E51" s="335">
        <v>116</v>
      </c>
      <c r="F51" s="335">
        <v>1854613</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360</v>
      </c>
      <c r="F54" s="335">
        <v>5052121</v>
      </c>
    </row>
    <row r="55" spans="1:6">
      <c r="A55" s="1269" t="s">
        <v>46</v>
      </c>
      <c r="B55" s="1269" t="s">
        <v>29</v>
      </c>
      <c r="C55" s="335">
        <v>0</v>
      </c>
      <c r="D55" s="335">
        <v>0</v>
      </c>
      <c r="E55" s="335">
        <v>0</v>
      </c>
      <c r="F55" s="335">
        <v>0</v>
      </c>
    </row>
    <row r="56" spans="1:6">
      <c r="A56" s="1269" t="s">
        <v>48</v>
      </c>
      <c r="B56" s="1269" t="s">
        <v>29</v>
      </c>
      <c r="C56" s="335">
        <v>807</v>
      </c>
      <c r="D56" s="335">
        <v>104429768</v>
      </c>
      <c r="E56" s="335">
        <v>1009</v>
      </c>
      <c r="F56" s="335">
        <v>7682289</v>
      </c>
    </row>
    <row r="57" spans="1:6">
      <c r="A57" s="1269" t="s">
        <v>49</v>
      </c>
      <c r="B57" s="1269" t="s">
        <v>50</v>
      </c>
      <c r="C57" s="335">
        <v>215</v>
      </c>
      <c r="D57" s="335">
        <v>17712426</v>
      </c>
      <c r="E57" s="335">
        <v>543</v>
      </c>
      <c r="F57" s="335">
        <v>15481598</v>
      </c>
    </row>
    <row r="58" spans="1:6">
      <c r="A58" s="1269" t="s">
        <v>49</v>
      </c>
      <c r="B58" s="1269" t="s">
        <v>51</v>
      </c>
      <c r="C58" s="335">
        <v>168</v>
      </c>
      <c r="D58" s="335">
        <v>15969407</v>
      </c>
      <c r="E58" s="335">
        <v>312</v>
      </c>
      <c r="F58" s="335">
        <v>18896767</v>
      </c>
    </row>
    <row r="59" spans="1:6">
      <c r="A59" s="1269" t="s">
        <v>49</v>
      </c>
      <c r="B59" s="1269" t="s">
        <v>52</v>
      </c>
      <c r="C59" s="335">
        <v>619</v>
      </c>
      <c r="D59" s="335">
        <v>36781092</v>
      </c>
      <c r="E59" s="335">
        <v>1354</v>
      </c>
      <c r="F59" s="335">
        <v>63222522</v>
      </c>
    </row>
    <row r="60" spans="1:6">
      <c r="A60" s="1269" t="s">
        <v>49</v>
      </c>
      <c r="B60" s="1269" t="s">
        <v>53</v>
      </c>
      <c r="C60" s="335">
        <v>248</v>
      </c>
      <c r="D60" s="335">
        <v>17767270</v>
      </c>
      <c r="E60" s="335">
        <v>414</v>
      </c>
      <c r="F60" s="335">
        <v>18896925</v>
      </c>
    </row>
    <row r="61" spans="1:6">
      <c r="A61" s="1269" t="s">
        <v>49</v>
      </c>
      <c r="B61" s="1269" t="s">
        <v>54</v>
      </c>
      <c r="C61" s="335">
        <v>822</v>
      </c>
      <c r="D61" s="335">
        <v>71133639</v>
      </c>
      <c r="E61" s="335">
        <v>2383</v>
      </c>
      <c r="F61" s="335">
        <v>71826491</v>
      </c>
    </row>
    <row r="62" spans="1:6">
      <c r="A62" s="1269" t="s">
        <v>49</v>
      </c>
      <c r="B62" s="1269" t="s">
        <v>55</v>
      </c>
      <c r="C62" s="335">
        <v>51</v>
      </c>
      <c r="D62" s="335">
        <v>12053502</v>
      </c>
      <c r="E62" s="335">
        <v>98</v>
      </c>
      <c r="F62" s="335">
        <v>8485586</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2203329</v>
      </c>
      <c r="E65" s="335">
        <v>0</v>
      </c>
      <c r="F65" s="335">
        <v>0</v>
      </c>
    </row>
    <row r="66" spans="1:6">
      <c r="A66" s="1269" t="s">
        <v>56</v>
      </c>
      <c r="B66" s="1269" t="s">
        <v>58</v>
      </c>
      <c r="C66" s="335">
        <v>3</v>
      </c>
      <c r="D66" s="335">
        <v>51880</v>
      </c>
      <c r="E66" s="335">
        <v>3</v>
      </c>
      <c r="F66" s="335">
        <v>59717</v>
      </c>
    </row>
    <row r="67" spans="1:6">
      <c r="A67" s="1270" t="s">
        <v>56</v>
      </c>
      <c r="B67" s="1270" t="s">
        <v>59</v>
      </c>
      <c r="C67" s="335">
        <v>0</v>
      </c>
      <c r="D67" s="335">
        <v>0</v>
      </c>
      <c r="E67" s="335">
        <v>0</v>
      </c>
      <c r="F67" s="335">
        <v>0</v>
      </c>
    </row>
    <row r="68" spans="1:6">
      <c r="A68" s="1265" t="s">
        <v>56</v>
      </c>
      <c r="B68" s="1265" t="s">
        <v>60</v>
      </c>
      <c r="C68" s="335">
        <v>19</v>
      </c>
      <c r="D68" s="335">
        <v>2190423</v>
      </c>
      <c r="E68" s="335">
        <v>37</v>
      </c>
      <c r="F68" s="335">
        <v>1051856</v>
      </c>
    </row>
    <row r="69" spans="1:6" ht="15.75" thickBot="1">
      <c r="A69" s="339"/>
    </row>
    <row r="70" spans="1:6" ht="19.5">
      <c r="A70" s="1262" t="s">
        <v>61</v>
      </c>
      <c r="B70" s="336"/>
      <c r="C70" s="336" t="s">
        <v>410</v>
      </c>
      <c r="D70" s="336" t="s">
        <v>770</v>
      </c>
      <c r="E70" s="336"/>
      <c r="F70" s="340"/>
    </row>
    <row r="71" spans="1:6" ht="20.25" thickBot="1">
      <c r="A71" s="1277"/>
      <c r="B71" s="342"/>
      <c r="C71" s="342"/>
      <c r="D71" s="343" t="s">
        <v>451</v>
      </c>
      <c r="E71" s="342"/>
      <c r="F71" s="344"/>
    </row>
    <row r="72" spans="1:6" ht="16.5" thickTop="1" thickBot="1">
      <c r="A72" s="1266" t="s">
        <v>62</v>
      </c>
      <c r="B72" s="1267" t="s">
        <v>63</v>
      </c>
      <c r="C72" s="1267" t="s">
        <v>726</v>
      </c>
      <c r="D72" s="1278">
        <v>2013</v>
      </c>
      <c r="E72" s="1278">
        <v>2020</v>
      </c>
      <c r="F72" s="1268"/>
    </row>
    <row r="73" spans="1:6">
      <c r="A73" s="1269" t="s">
        <v>64</v>
      </c>
      <c r="B73" s="1269" t="s">
        <v>727</v>
      </c>
      <c r="C73" s="1269" t="s">
        <v>728</v>
      </c>
      <c r="D73" s="335">
        <v>352100326</v>
      </c>
      <c r="E73" s="335">
        <v>465643721.14458215</v>
      </c>
    </row>
    <row r="74" spans="1:6">
      <c r="A74" s="1269" t="s">
        <v>64</v>
      </c>
      <c r="B74" s="1269" t="s">
        <v>729</v>
      </c>
      <c r="C74" s="1269" t="s">
        <v>730</v>
      </c>
      <c r="D74" s="335">
        <v>24140879.317777142</v>
      </c>
      <c r="E74" s="335">
        <v>31153518.472615205</v>
      </c>
    </row>
    <row r="75" spans="1:6">
      <c r="A75" s="1269" t="s">
        <v>65</v>
      </c>
      <c r="B75" s="1269" t="s">
        <v>727</v>
      </c>
      <c r="C75" s="1269" t="s">
        <v>731</v>
      </c>
      <c r="D75" s="335">
        <v>95782256</v>
      </c>
      <c r="E75" s="335">
        <v>132782186.18107045</v>
      </c>
    </row>
    <row r="76" spans="1:6">
      <c r="A76" s="1269" t="s">
        <v>65</v>
      </c>
      <c r="B76" s="1269" t="s">
        <v>729</v>
      </c>
      <c r="C76" s="1269" t="s">
        <v>732</v>
      </c>
      <c r="D76" s="335">
        <v>240414.30000000002</v>
      </c>
      <c r="E76" s="335">
        <v>781028.01626734482</v>
      </c>
    </row>
    <row r="77" spans="1:6">
      <c r="A77" s="1269" t="s">
        <v>66</v>
      </c>
      <c r="B77" s="1269" t="s">
        <v>727</v>
      </c>
      <c r="C77" s="1269" t="s">
        <v>733</v>
      </c>
      <c r="D77" s="335">
        <v>210290184</v>
      </c>
      <c r="E77" s="335">
        <v>229387139.12407723</v>
      </c>
    </row>
    <row r="78" spans="1:6">
      <c r="A78" s="1265" t="s">
        <v>66</v>
      </c>
      <c r="B78" s="1265" t="s">
        <v>729</v>
      </c>
      <c r="C78" s="1265" t="s">
        <v>734</v>
      </c>
      <c r="D78" s="1265">
        <v>22391907</v>
      </c>
      <c r="E78" s="1265">
        <v>24059922.493268732</v>
      </c>
      <c r="F78" s="338"/>
    </row>
    <row r="79" spans="1:6">
      <c r="A79" s="1279"/>
      <c r="B79" s="1279"/>
    </row>
    <row r="80" spans="1:6" ht="15.75" thickBot="1">
      <c r="A80" s="1279"/>
      <c r="B80" s="1279"/>
    </row>
    <row r="81" spans="1:6" ht="20.25" thickBot="1">
      <c r="A81" s="1262" t="s">
        <v>334</v>
      </c>
      <c r="B81" s="1280" t="s">
        <v>395</v>
      </c>
      <c r="C81" s="336" t="s">
        <v>771</v>
      </c>
      <c r="D81" s="336"/>
      <c r="E81" s="336"/>
      <c r="F81" s="340"/>
    </row>
    <row r="82" spans="1:6" ht="16.5" thickTop="1" thickBot="1">
      <c r="A82" s="1266" t="s">
        <v>335</v>
      </c>
      <c r="B82" s="1278">
        <v>2013</v>
      </c>
      <c r="C82" s="1278">
        <v>2020</v>
      </c>
      <c r="D82" s="1267"/>
      <c r="E82" s="1267"/>
      <c r="F82" s="1268"/>
    </row>
    <row r="83" spans="1:6">
      <c r="A83" s="1269" t="s">
        <v>336</v>
      </c>
      <c r="B83" s="335">
        <v>4958093.3644457161</v>
      </c>
      <c r="C83" s="335">
        <v>4760445.0188903017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563</v>
      </c>
      <c r="B89" s="335">
        <v>0</v>
      </c>
    </row>
    <row r="90" spans="1:6">
      <c r="A90" s="1269" t="s">
        <v>564</v>
      </c>
      <c r="B90" s="1282">
        <v>15825.329154847839</v>
      </c>
    </row>
    <row r="91" spans="1:6">
      <c r="A91" s="1269" t="s">
        <v>68</v>
      </c>
      <c r="B91" s="335">
        <v>12575.911957592374</v>
      </c>
    </row>
    <row r="92" spans="1:6">
      <c r="A92" s="1265" t="s">
        <v>69</v>
      </c>
      <c r="B92" s="338">
        <v>9694.6363276370139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12607</v>
      </c>
    </row>
    <row r="98" spans="1:6">
      <c r="A98" s="1269" t="s">
        <v>72</v>
      </c>
      <c r="B98" s="335">
        <v>2</v>
      </c>
    </row>
    <row r="99" spans="1:6">
      <c r="A99" s="1269" t="s">
        <v>73</v>
      </c>
      <c r="B99" s="335">
        <v>137</v>
      </c>
    </row>
    <row r="100" spans="1:6">
      <c r="A100" s="1269" t="s">
        <v>74</v>
      </c>
      <c r="B100" s="335">
        <v>1808</v>
      </c>
    </row>
    <row r="101" spans="1:6">
      <c r="A101" s="1269" t="s">
        <v>75</v>
      </c>
      <c r="B101" s="335">
        <v>132</v>
      </c>
    </row>
    <row r="102" spans="1:6">
      <c r="A102" s="1269" t="s">
        <v>76</v>
      </c>
      <c r="B102" s="335">
        <v>416</v>
      </c>
    </row>
    <row r="103" spans="1:6">
      <c r="A103" s="1269" t="s">
        <v>77</v>
      </c>
      <c r="B103" s="335">
        <v>298</v>
      </c>
    </row>
    <row r="104" spans="1:6">
      <c r="A104" s="1269" t="s">
        <v>78</v>
      </c>
      <c r="B104" s="335">
        <v>12509</v>
      </c>
    </row>
    <row r="105" spans="1:6">
      <c r="A105" s="1265" t="s">
        <v>79</v>
      </c>
      <c r="B105" s="1265">
        <v>11</v>
      </c>
      <c r="C105" s="338"/>
      <c r="D105" s="338"/>
      <c r="E105" s="338"/>
      <c r="F105" s="338"/>
    </row>
    <row r="106" spans="1:6">
      <c r="A106" s="339"/>
    </row>
    <row r="107" spans="1:6" ht="15.75" thickBot="1">
      <c r="A107" s="339"/>
    </row>
    <row r="108" spans="1:6" ht="20.25" thickBot="1">
      <c r="A108" s="1262" t="s">
        <v>671</v>
      </c>
      <c r="B108" s="336" t="s">
        <v>395</v>
      </c>
      <c r="C108" s="336" t="s">
        <v>681</v>
      </c>
      <c r="D108" s="336"/>
      <c r="E108" s="336"/>
      <c r="F108" s="340"/>
    </row>
    <row r="109" spans="1:6" ht="16.5" thickTop="1" thickBot="1">
      <c r="A109" s="1266" t="s">
        <v>4</v>
      </c>
      <c r="B109" s="1267" t="s">
        <v>5</v>
      </c>
      <c r="C109" s="1267"/>
      <c r="D109" s="1267"/>
      <c r="E109" s="1267"/>
      <c r="F109" s="1268"/>
    </row>
    <row r="110" spans="1:6">
      <c r="A110" s="1269" t="s">
        <v>672</v>
      </c>
      <c r="B110" s="335">
        <v>0</v>
      </c>
    </row>
    <row r="111" spans="1:6">
      <c r="A111" s="1283" t="s">
        <v>673</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71</v>
      </c>
      <c r="C123" s="335">
        <v>71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681</v>
      </c>
      <c r="D127" s="336"/>
      <c r="E127" s="336"/>
      <c r="F127" s="340"/>
    </row>
    <row r="128" spans="1:6" ht="16.5" thickTop="1" thickBot="1">
      <c r="A128" s="1266" t="s">
        <v>4</v>
      </c>
      <c r="B128" s="1267" t="s">
        <v>5</v>
      </c>
      <c r="C128" s="1267"/>
      <c r="D128" s="1267"/>
      <c r="E128" s="1267"/>
      <c r="F128" s="1268"/>
    </row>
    <row r="129" spans="1:6">
      <c r="A129" s="1269" t="s">
        <v>294</v>
      </c>
      <c r="B129" s="335">
        <v>376</v>
      </c>
    </row>
    <row r="130" spans="1:6">
      <c r="A130" s="1269" t="s">
        <v>295</v>
      </c>
      <c r="B130" s="335">
        <v>6</v>
      </c>
    </row>
    <row r="131" spans="1:6">
      <c r="A131" s="1269" t="s">
        <v>296</v>
      </c>
      <c r="B131" s="335">
        <v>8</v>
      </c>
    </row>
    <row r="132" spans="1:6">
      <c r="A132" s="1265" t="s">
        <v>297</v>
      </c>
      <c r="B132" s="338">
        <v>42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701</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701</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702</v>
      </c>
      <c r="B44" s="521"/>
      <c r="E44" s="666"/>
      <c r="F44" s="666"/>
    </row>
    <row r="45" spans="1:14">
      <c r="A45" s="44"/>
      <c r="B45" s="521"/>
      <c r="E45" s="666"/>
      <c r="F45" s="666"/>
    </row>
    <row r="46" spans="1:14" ht="18">
      <c r="A46" s="137" t="s">
        <v>190</v>
      </c>
      <c r="B46" s="522" t="s">
        <v>590</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641</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710</v>
      </c>
    </row>
    <row r="5" spans="1:3" ht="15.75" thickBot="1">
      <c r="A5" s="115" t="s">
        <v>640</v>
      </c>
      <c r="B5" s="541">
        <v>672355</v>
      </c>
      <c r="C5" s="140" t="s">
        <v>685</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408939.20078776154</v>
      </c>
      <c r="C3" s="43" t="s">
        <v>170</v>
      </c>
      <c r="D3" s="43"/>
      <c r="E3" s="156"/>
      <c r="F3" s="43"/>
      <c r="G3" s="43"/>
      <c r="H3" s="43"/>
      <c r="I3" s="43"/>
      <c r="J3" s="43"/>
      <c r="K3" s="96"/>
    </row>
    <row r="4" spans="1:11">
      <c r="A4" s="366" t="s">
        <v>171</v>
      </c>
      <c r="B4" s="49">
        <f>IF(ISERROR('SEAP template'!B69),0,'SEAP template'!B69)</f>
        <v>41559.527440077225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529.03800000000012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0.19983397446959528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755.76857142857159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3180.2142857142858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726</v>
      </c>
      <c r="B1" s="947" t="s">
        <v>308</v>
      </c>
      <c r="C1" s="947" t="s">
        <v>312</v>
      </c>
      <c r="D1" s="947" t="s">
        <v>313</v>
      </c>
      <c r="E1" s="947" t="s">
        <v>314</v>
      </c>
      <c r="F1" s="947" t="s">
        <v>315</v>
      </c>
      <c r="G1" s="318"/>
      <c r="H1" s="976" t="s">
        <v>752</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735</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735</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735</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735</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727</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727</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727</v>
      </c>
      <c r="C9" s="986" t="s">
        <v>64</v>
      </c>
      <c r="D9" s="986" t="s">
        <v>674</v>
      </c>
      <c r="E9" s="986" t="s">
        <v>674</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727</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727</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727</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727</v>
      </c>
      <c r="C13" s="986" t="s">
        <v>64</v>
      </c>
      <c r="D13" s="986" t="s">
        <v>737</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727</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727</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727</v>
      </c>
      <c r="C16" s="986" t="s">
        <v>65</v>
      </c>
      <c r="D16" s="986" t="s">
        <v>674</v>
      </c>
      <c r="E16" s="986" t="s">
        <v>674</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727</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727</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727</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727</v>
      </c>
      <c r="C20" s="986" t="s">
        <v>65</v>
      </c>
      <c r="D20" s="986" t="s">
        <v>737</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727</v>
      </c>
      <c r="C21" s="986" t="s">
        <v>736</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727</v>
      </c>
      <c r="C22" s="986" t="s">
        <v>736</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727</v>
      </c>
      <c r="C23" s="986" t="s">
        <v>736</v>
      </c>
      <c r="D23" s="986" t="s">
        <v>674</v>
      </c>
      <c r="E23" s="986" t="s">
        <v>674</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727</v>
      </c>
      <c r="C24" s="986" t="s">
        <v>736</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727</v>
      </c>
      <c r="C25" s="986" t="s">
        <v>736</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727</v>
      </c>
      <c r="C26" s="986" t="s">
        <v>736</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727</v>
      </c>
      <c r="C27" s="986" t="s">
        <v>736</v>
      </c>
      <c r="D27" s="986" t="s">
        <v>737</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729</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729</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729</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729</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729</v>
      </c>
      <c r="C32" s="986" t="s">
        <v>736</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729</v>
      </c>
      <c r="C33" s="986" t="s">
        <v>736</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679</v>
      </c>
      <c r="C6" s="424" t="s">
        <v>358</v>
      </c>
    </row>
    <row r="7" spans="1:3" s="335" customFormat="1">
      <c r="A7" s="425" t="s">
        <v>658</v>
      </c>
      <c r="B7" s="426" t="s">
        <v>617</v>
      </c>
      <c r="C7" s="427" t="s">
        <v>616</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751</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693</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5052.1210000000001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5052.1210000000001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0.19983397446959528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1009.5854189313062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123420.81200000001</v>
      </c>
      <c r="C5" s="17">
        <f>IF(ISERROR('Eigen informatie GS &amp; warmtenet'!B57),0,'Eigen informatie GS &amp; warmtenet'!B57)</f>
        <v>0</v>
      </c>
      <c r="D5" s="30">
        <f>(SUM(HH_hh_gas_kWh,HH_rest_gas_kWh)/1000)*0.902</f>
        <v>321471.82042800001</v>
      </c>
      <c r="E5" s="17">
        <f>B46*B57</f>
        <v>11166.159651857559</v>
      </c>
      <c r="F5" s="17">
        <f>B51*B62</f>
        <v>96014.280748569305</v>
      </c>
      <c r="G5" s="18"/>
      <c r="H5" s="17"/>
      <c r="I5" s="17"/>
      <c r="J5" s="17">
        <f>B50*B61+C50*C61</f>
        <v>0</v>
      </c>
      <c r="K5" s="17"/>
      <c r="L5" s="17"/>
      <c r="M5" s="17"/>
      <c r="N5" s="17">
        <f>B48*B59+C48*C59</f>
        <v>40333.343411406422</v>
      </c>
      <c r="O5" s="17">
        <f>B69*B70*B71</f>
        <v>698.81000000000006</v>
      </c>
      <c r="P5" s="17">
        <f>B77*B78*B79/1000-B77*B78*B79/1000/B80</f>
        <v>2154.5333333333333</v>
      </c>
    </row>
    <row r="6" spans="1:16">
      <c r="A6" s="16" t="s">
        <v>636</v>
      </c>
      <c r="B6" s="831">
        <f>kWh_PV_kleiner_dan_10kW</f>
        <v>12575.911957592374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135996.72395759239</v>
      </c>
      <c r="C8" s="21">
        <f>C5</f>
        <v>0</v>
      </c>
      <c r="D8" s="21">
        <f>D5</f>
        <v>321471.82042800001</v>
      </c>
      <c r="E8" s="21">
        <f>E5</f>
        <v>11166.159651857559</v>
      </c>
      <c r="F8" s="21">
        <f>F5</f>
        <v>96014.280748569305</v>
      </c>
      <c r="G8" s="21"/>
      <c r="H8" s="21"/>
      <c r="I8" s="21"/>
      <c r="J8" s="21">
        <f>J5</f>
        <v>0</v>
      </c>
      <c r="K8" s="21"/>
      <c r="L8" s="21">
        <f>L5</f>
        <v>0</v>
      </c>
      <c r="M8" s="21">
        <f>M5</f>
        <v>0</v>
      </c>
      <c r="N8" s="21">
        <f>N5</f>
        <v>40333.343411406422</v>
      </c>
      <c r="O8" s="21">
        <f>O5</f>
        <v>698.81000000000006</v>
      </c>
      <c r="P8" s="21">
        <f>P5</f>
        <v>2154.5333333333333</v>
      </c>
    </row>
    <row r="9" spans="1:16">
      <c r="B9" s="19"/>
      <c r="C9" s="19"/>
      <c r="D9" s="261"/>
      <c r="E9" s="19"/>
      <c r="F9" s="19"/>
      <c r="G9" s="19"/>
      <c r="H9" s="19"/>
      <c r="I9" s="19"/>
      <c r="J9" s="19"/>
      <c r="K9" s="19"/>
      <c r="L9" s="19"/>
      <c r="M9" s="19"/>
      <c r="N9" s="19"/>
      <c r="O9" s="19"/>
      <c r="P9" s="19"/>
    </row>
    <row r="10" spans="1:16">
      <c r="A10" s="24" t="s">
        <v>214</v>
      </c>
      <c r="B10" s="25">
        <f ca="1">'EF ele_warmte'!B12</f>
        <v>0.19983397446959528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27176.765863290115</v>
      </c>
      <c r="C12" s="23">
        <f ca="1">C10*C8</f>
        <v>0</v>
      </c>
      <c r="D12" s="23">
        <f>D8*D10</f>
        <v>64937.307726456005</v>
      </c>
      <c r="E12" s="23">
        <f>E10*E8</f>
        <v>2534.7182409716661</v>
      </c>
      <c r="F12" s="23">
        <f>F10*F8</f>
        <v>25635.812959868006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12607</v>
      </c>
      <c r="C18" s="168" t="s">
        <v>111</v>
      </c>
      <c r="D18" s="230"/>
      <c r="E18" s="15"/>
    </row>
    <row r="19" spans="1:7">
      <c r="A19" s="173" t="s">
        <v>72</v>
      </c>
      <c r="B19" s="37">
        <f>aantalw2001_ander</f>
        <v>2</v>
      </c>
      <c r="C19" s="168" t="s">
        <v>111</v>
      </c>
      <c r="D19" s="231"/>
      <c r="E19" s="15"/>
    </row>
    <row r="20" spans="1:7">
      <c r="A20" s="173" t="s">
        <v>73</v>
      </c>
      <c r="B20" s="37">
        <f>aantalw2001_propaan</f>
        <v>137</v>
      </c>
      <c r="C20" s="169">
        <f>IF(ISERROR(B20/SUM($B$20,$B$21,$B$22)*100),0,B20/SUM($B$20,$B$21,$B$22)*100)</f>
        <v>6.5960519980741452</v>
      </c>
      <c r="D20" s="231"/>
      <c r="E20" s="15"/>
    </row>
    <row r="21" spans="1:7">
      <c r="A21" s="173" t="s">
        <v>74</v>
      </c>
      <c r="B21" s="37">
        <f>aantalw2001_elektriciteit</f>
        <v>1808</v>
      </c>
      <c r="C21" s="169">
        <f>IF(ISERROR(B21/SUM($B$20,$B$21,$B$22)*100),0,B21/SUM($B$20,$B$21,$B$22)*100)</f>
        <v>87.048627828598939</v>
      </c>
      <c r="D21" s="231"/>
      <c r="E21" s="15"/>
    </row>
    <row r="22" spans="1:7">
      <c r="A22" s="173" t="s">
        <v>75</v>
      </c>
      <c r="B22" s="37">
        <f>aantalw2001_hout</f>
        <v>132</v>
      </c>
      <c r="C22" s="169">
        <f>IF(ISERROR(B22/SUM($B$20,$B$21,$B$22)*100),0,B22/SUM($B$20,$B$21,$B$22)*100)</f>
        <v>6.3553201733269145</v>
      </c>
      <c r="D22" s="231"/>
      <c r="E22" s="15"/>
    </row>
    <row r="23" spans="1:7">
      <c r="A23" s="173" t="s">
        <v>76</v>
      </c>
      <c r="B23" s="37">
        <f>aantalw2001_niet_gespec</f>
        <v>416</v>
      </c>
      <c r="C23" s="168" t="s">
        <v>111</v>
      </c>
      <c r="D23" s="230"/>
      <c r="E23" s="15"/>
    </row>
    <row r="24" spans="1:7">
      <c r="A24" s="173" t="s">
        <v>77</v>
      </c>
      <c r="B24" s="37">
        <f>aantalw2001_steenkool</f>
        <v>298</v>
      </c>
      <c r="C24" s="168" t="s">
        <v>111</v>
      </c>
      <c r="D24" s="231"/>
      <c r="E24" s="15"/>
    </row>
    <row r="25" spans="1:7">
      <c r="A25" s="173" t="s">
        <v>78</v>
      </c>
      <c r="B25" s="37">
        <f>aantalw2001_stookolie</f>
        <v>12509</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747</v>
      </c>
      <c r="B28" s="37">
        <f>aantalHuishoudens2011</f>
        <v>34321</v>
      </c>
      <c r="C28" s="36"/>
      <c r="D28" s="230"/>
    </row>
    <row r="29" spans="1:7" s="15" customFormat="1">
      <c r="A29" s="232" t="s">
        <v>748</v>
      </c>
      <c r="B29" s="37">
        <f>SUM(HH_hh_gas_aantal,HH_rest_gas_aantal)</f>
        <v>22287</v>
      </c>
      <c r="C29" s="36"/>
      <c r="D29" s="230"/>
    </row>
    <row r="30" spans="1:7" s="15" customFormat="1">
      <c r="A30" s="233"/>
      <c r="B30" s="29"/>
      <c r="C30" s="36"/>
      <c r="D30" s="234"/>
    </row>
    <row r="31" spans="1:7">
      <c r="A31" s="174" t="s">
        <v>746</v>
      </c>
      <c r="B31" s="170" t="s">
        <v>216</v>
      </c>
      <c r="C31" s="167" t="s">
        <v>217</v>
      </c>
      <c r="D31" s="176"/>
      <c r="G31" s="15"/>
    </row>
    <row r="32" spans="1:7">
      <c r="A32" s="173" t="s">
        <v>71</v>
      </c>
      <c r="B32" s="37">
        <f>B29</f>
        <v>22287</v>
      </c>
      <c r="C32" s="169">
        <f>IF(ISERROR(B32/SUM($B$32,$B$34,$B$35,$B$36,$B$38,$B$39)*100),0,B32/SUM($B$32,$B$34,$B$35,$B$36,$B$38,$B$39)*100)</f>
        <v>65.151426566884936</v>
      </c>
      <c r="D32" s="235"/>
      <c r="G32" s="15"/>
    </row>
    <row r="33" spans="1:7">
      <c r="A33" s="173" t="s">
        <v>72</v>
      </c>
      <c r="B33" s="34" t="s">
        <v>111</v>
      </c>
      <c r="C33" s="169"/>
      <c r="D33" s="235"/>
      <c r="G33" s="15"/>
    </row>
    <row r="34" spans="1:7">
      <c r="A34" s="173" t="s">
        <v>73</v>
      </c>
      <c r="B34" s="33">
        <f>IF((($B$28-$B$32-$B$39-$B$77-$B$38)*C20/100)&lt;0,0,($B$28-$B$32-$B$39-$B$77-$B$38)*C20/100)</f>
        <v>535.8632643235436</v>
      </c>
      <c r="C34" s="169">
        <f>IF(ISERROR(B34/SUM($B$32,$B$34,$B$35,$B$36,$B$38,$B$39)*100),0,B34/SUM($B$32,$B$34,$B$35,$B$36,$B$38,$B$39)*100)</f>
        <v>1.5664852207774311</v>
      </c>
      <c r="D34" s="235"/>
      <c r="G34" s="15"/>
    </row>
    <row r="35" spans="1:7">
      <c r="A35" s="173" t="s">
        <v>74</v>
      </c>
      <c r="B35" s="33">
        <f>IF((($B$28-$B$32-$B$39-$B$77-$B$38)*C21/100)&lt;0,0,($B$28-$B$32-$B$39-$B$77-$B$38)*C21/100)</f>
        <v>7071.8305247953776</v>
      </c>
      <c r="C35" s="169">
        <f>IF(ISERROR(B35/SUM($B$32,$B$34,$B$35,$B$36,$B$38,$B$39)*100),0,B35/SUM($B$32,$B$34,$B$35,$B$36,$B$38,$B$39)*100)</f>
        <v>20.673031234785366</v>
      </c>
      <c r="D35" s="235"/>
      <c r="G35" s="15"/>
    </row>
    <row r="36" spans="1:7">
      <c r="A36" s="173" t="s">
        <v>75</v>
      </c>
      <c r="B36" s="33">
        <f>IF((($B$28-$B$32-$B$39-$B$77-$B$38)*C22/100)&lt;0,0,($B$28-$B$32-$B$39-$B$77-$B$38)*C22/100)</f>
        <v>516.30621088107853</v>
      </c>
      <c r="C36" s="169">
        <f>IF(ISERROR(B36/SUM($B$32,$B$34,$B$35,$B$36,$B$38,$B$39)*100),0,B36/SUM($B$32,$B$34,$B$35,$B$36,$B$38,$B$39)*100)</f>
        <v>1.5093142273184008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3797</v>
      </c>
      <c r="C39" s="169">
        <f>IF(ISERROR(B39/SUM($B$32,$B$34,$B$35,$B$36,$B$38,$B$39)*100),0,B39/SUM($B$32,$B$34,$B$35,$B$36,$B$38,$B$39)*100)</f>
        <v>11.099742750233863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697</v>
      </c>
      <c r="C43" s="171" t="s">
        <v>698</v>
      </c>
      <c r="D43" s="176"/>
    </row>
    <row r="44" spans="1:7">
      <c r="A44" s="173" t="s">
        <v>71</v>
      </c>
      <c r="B44" s="33">
        <f t="shared" ref="B44:B52" si="0">B32</f>
        <v>22287</v>
      </c>
      <c r="C44" s="34" t="s">
        <v>111</v>
      </c>
      <c r="D44" s="176"/>
    </row>
    <row r="45" spans="1:7">
      <c r="A45" s="173" t="s">
        <v>72</v>
      </c>
      <c r="B45" s="33" t="str">
        <f t="shared" si="0"/>
        <v>-</v>
      </c>
      <c r="C45" s="34" t="s">
        <v>111</v>
      </c>
      <c r="D45" s="176"/>
    </row>
    <row r="46" spans="1:7">
      <c r="A46" s="173" t="s">
        <v>73</v>
      </c>
      <c r="B46" s="33">
        <f t="shared" si="0"/>
        <v>535.8632643235436</v>
      </c>
      <c r="C46" s="34" t="s">
        <v>111</v>
      </c>
      <c r="D46" s="176"/>
    </row>
    <row r="47" spans="1:7">
      <c r="A47" s="173" t="s">
        <v>74</v>
      </c>
      <c r="B47" s="33">
        <f t="shared" si="0"/>
        <v>7071.8305247953776</v>
      </c>
      <c r="C47" s="34" t="s">
        <v>111</v>
      </c>
      <c r="D47" s="176"/>
    </row>
    <row r="48" spans="1:7">
      <c r="A48" s="173" t="s">
        <v>75</v>
      </c>
      <c r="B48" s="33">
        <f t="shared" si="0"/>
        <v>516.30621088107853</v>
      </c>
      <c r="C48" s="33">
        <f>B48*10</f>
        <v>5163.0621088107855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3797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695</v>
      </c>
      <c r="C54" s="167" t="s">
        <v>696</v>
      </c>
      <c r="D54" s="303" t="s">
        <v>694</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196809.889</v>
      </c>
      <c r="C5" s="17">
        <f>IF(ISERROR('Eigen informatie GS &amp; warmtenet'!B58),0,'Eigen informatie GS &amp; warmtenet'!B58)</f>
        <v>0</v>
      </c>
      <c r="D5" s="30">
        <f>SUM(D6:D12)</f>
        <v>154618.437072</v>
      </c>
      <c r="E5" s="17">
        <f>SUM(E6:E12)</f>
        <v>2354.0366524784927</v>
      </c>
      <c r="F5" s="17">
        <f>SUM(F6:F12)</f>
        <v>38059.873551637618</v>
      </c>
      <c r="G5" s="18"/>
      <c r="H5" s="17"/>
      <c r="I5" s="17"/>
      <c r="J5" s="17">
        <f>SUM(J6:J12)</f>
        <v>0</v>
      </c>
      <c r="K5" s="17"/>
      <c r="L5" s="17"/>
      <c r="M5" s="17"/>
      <c r="N5" s="17">
        <f>SUM(N6:N12)</f>
        <v>11204.969652095009</v>
      </c>
      <c r="O5" s="17">
        <f>B38*B39*B40</f>
        <v>9.3800000000000008</v>
      </c>
      <c r="P5" s="17">
        <f>B46*B47*B48/1000-B46*B47*B48/1000/B49</f>
        <v>152.53333333333333</v>
      </c>
      <c r="R5" s="32"/>
    </row>
    <row r="6" spans="1:18">
      <c r="A6" s="32" t="s">
        <v>54</v>
      </c>
      <c r="B6" s="37">
        <f>B26</f>
        <v>71826.490999999995</v>
      </c>
      <c r="C6" s="33"/>
      <c r="D6" s="37">
        <f>IF(ISERROR(TER_kantoor_gas_kWh/1000),0,TER_kantoor_gas_kWh/1000)*0.902</f>
        <v>64162.542377999998</v>
      </c>
      <c r="E6" s="33">
        <f>$C$26*'E Balans VL '!I12/100/3.6*1000000</f>
        <v>279.06112408915214</v>
      </c>
      <c r="F6" s="33">
        <f>$C$26*('E Balans VL '!L12+'E Balans VL '!N12)/100/3.6*1000000</f>
        <v>10924.155712138938</v>
      </c>
      <c r="G6" s="34"/>
      <c r="H6" s="33"/>
      <c r="I6" s="33"/>
      <c r="J6" s="33">
        <f>$C$26*('E Balans VL '!D12+'E Balans VL '!E12)/100/3.6*1000000</f>
        <v>0</v>
      </c>
      <c r="K6" s="33"/>
      <c r="L6" s="33"/>
      <c r="M6" s="33"/>
      <c r="N6" s="33">
        <f>$C$26*'E Balans VL '!Y12/100/3.6*1000000</f>
        <v>39.585001142716763</v>
      </c>
      <c r="O6" s="33"/>
      <c r="P6" s="33"/>
      <c r="R6" s="32"/>
    </row>
    <row r="7" spans="1:18">
      <c r="A7" s="32" t="s">
        <v>53</v>
      </c>
      <c r="B7" s="37">
        <f t="shared" ref="B7:B12" si="0">B27</f>
        <v>18896.924999999999</v>
      </c>
      <c r="C7" s="33"/>
      <c r="D7" s="37">
        <f>IF(ISERROR(TER_horeca_gas_kWh/1000),0,TER_horeca_gas_kWh/1000)*0.902</f>
        <v>16026.07754</v>
      </c>
      <c r="E7" s="33">
        <f>$C$27*'E Balans VL '!I9/100/3.6*1000000</f>
        <v>1064.4688374506836</v>
      </c>
      <c r="F7" s="33">
        <f>$C$27*('E Balans VL '!L9+'E Balans VL '!N9)/100/3.6*1000000</f>
        <v>5448.7418341953353</v>
      </c>
      <c r="G7" s="34"/>
      <c r="H7" s="33"/>
      <c r="I7" s="33"/>
      <c r="J7" s="33">
        <f>$C$27*('E Balans VL '!D9+'E Balans VL '!E9)/100/3.6*1000000</f>
        <v>0</v>
      </c>
      <c r="K7" s="33"/>
      <c r="L7" s="33"/>
      <c r="M7" s="33"/>
      <c r="N7" s="33">
        <f>$C$27*'E Balans VL '!Y9/100/3.6*1000000</f>
        <v>5.2173427948385829</v>
      </c>
      <c r="O7" s="33"/>
      <c r="P7" s="33"/>
      <c r="R7" s="32"/>
    </row>
    <row r="8" spans="1:18">
      <c r="A8" s="6" t="s">
        <v>52</v>
      </c>
      <c r="B8" s="37">
        <f t="shared" si="0"/>
        <v>63222.521999999997</v>
      </c>
      <c r="C8" s="33"/>
      <c r="D8" s="37">
        <f>IF(ISERROR(TER_handel_gas_kWh/1000),0,TER_handel_gas_kWh/1000)*0.902</f>
        <v>33176.544984</v>
      </c>
      <c r="E8" s="33">
        <f>$C$28*'E Balans VL '!I13/100/3.6*1000000</f>
        <v>911.25103470034162</v>
      </c>
      <c r="F8" s="33">
        <f>$C$28*('E Balans VL '!L13+'E Balans VL '!N13)/100/3.6*1000000</f>
        <v>10983.224424584678</v>
      </c>
      <c r="G8" s="34"/>
      <c r="H8" s="33"/>
      <c r="I8" s="33"/>
      <c r="J8" s="33">
        <f>$C$28*('E Balans VL '!D13+'E Balans VL '!E13)/100/3.6*1000000</f>
        <v>0</v>
      </c>
      <c r="K8" s="33"/>
      <c r="L8" s="33"/>
      <c r="M8" s="33"/>
      <c r="N8" s="33">
        <f>$C$28*'E Balans VL '!Y13/100/3.6*1000000</f>
        <v>189.42171398813451</v>
      </c>
      <c r="O8" s="33"/>
      <c r="P8" s="33"/>
      <c r="R8" s="32"/>
    </row>
    <row r="9" spans="1:18">
      <c r="A9" s="32" t="s">
        <v>51</v>
      </c>
      <c r="B9" s="37">
        <f t="shared" si="0"/>
        <v>18896.767</v>
      </c>
      <c r="C9" s="33"/>
      <c r="D9" s="37">
        <f>IF(ISERROR(TER_gezond_gas_kWh/1000),0,TER_gezond_gas_kWh/1000)*0.902</f>
        <v>14404.405113999999</v>
      </c>
      <c r="E9" s="33">
        <f>$C$29*'E Balans VL '!I10/100/3.6*1000000</f>
        <v>20.186645018138112</v>
      </c>
      <c r="F9" s="33">
        <f>$C$29*('E Balans VL '!L10+'E Balans VL '!N10)/100/3.6*1000000</f>
        <v>3082.6369919996619</v>
      </c>
      <c r="G9" s="34"/>
      <c r="H9" s="33"/>
      <c r="I9" s="33"/>
      <c r="J9" s="33">
        <f>$C$29*('E Balans VL '!D10+'E Balans VL '!E10)/100/3.6*1000000</f>
        <v>0</v>
      </c>
      <c r="K9" s="33"/>
      <c r="L9" s="33"/>
      <c r="M9" s="33"/>
      <c r="N9" s="33">
        <f>$C$29*'E Balans VL '!Y10/100/3.6*1000000</f>
        <v>194.53143398485963</v>
      </c>
      <c r="O9" s="33"/>
      <c r="P9" s="33"/>
      <c r="R9" s="32"/>
    </row>
    <row r="10" spans="1:18">
      <c r="A10" s="32" t="s">
        <v>50</v>
      </c>
      <c r="B10" s="37">
        <f t="shared" si="0"/>
        <v>15481.598</v>
      </c>
      <c r="C10" s="33"/>
      <c r="D10" s="37">
        <f>IF(ISERROR(TER_ander_gas_kWh/1000),0,TER_ander_gas_kWh/1000)*0.902</f>
        <v>15976.608252</v>
      </c>
      <c r="E10" s="33">
        <f>$C$30*'E Balans VL '!I14/100/3.6*1000000</f>
        <v>71.197514276129496</v>
      </c>
      <c r="F10" s="33">
        <f>$C$30*('E Balans VL '!L14+'E Balans VL '!N14)/100/3.6*1000000</f>
        <v>4640.3232540915023</v>
      </c>
      <c r="G10" s="34"/>
      <c r="H10" s="33"/>
      <c r="I10" s="33"/>
      <c r="J10" s="33">
        <f>$C$30*('E Balans VL '!D14+'E Balans VL '!E14)/100/3.6*1000000</f>
        <v>0</v>
      </c>
      <c r="K10" s="33"/>
      <c r="L10" s="33"/>
      <c r="M10" s="33"/>
      <c r="N10" s="33">
        <f>$C$30*'E Balans VL '!Y14/100/3.6*1000000</f>
        <v>10776.21416018446</v>
      </c>
      <c r="O10" s="33"/>
      <c r="P10" s="33"/>
      <c r="R10" s="32"/>
    </row>
    <row r="11" spans="1:18">
      <c r="A11" s="32" t="s">
        <v>55</v>
      </c>
      <c r="B11" s="37">
        <f t="shared" si="0"/>
        <v>8485.5859999999993</v>
      </c>
      <c r="C11" s="33"/>
      <c r="D11" s="37">
        <f>IF(ISERROR(TER_onderwijs_gas_kWh/1000),0,TER_onderwijs_gas_kWh/1000)*0.902</f>
        <v>10872.258804000001</v>
      </c>
      <c r="E11" s="33">
        <f>$C$31*'E Balans VL '!I11/100/3.6*1000000</f>
        <v>7.8714969440473714</v>
      </c>
      <c r="F11" s="33">
        <f>$C$31*('E Balans VL '!L11+'E Balans VL '!N11)/100/3.6*1000000</f>
        <v>2980.7913346275045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3238.65</v>
      </c>
      <c r="C13" s="249">
        <f ca="1">'lokale energieproductie'!O90+'lokale energieproductie'!O59</f>
        <v>2858.7857142857142</v>
      </c>
      <c r="D13" s="312">
        <f ca="1">('lokale energieproductie'!P59+'lokale energieproductie'!P90)*(-1)</f>
        <v>-5717.5714285714294</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-3535.7142857142858</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200048.53899999999</v>
      </c>
      <c r="C16" s="21">
        <f t="shared" ca="1" si="1"/>
        <v>2858.7857142857142</v>
      </c>
      <c r="D16" s="21">
        <f t="shared" ca="1" si="1"/>
        <v>148900.86564342858</v>
      </c>
      <c r="E16" s="21">
        <f t="shared" si="1"/>
        <v>2354.0366524784927</v>
      </c>
      <c r="F16" s="21">
        <f t="shared" ca="1" si="1"/>
        <v>38059.873551637618</v>
      </c>
      <c r="G16" s="21">
        <f t="shared" si="1"/>
        <v>0</v>
      </c>
      <c r="H16" s="21">
        <f t="shared" si="1"/>
        <v>0</v>
      </c>
      <c r="I16" s="21">
        <f t="shared" si="1"/>
        <v>0</v>
      </c>
      <c r="J16" s="21">
        <f t="shared" si="1"/>
        <v>0</v>
      </c>
      <c r="K16" s="21">
        <f t="shared" si="1"/>
        <v>0</v>
      </c>
      <c r="L16" s="21">
        <f t="shared" ca="1" si="1"/>
        <v>0</v>
      </c>
      <c r="M16" s="21">
        <f t="shared" si="1"/>
        <v>0</v>
      </c>
      <c r="N16" s="21">
        <f t="shared" ca="1" si="1"/>
        <v>7669.255366380723</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0.19983397446959528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39976.494635205832</v>
      </c>
      <c r="C20" s="23">
        <f t="shared" ref="C20:P20" ca="1" si="2">C16*C18</f>
        <v>679.38201680672285</v>
      </c>
      <c r="D20" s="23">
        <f t="shared" ca="1" si="2"/>
        <v>30077.974859972575</v>
      </c>
      <c r="E20" s="23">
        <f t="shared" si="2"/>
        <v>534.36632011261781</v>
      </c>
      <c r="F20" s="23">
        <f t="shared" ca="1" si="2"/>
        <v>10161.986238287245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71826.490999999995</v>
      </c>
      <c r="C26" s="39">
        <f>IF(ISERROR(B26*3.6/1000000/'E Balans VL '!Z12*100),0,B26*3.6/1000000/'E Balans VL '!Z12*100)</f>
        <v>1.5256302470585361</v>
      </c>
      <c r="D26" s="239" t="s">
        <v>694</v>
      </c>
      <c r="F26" s="6"/>
    </row>
    <row r="27" spans="1:18">
      <c r="A27" s="233" t="s">
        <v>53</v>
      </c>
      <c r="B27" s="33">
        <f>IF(ISERROR(TER_horeca_ele_kWh/1000),0,TER_horeca_ele_kWh/1000)</f>
        <v>18896.924999999999</v>
      </c>
      <c r="C27" s="39">
        <f>IF(ISERROR(B27*3.6/1000000/'E Balans VL '!Z9*100),0,B27*3.6/1000000/'E Balans VL '!Z9*100)</f>
        <v>1.4693510025027994</v>
      </c>
      <c r="D27" s="239" t="s">
        <v>694</v>
      </c>
      <c r="F27" s="6"/>
    </row>
    <row r="28" spans="1:18">
      <c r="A28" s="173" t="s">
        <v>52</v>
      </c>
      <c r="B28" s="33">
        <f>IF(ISERROR(TER_handel_ele_kWh/1000),0,TER_handel_ele_kWh/1000)</f>
        <v>63222.521999999997</v>
      </c>
      <c r="C28" s="39">
        <f>IF(ISERROR(B28*3.6/1000000/'E Balans VL '!Z13*100),0,B28*3.6/1000000/'E Balans VL '!Z13*100)</f>
        <v>1.8088707598852374</v>
      </c>
      <c r="D28" s="239" t="s">
        <v>694</v>
      </c>
      <c r="F28" s="6"/>
    </row>
    <row r="29" spans="1:18">
      <c r="A29" s="233" t="s">
        <v>51</v>
      </c>
      <c r="B29" s="33">
        <f>IF(ISERROR(TER_gezond_ele_kWh/1000),0,TER_gezond_ele_kWh/1000)</f>
        <v>18896.767</v>
      </c>
      <c r="C29" s="39">
        <f>IF(ISERROR(B29*3.6/1000000/'E Balans VL '!Z10*100),0,B29*3.6/1000000/'E Balans VL '!Z10*100)</f>
        <v>2.0601867112020318</v>
      </c>
      <c r="D29" s="239" t="s">
        <v>694</v>
      </c>
      <c r="F29" s="6"/>
    </row>
    <row r="30" spans="1:18">
      <c r="A30" s="233" t="s">
        <v>50</v>
      </c>
      <c r="B30" s="33">
        <f>IF(ISERROR(TER_ander_ele_kWh/1000),0,TER_ander_ele_kWh/1000)</f>
        <v>15481.598</v>
      </c>
      <c r="C30" s="39">
        <f>IF(ISERROR(B30*3.6/1000000/'E Balans VL '!Z14*100),0,B30*3.6/1000000/'E Balans VL '!Z14*100)</f>
        <v>1.1329082224674527</v>
      </c>
      <c r="D30" s="239" t="s">
        <v>694</v>
      </c>
      <c r="F30" s="6"/>
    </row>
    <row r="31" spans="1:18">
      <c r="A31" s="233" t="s">
        <v>55</v>
      </c>
      <c r="B31" s="33">
        <f>IF(ISERROR(TER_onderwijs_ele_kWh/1000),0,TER_onderwijs_ele_kWh/1000)</f>
        <v>8485.5859999999993</v>
      </c>
      <c r="C31" s="39">
        <f>IF(ISERROR(B31*3.6/1000000/'E Balans VL '!Z11*100),0,B31*3.6/1000000/'E Balans VL '!Z11*100)</f>
        <v>1.7043362493224079</v>
      </c>
      <c r="D31" s="239" t="s">
        <v>694</v>
      </c>
    </row>
    <row r="32" spans="1:18">
      <c r="A32" s="233" t="s">
        <v>260</v>
      </c>
      <c r="B32" s="33">
        <f>IF(ISERROR(TER_rest_ele_kWh/1000),0,TER_rest_ele_kWh/1000)</f>
        <v>0</v>
      </c>
      <c r="C32" s="39">
        <f>IF(ISERROR(B32*3.6/1000000/'E Balans VL '!Z8*100),0,B32*3.6/1000000/'E Balans VL '!Z8*100)</f>
        <v>0</v>
      </c>
      <c r="D32" s="239" t="s">
        <v>694</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8</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65726.264999999985</v>
      </c>
      <c r="C5" s="17">
        <f>IF(ISERROR('Eigen informatie GS &amp; warmtenet'!B59),0,'Eigen informatie GS &amp; warmtenet'!B59)</f>
        <v>0</v>
      </c>
      <c r="D5" s="30">
        <f>SUM(D6:D15)</f>
        <v>78171.281584000011</v>
      </c>
      <c r="E5" s="17">
        <f>SUM(E6:E15)</f>
        <v>9944.54747071764</v>
      </c>
      <c r="F5" s="17">
        <f>SUM(F6:F15)</f>
        <v>44628.165539653077</v>
      </c>
      <c r="G5" s="18"/>
      <c r="H5" s="17"/>
      <c r="I5" s="17"/>
      <c r="J5" s="17">
        <f>SUM(J6:J15)</f>
        <v>65.828958894371155</v>
      </c>
      <c r="K5" s="17"/>
      <c r="L5" s="17"/>
      <c r="M5" s="17"/>
      <c r="N5" s="17">
        <f>SUM(N6:N15)</f>
        <v>22763.620050745547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3957.9520000000002</v>
      </c>
      <c r="C8" s="33"/>
      <c r="D8" s="37">
        <f>IF( ISERROR(IND_metaal_Gas_kWH/1000),0,IND_metaal_Gas_kWH/1000)*0.902</f>
        <v>3944.8564099999999</v>
      </c>
      <c r="E8" s="33">
        <f>C30*'E Balans VL '!I18/100/3.6*1000000</f>
        <v>113.68723776925496</v>
      </c>
      <c r="F8" s="33">
        <f>C30*'E Balans VL '!L18/100/3.6*1000000+C30*'E Balans VL '!N18/100/3.6*1000000</f>
        <v>1015.1385656433985</v>
      </c>
      <c r="G8" s="34"/>
      <c r="H8" s="33"/>
      <c r="I8" s="33"/>
      <c r="J8" s="40">
        <f>C30*'E Balans VL '!D18/100/3.6*1000000+C30*'E Balans VL '!E18/100/3.6*1000000</f>
        <v>0</v>
      </c>
      <c r="K8" s="33"/>
      <c r="L8" s="33"/>
      <c r="M8" s="33"/>
      <c r="N8" s="33">
        <f>C30*'E Balans VL '!Y18/100/3.6*1000000</f>
        <v>107.46647612469232</v>
      </c>
      <c r="O8" s="33"/>
      <c r="P8" s="33"/>
      <c r="R8" s="32"/>
    </row>
    <row r="9" spans="1:18">
      <c r="A9" s="6" t="s">
        <v>33</v>
      </c>
      <c r="B9" s="37">
        <f t="shared" si="0"/>
        <v>32295.413</v>
      </c>
      <c r="C9" s="33"/>
      <c r="D9" s="37">
        <f>IF( ISERROR(IND_andere_gas_kWh/1000),0,IND_andere_gas_kWh/1000)*0.902</f>
        <v>15706.479998000001</v>
      </c>
      <c r="E9" s="33">
        <f>C31*'E Balans VL '!I19/100/3.6*1000000</f>
        <v>8741.5742504743557</v>
      </c>
      <c r="F9" s="33">
        <f>C31*'E Balans VL '!L19/100/3.6*1000000+C31*'E Balans VL '!N19/100/3.6*1000000</f>
        <v>21512.162626592162</v>
      </c>
      <c r="G9" s="34"/>
      <c r="H9" s="33"/>
      <c r="I9" s="33"/>
      <c r="J9" s="40">
        <f>C31*'E Balans VL '!D19/100/3.6*1000000+C31*'E Balans VL '!E19/100/3.6*1000000</f>
        <v>0</v>
      </c>
      <c r="K9" s="33"/>
      <c r="L9" s="33"/>
      <c r="M9" s="33"/>
      <c r="N9" s="33">
        <f>C31*'E Balans VL '!Y19/100/3.6*1000000</f>
        <v>10543.915871762101</v>
      </c>
      <c r="O9" s="33"/>
      <c r="P9" s="33"/>
      <c r="R9" s="32"/>
    </row>
    <row r="10" spans="1:18">
      <c r="A10" s="6" t="s">
        <v>41</v>
      </c>
      <c r="B10" s="37">
        <f t="shared" si="0"/>
        <v>11567.434999999999</v>
      </c>
      <c r="C10" s="33"/>
      <c r="D10" s="37">
        <f>IF( ISERROR(IND_voed_gas_kWh/1000),0,IND_voed_gas_kWh/1000)*0.902</f>
        <v>9530.1071580000007</v>
      </c>
      <c r="E10" s="33">
        <f>C32*'E Balans VL '!I20/100/3.6*1000000</f>
        <v>943.4665740903821</v>
      </c>
      <c r="F10" s="33">
        <f>C32*'E Balans VL '!L20/100/3.6*1000000+C32*'E Balans VL '!N20/100/3.6*1000000</f>
        <v>17248.09507466084</v>
      </c>
      <c r="G10" s="34"/>
      <c r="H10" s="33"/>
      <c r="I10" s="33"/>
      <c r="J10" s="40">
        <f>C32*'E Balans VL '!D20/100/3.6*1000000+C32*'E Balans VL '!E20/100/3.6*1000000</f>
        <v>0.15302312406751636</v>
      </c>
      <c r="K10" s="33"/>
      <c r="L10" s="33"/>
      <c r="M10" s="33"/>
      <c r="N10" s="33">
        <f>C32*'E Balans VL '!Y20/100/3.6*1000000</f>
        <v>3398.1042322310309</v>
      </c>
      <c r="O10" s="33"/>
      <c r="P10" s="33"/>
      <c r="R10" s="32"/>
    </row>
    <row r="11" spans="1:18">
      <c r="A11" s="6" t="s">
        <v>40</v>
      </c>
      <c r="B11" s="37">
        <f t="shared" si="0"/>
        <v>418.20400000000001</v>
      </c>
      <c r="C11" s="33"/>
      <c r="D11" s="37">
        <f>IF( ISERROR(IND_textiel_gas_kWh/1000),0,IND_textiel_gas_kWh/1000)*0.902</f>
        <v>260.32622000000003</v>
      </c>
      <c r="E11" s="33">
        <f>C33*'E Balans VL '!I21/100/3.6*1000000</f>
        <v>8.2896589132454943E-2</v>
      </c>
      <c r="F11" s="33">
        <f>C33*'E Balans VL '!L21/100/3.6*1000000+C33*'E Balans VL '!N21/100/3.6*1000000</f>
        <v>15.402957884736729</v>
      </c>
      <c r="G11" s="34"/>
      <c r="H11" s="33"/>
      <c r="I11" s="33"/>
      <c r="J11" s="40">
        <f>C33*'E Balans VL '!D21/100/3.6*1000000+C33*'E Balans VL '!E21/100/3.6*1000000</f>
        <v>0</v>
      </c>
      <c r="K11" s="33"/>
      <c r="L11" s="33"/>
      <c r="M11" s="33"/>
      <c r="N11" s="33">
        <f>C33*'E Balans VL '!Y21/100/3.6*1000000</f>
        <v>1.9445430278099585</v>
      </c>
      <c r="O11" s="33"/>
      <c r="P11" s="33"/>
      <c r="R11" s="32"/>
    </row>
    <row r="12" spans="1:18">
      <c r="A12" s="6" t="s">
        <v>37</v>
      </c>
      <c r="B12" s="37">
        <f t="shared" si="0"/>
        <v>11911.290999999999</v>
      </c>
      <c r="C12" s="33"/>
      <c r="D12" s="37">
        <f>IF( ISERROR(IND_min_gas_kWh/1000),0,IND_min_gas_kWh/1000)*0.902</f>
        <v>44894.854531999998</v>
      </c>
      <c r="E12" s="33">
        <f>C34*'E Balans VL '!I22/100/3.6*1000000</f>
        <v>92.786361530163987</v>
      </c>
      <c r="F12" s="33">
        <f>C34*'E Balans VL '!L22/100/3.6*1000000+C34*'E Balans VL '!N22/100/3.6*1000000</f>
        <v>4492.2069940120073</v>
      </c>
      <c r="G12" s="34"/>
      <c r="H12" s="33"/>
      <c r="I12" s="33"/>
      <c r="J12" s="40">
        <f>C34*'E Balans VL '!D22/100/3.6*1000000+C34*'E Balans VL '!E22/100/3.6*1000000</f>
        <v>65.511059060958331</v>
      </c>
      <c r="K12" s="33"/>
      <c r="L12" s="33"/>
      <c r="M12" s="33"/>
      <c r="N12" s="33">
        <f>C34*'E Balans VL '!Y22/100/3.6*1000000</f>
        <v>0</v>
      </c>
      <c r="O12" s="33"/>
      <c r="P12" s="33"/>
      <c r="R12" s="32"/>
    </row>
    <row r="13" spans="1:18">
      <c r="A13" s="6" t="s">
        <v>39</v>
      </c>
      <c r="B13" s="37">
        <f t="shared" si="0"/>
        <v>4053.61</v>
      </c>
      <c r="C13" s="33"/>
      <c r="D13" s="37">
        <f>IF( ISERROR(IND_papier_gas_kWh/1000),0,IND_papier_gas_kWh/1000)*0.902</f>
        <v>3187.3757519999999</v>
      </c>
      <c r="E13" s="33">
        <f>C35*'E Balans VL '!I23/100/3.6*1000000</f>
        <v>42.468949526180033</v>
      </c>
      <c r="F13" s="33">
        <f>C35*'E Balans VL '!L23/100/3.6*1000000+C35*'E Balans VL '!N23/100/3.6*1000000</f>
        <v>302.48109668629183</v>
      </c>
      <c r="G13" s="34"/>
      <c r="H13" s="33"/>
      <c r="I13" s="33"/>
      <c r="J13" s="40">
        <f>C35*'E Balans VL '!D23/100/3.6*1000000+C35*'E Balans VL '!E23/100/3.6*1000000</f>
        <v>0</v>
      </c>
      <c r="K13" s="33"/>
      <c r="L13" s="33"/>
      <c r="M13" s="33"/>
      <c r="N13" s="33">
        <f>C35*'E Balans VL '!Y23/100/3.6*1000000</f>
        <v>8664.168272043742</v>
      </c>
      <c r="O13" s="33"/>
      <c r="P13" s="33"/>
      <c r="R13" s="32"/>
    </row>
    <row r="14" spans="1:18">
      <c r="A14" s="6" t="s">
        <v>34</v>
      </c>
      <c r="B14" s="37">
        <f t="shared" si="0"/>
        <v>1458.0319999999999</v>
      </c>
      <c r="C14" s="33"/>
      <c r="D14" s="37">
        <f>IF( ISERROR(IND_chemie_gas_kWh/1000),0,IND_chemie_gas_kWh/1000)*0.902</f>
        <v>616.83540599999992</v>
      </c>
      <c r="E14" s="33">
        <f>C36*'E Balans VL '!I24/100/3.6*1000000</f>
        <v>6.8924596539876539</v>
      </c>
      <c r="F14" s="33">
        <f>C36*'E Balans VL '!L24/100/3.6*1000000+C36*'E Balans VL '!N24/100/3.6*1000000</f>
        <v>27.556022185206412</v>
      </c>
      <c r="G14" s="34"/>
      <c r="H14" s="33"/>
      <c r="I14" s="33"/>
      <c r="J14" s="40">
        <f>C36*'E Balans VL '!D24/100/3.6*1000000+C36*'E Balans VL '!E24/100/3.6*1000000</f>
        <v>0</v>
      </c>
      <c r="K14" s="33"/>
      <c r="L14" s="33"/>
      <c r="M14" s="33"/>
      <c r="N14" s="33">
        <f>C36*'E Balans VL '!Y24/100/3.6*1000000</f>
        <v>35.396084392317725</v>
      </c>
      <c r="O14" s="33"/>
      <c r="P14" s="33"/>
      <c r="R14" s="32"/>
    </row>
    <row r="15" spans="1:18">
      <c r="A15" s="6" t="s">
        <v>270</v>
      </c>
      <c r="B15" s="37">
        <f t="shared" si="0"/>
        <v>64.328000000000003</v>
      </c>
      <c r="C15" s="33"/>
      <c r="D15" s="37">
        <f>IF( ISERROR(IND_rest_gas_kWh/1000),0,IND_rest_gas_kWh/1000)*0.902</f>
        <v>30.446107999999999</v>
      </c>
      <c r="E15" s="33">
        <f>C37*'E Balans VL '!I15/100/3.6*1000000</f>
        <v>3.5887410841849854</v>
      </c>
      <c r="F15" s="33">
        <f>C37*'E Balans VL '!L15/100/3.6*1000000+C37*'E Balans VL '!N15/100/3.6*1000000</f>
        <v>15.122201988429779</v>
      </c>
      <c r="G15" s="34"/>
      <c r="H15" s="33"/>
      <c r="I15" s="33"/>
      <c r="J15" s="40">
        <f>C37*'E Balans VL '!D15/100/3.6*1000000+C37*'E Balans VL '!E15/100/3.6*1000000</f>
        <v>0.16487670934530294</v>
      </c>
      <c r="K15" s="33"/>
      <c r="L15" s="33"/>
      <c r="M15" s="33"/>
      <c r="N15" s="33">
        <f>C37*'E Balans VL '!Y15/100/3.6*1000000</f>
        <v>12.624571163856002</v>
      </c>
      <c r="O15" s="33"/>
      <c r="P15" s="33"/>
      <c r="R15" s="32"/>
    </row>
    <row r="16" spans="1:18">
      <c r="A16" s="16" t="s">
        <v>497</v>
      </c>
      <c r="B16" s="249">
        <f>'lokale energieproductie'!N89+'lokale energieproductie'!N58</f>
        <v>225</v>
      </c>
      <c r="C16" s="249">
        <f>'lokale energieproductie'!O89+'lokale energieproductie'!O58</f>
        <v>321.42857142857144</v>
      </c>
      <c r="D16" s="312">
        <f>('lokale energieproductie'!P58+'lokale energieproductie'!P89)*(-1)</f>
        <v>-642.85714285714289</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65951.264999999985</v>
      </c>
      <c r="C18" s="21">
        <f>C5+C16</f>
        <v>321.42857142857144</v>
      </c>
      <c r="D18" s="21">
        <f>MAX((D5+D16),0)</f>
        <v>77528.424441142866</v>
      </c>
      <c r="E18" s="21">
        <f>MAX((E5+E16),0)</f>
        <v>9944.54747071764</v>
      </c>
      <c r="F18" s="21">
        <f>MAX((F5+F16),0)</f>
        <v>44628.165539653077</v>
      </c>
      <c r="G18" s="21"/>
      <c r="H18" s="21"/>
      <c r="I18" s="21"/>
      <c r="J18" s="21">
        <f>MAX((J5+J16),0)</f>
        <v>65.828958894371155</v>
      </c>
      <c r="K18" s="21"/>
      <c r="L18" s="21">
        <f>MAX((L5+L16),0)</f>
        <v>0</v>
      </c>
      <c r="M18" s="21"/>
      <c r="N18" s="21">
        <f>MAX((N5+N16),0)</f>
        <v>22763.620050745547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0.19983397446959528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13179.303406247509</v>
      </c>
      <c r="C22" s="23">
        <f ca="1">C18*C20</f>
        <v>76.386554621848759</v>
      </c>
      <c r="D22" s="23">
        <f>D18*D20</f>
        <v>15660.74173711086</v>
      </c>
      <c r="E22" s="23">
        <f>E18*E20</f>
        <v>2257.4122758529043</v>
      </c>
      <c r="F22" s="23">
        <f>F18*F20</f>
        <v>11915.720199087373</v>
      </c>
      <c r="G22" s="23"/>
      <c r="H22" s="23"/>
      <c r="I22" s="23"/>
      <c r="J22" s="23">
        <f>J18*J20</f>
        <v>23.303451448607387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694</v>
      </c>
    </row>
    <row r="29" spans="1:18">
      <c r="A29" s="173" t="s">
        <v>38</v>
      </c>
      <c r="B29" s="37">
        <f>IF( ISERROR(IND_nonf_ele_kWh/1000),0,IND_nonf_ele_kWh/1000)</f>
        <v>0</v>
      </c>
      <c r="C29" s="39">
        <f>IF(ISERROR(B29*3.6/1000000/'E Balans VL '!Z17*100),0,B29*3.6/1000000/'E Balans VL '!Z17*100)</f>
        <v>0</v>
      </c>
      <c r="D29" s="239" t="s">
        <v>694</v>
      </c>
    </row>
    <row r="30" spans="1:18">
      <c r="A30" s="173" t="s">
        <v>36</v>
      </c>
      <c r="B30" s="37">
        <f>IF( ISERROR(IND_metaal_ele_kWh/1000),0,IND_metaal_ele_kWh/1000)</f>
        <v>3957.9520000000002</v>
      </c>
      <c r="C30" s="39">
        <f>IF(ISERROR(B30*3.6/1000000/'E Balans VL '!Z18*100),0,B30*3.6/1000000/'E Balans VL '!Z18*100)</f>
        <v>0.38945237322482795</v>
      </c>
      <c r="D30" s="239" t="s">
        <v>694</v>
      </c>
    </row>
    <row r="31" spans="1:18">
      <c r="A31" s="6" t="s">
        <v>33</v>
      </c>
      <c r="B31" s="37">
        <f>IF( ISERROR(IND_ander_ele_kWh/1000),0,IND_ander_ele_kWh/1000)</f>
        <v>32295.413</v>
      </c>
      <c r="C31" s="39">
        <f>IF(ISERROR(B31*3.6/1000000/'E Balans VL '!Z19*100),0,B31*3.6/1000000/'E Balans VL '!Z19*100)</f>
        <v>1.4064394743528204</v>
      </c>
      <c r="D31" s="239" t="s">
        <v>694</v>
      </c>
    </row>
    <row r="32" spans="1:18">
      <c r="A32" s="173" t="s">
        <v>41</v>
      </c>
      <c r="B32" s="37">
        <f>IF( ISERROR(IND_voed_ele_kWh/1000),0,IND_voed_ele_kWh/1000)</f>
        <v>11567.434999999999</v>
      </c>
      <c r="C32" s="39">
        <f>IF(ISERROR(B32*3.6/1000000/'E Balans VL '!Z20*100),0,B32*3.6/1000000/'E Balans VL '!Z20*100)</f>
        <v>2.1947539706893915</v>
      </c>
      <c r="D32" s="239" t="s">
        <v>694</v>
      </c>
    </row>
    <row r="33" spans="1:5">
      <c r="A33" s="173" t="s">
        <v>40</v>
      </c>
      <c r="B33" s="37">
        <f>IF( ISERROR(IND_textiel_ele_kWh/1000),0,IND_textiel_ele_kWh/1000)</f>
        <v>418.20400000000001</v>
      </c>
      <c r="C33" s="39">
        <f>IF(ISERROR(B33*3.6/1000000/'E Balans VL '!Z21*100),0,B33*3.6/1000000/'E Balans VL '!Z21*100)</f>
        <v>2.3877327580721228E-2</v>
      </c>
      <c r="D33" s="239" t="s">
        <v>694</v>
      </c>
    </row>
    <row r="34" spans="1:5">
      <c r="A34" s="173" t="s">
        <v>37</v>
      </c>
      <c r="B34" s="37">
        <f>IF( ISERROR(IND_min_ele_kWh/1000),0,IND_min_ele_kWh/1000)</f>
        <v>11911.290999999999</v>
      </c>
      <c r="C34" s="39">
        <f>IF(ISERROR(B34*3.6/1000000/'E Balans VL '!Z22*100),0,B34*3.6/1000000/'E Balans VL '!Z22*100)</f>
        <v>1.6748471240560392</v>
      </c>
      <c r="D34" s="239" t="s">
        <v>694</v>
      </c>
    </row>
    <row r="35" spans="1:5">
      <c r="A35" s="173" t="s">
        <v>39</v>
      </c>
      <c r="B35" s="37">
        <f>IF( ISERROR(IND_papier_ele_kWh/1000),0,IND_papier_ele_kWh/1000)</f>
        <v>4053.61</v>
      </c>
      <c r="C35" s="39">
        <f>IF(ISERROR(B35*3.6/1000000/'E Balans VL '!Z22*100),0,B35*3.6/1000000/'E Balans VL '!Z22*100)</f>
        <v>0.56997827108285759</v>
      </c>
      <c r="D35" s="239" t="s">
        <v>694</v>
      </c>
    </row>
    <row r="36" spans="1:5">
      <c r="A36" s="173" t="s">
        <v>34</v>
      </c>
      <c r="B36" s="37">
        <f>IF( ISERROR(IND_chemie_ele_kWh/1000),0,IND_chemie_ele_kWh/1000)</f>
        <v>1458.0319999999999</v>
      </c>
      <c r="C36" s="39">
        <f>IF(ISERROR(B36*3.6/1000000/'E Balans VL '!Z24*100),0,B36*3.6/1000000/'E Balans VL '!Z24*100)</f>
        <v>4.2491360880626106E-2</v>
      </c>
      <c r="D36" s="239" t="s">
        <v>694</v>
      </c>
    </row>
    <row r="37" spans="1:5">
      <c r="A37" s="173" t="s">
        <v>270</v>
      </c>
      <c r="B37" s="37">
        <f>IF( ISERROR(IND_rest_ele_kWh/1000),0,IND_rest_ele_kWh/1000)</f>
        <v>64.328000000000003</v>
      </c>
      <c r="C37" s="39">
        <f>IF(ISERROR(B37*3.6/1000000/'E Balans VL '!Z15*100),0,B37*3.6/1000000/'E Balans VL '!Z15*100)</f>
        <v>4.9572625107043716E-4</v>
      </c>
      <c r="D37" s="239" t="s">
        <v>694</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1854.6130000000001</v>
      </c>
      <c r="C5" s="17">
        <f>'Eigen informatie GS &amp; warmtenet'!B60</f>
        <v>0</v>
      </c>
      <c r="D5" s="30">
        <f>IF(ISERROR(SUM(LB_lb_gas_kWh,LB_rest_gas_kWh,onbekend_gas_kWh)/1000),0,SUM(LB_lb_gas_kWh,LB_rest_gas_kWh,onbekend_gas_kWh)/1000)*0.902</f>
        <v>2503.2376160000003</v>
      </c>
      <c r="E5" s="17">
        <f>B17*'E Balans VL '!I25/3.6*1000000/100</f>
        <v>23.370513027323071</v>
      </c>
      <c r="F5" s="17">
        <f>B17*('E Balans VL '!L25/3.6*1000000+'E Balans VL '!N25/3.6*1000000)/100</f>
        <v>6398.8794583179852</v>
      </c>
      <c r="G5" s="18"/>
      <c r="H5" s="17"/>
      <c r="I5" s="17"/>
      <c r="J5" s="17">
        <f>('E Balans VL '!D25+'E Balans VL '!E25)/3.6*1000000*landbouw!B17/100</f>
        <v>278.91271270348653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1854.6130000000001</v>
      </c>
      <c r="C8" s="21">
        <f>C5+C6</f>
        <v>0</v>
      </c>
      <c r="D8" s="21">
        <f>MAX((D5+D6),0)</f>
        <v>2503.2376160000003</v>
      </c>
      <c r="E8" s="21">
        <f>MAX((E5+E6),0)</f>
        <v>23.370513027323071</v>
      </c>
      <c r="F8" s="21">
        <f>MAX((F5+F6),0)</f>
        <v>6398.8794583179852</v>
      </c>
      <c r="G8" s="21"/>
      <c r="H8" s="21"/>
      <c r="I8" s="21"/>
      <c r="J8" s="21">
        <f>MAX((J5+J6),0)</f>
        <v>278.91271270348653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0.19983397446959528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370.61468689297953</v>
      </c>
      <c r="C12" s="23">
        <f ca="1">C8*C10</f>
        <v>0</v>
      </c>
      <c r="D12" s="23">
        <f>D8*D10</f>
        <v>505.65399843200009</v>
      </c>
      <c r="E12" s="23">
        <f>E8*E10</f>
        <v>5.3051064572023376</v>
      </c>
      <c r="F12" s="23">
        <f>F8*F10</f>
        <v>1708.500815370902</v>
      </c>
      <c r="G12" s="23"/>
      <c r="H12" s="23"/>
      <c r="I12" s="23"/>
      <c r="J12" s="23">
        <f>J8*J10</f>
        <v>98.735100297034222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0.2586600594912789</v>
      </c>
      <c r="C17" s="239" t="s">
        <v>694</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219.99457621365696</v>
      </c>
      <c r="C26" s="249">
        <f>B26*'GWP N2O_CH4'!B5</f>
        <v>4619.8861004867958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71.671103077734671</v>
      </c>
      <c r="C27" s="249">
        <f>B27*'GWP N2O_CH4'!B5</f>
        <v>1505.0931646324282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6.1427403666216902</v>
      </c>
      <c r="C28" s="249">
        <f>B28*'GWP N2O_CH4'!B4</f>
        <v>1904.2495136527239</v>
      </c>
      <c r="D28" s="50"/>
    </row>
    <row r="29" spans="1:4">
      <c r="A29" s="41" t="s">
        <v>277</v>
      </c>
      <c r="B29" s="249">
        <f>B34*'ha_N2O bodem landbouw'!B4</f>
        <v>18.328532527022709</v>
      </c>
      <c r="C29" s="249">
        <f>B29*'GWP N2O_CH4'!B4</f>
        <v>5681.8450833770394</v>
      </c>
      <c r="D29" s="50"/>
    </row>
    <row r="31" spans="1:4">
      <c r="A31" s="195" t="s">
        <v>504</v>
      </c>
      <c r="B31" s="205"/>
      <c r="C31" s="227"/>
    </row>
    <row r="32" spans="1:4">
      <c r="A32" s="238"/>
      <c r="B32" s="32"/>
      <c r="C32" s="239"/>
    </row>
    <row r="33" spans="1:5">
      <c r="A33" s="240"/>
      <c r="B33" s="226" t="s">
        <v>639</v>
      </c>
      <c r="C33" s="241" t="s">
        <v>182</v>
      </c>
    </row>
    <row r="34" spans="1:5">
      <c r="A34" s="259" t="s">
        <v>112</v>
      </c>
      <c r="B34" s="35">
        <f>IF(ISERROR(aantalCultuurgronden/'ha_N2O bodem landbouw'!B5),0,aantalCultuurgronden/'ha_N2O bodem landbouw'!B5)</f>
        <v>4.5764514281889778E-3</v>
      </c>
      <c r="C34" s="260" t="s">
        <v>685</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1.2937978860876832E-4</v>
      </c>
      <c r="C5" s="448" t="s">
        <v>211</v>
      </c>
      <c r="D5" s="433">
        <f>SUM(D6:D11)</f>
        <v>2.0664997627236877E-4</v>
      </c>
      <c r="E5" s="433">
        <f>SUM(E6:E11)</f>
        <v>6.8503813901731386E-3</v>
      </c>
      <c r="F5" s="446" t="s">
        <v>211</v>
      </c>
      <c r="G5" s="433">
        <f>SUM(G6:G11)</f>
        <v>1.6090085944814734</v>
      </c>
      <c r="H5" s="433">
        <f>SUM(H6:H11)</f>
        <v>0.31411556480364961</v>
      </c>
      <c r="I5" s="448" t="s">
        <v>211</v>
      </c>
      <c r="J5" s="448" t="s">
        <v>211</v>
      </c>
      <c r="K5" s="448" t="s">
        <v>211</v>
      </c>
      <c r="L5" s="448" t="s">
        <v>211</v>
      </c>
      <c r="M5" s="433">
        <f>SUM(M6:M11)</f>
        <v>8.6950364040343037E-2</v>
      </c>
      <c r="N5" s="448" t="s">
        <v>211</v>
      </c>
      <c r="O5" s="448" t="s">
        <v>211</v>
      </c>
      <c r="P5" s="449" t="s">
        <v>211</v>
      </c>
    </row>
    <row r="6" spans="1:18">
      <c r="A6" s="264" t="s">
        <v>728</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6.9213841866800071E-5</v>
      </c>
      <c r="C6" s="949"/>
      <c r="D6" s="949">
        <f>vkm_2011_GW_PW*SUMIFS(TableVerdeelsleutelVkm[CNG],TableVerdeelsleutelVkm[Voertuigtype],"Lichte voertuigen")*SUMIFS(TableECFTransport[EnergieConsumptieFactor (PJ per km)],TableECFTransport[Index],CONCATENATE($A6,"_CNG_CNG"))</f>
        <v>9.8020336969109381E-5</v>
      </c>
      <c r="E6" s="949">
        <f>vkm_2011_GW_PW*SUMIFS(TableVerdeelsleutelVkm[LPG],TableVerdeelsleutelVkm[Voertuigtype],"Lichte voertuigen")*SUMIFS(TableECFTransport[EnergieConsumptieFactor (PJ per km)],TableECFTransport[Index],CONCATENATE($A6,"_LPG_LPG"))</f>
        <v>3.0784960927313022E-3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0.55329004336461485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0.14825851922460362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3.1740298611871262E-2</v>
      </c>
      <c r="N6" s="434"/>
      <c r="O6" s="434"/>
      <c r="P6" s="435"/>
    </row>
    <row r="7" spans="1:18">
      <c r="A7" s="264" t="s">
        <v>730</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0.22788382610816907</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8.096476099873097E-5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1.028367586969639E-2</v>
      </c>
      <c r="N7" s="434"/>
      <c r="O7" s="434"/>
      <c r="P7" s="435"/>
    </row>
    <row r="8" spans="1:18">
      <c r="A8" s="264" t="s">
        <v>731</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1.882832088155852E-5</v>
      </c>
      <c r="C8" s="949"/>
      <c r="D8" s="436">
        <f>vkm_2011_NGW_PW*SUMIFS(TableVerdeelsleutelVkm[CNG],TableVerdeelsleutelVkm[Voertuigtype],"Lichte voertuigen")*SUMIFS(TableECFTransport[EnergieConsumptieFactor (PJ per km)],TableECFTransport[Index],CONCATENATE($A8,"_CNG_CNG"))</f>
        <v>4.7503412522918449E-5</v>
      </c>
      <c r="E8" s="436">
        <f>vkm_2011_NGW_PW*SUMIFS(TableVerdeelsleutelVkm[LPG],TableVerdeelsleutelVkm[Voertuigtype],"Lichte voertuigen")*SUMIFS(TableECFTransport[EnergieConsumptieFactor (PJ per km)],TableECFTransport[Index],CONCATENATE($A8,"_LPG_LPG"))</f>
        <v>1.374166913364915E-3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0.23293461710723554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6.9328422471145526E-2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1.3678766278443317E-2</v>
      </c>
      <c r="N8" s="434"/>
      <c r="O8" s="434"/>
      <c r="P8" s="435"/>
    </row>
    <row r="9" spans="1:18">
      <c r="A9" s="264" t="s">
        <v>732</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2.8949897964299703E-3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9.7331692361246532E-7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1.3063920079573157E-4</v>
      </c>
      <c r="N9" s="434"/>
      <c r="O9" s="434"/>
      <c r="P9" s="435"/>
    </row>
    <row r="10" spans="1:18">
      <c r="A10" s="264" t="s">
        <v>733</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4.1337625860409716E-5</v>
      </c>
      <c r="C10" s="949"/>
      <c r="D10" s="436">
        <f>vkm_2011_SW_PW*SUMIFS(TableVerdeelsleutelVkm[CNG],TableVerdeelsleutelVkm[Voertuigtype],"Lichte voertuigen")*SUMIFS(TableECFTransport[EnergieConsumptieFactor (PJ per km)],TableECFTransport[Index],CONCATENATE($A10,"_CNG_CNG"))</f>
        <v>6.1126226780340923E-5</v>
      </c>
      <c r="E10" s="436">
        <f>vkm_2011_SW_PW*SUMIFS(TableVerdeelsleutelVkm[LPG],TableVerdeelsleutelVkm[Voertuigtype],"Lichte voertuigen")*SUMIFS(TableECFTransport[EnergieConsumptieFactor (PJ per km)],TableECFTransport[Index],CONCATENATE($A10,"_LPG_LPG"))</f>
        <v>2.3977183840769214E-3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0.3902780643272255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9.6369394531597985E-2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2.2013423563811522E-2</v>
      </c>
      <c r="N10" s="434"/>
      <c r="O10" s="434"/>
      <c r="P10" s="435"/>
    </row>
    <row r="11" spans="1:18">
      <c r="A11" s="4" t="s">
        <v>734</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0.2017270537777987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7.7290498380138564E-5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9.1035605157248137E-3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35.93883016910231</v>
      </c>
      <c r="C14" s="21"/>
      <c r="D14" s="21">
        <f t="shared" ref="D14:M14" si="0">((D5)*10^9/3600)+D12</f>
        <v>57.402771186769101</v>
      </c>
      <c r="E14" s="21">
        <f t="shared" si="0"/>
        <v>1902.8837194925386</v>
      </c>
      <c r="F14" s="21"/>
      <c r="G14" s="21">
        <f t="shared" si="0"/>
        <v>446946.8318004093</v>
      </c>
      <c r="H14" s="21">
        <f t="shared" si="0"/>
        <v>87254.323556569332</v>
      </c>
      <c r="I14" s="21"/>
      <c r="J14" s="21"/>
      <c r="K14" s="21"/>
      <c r="L14" s="21"/>
      <c r="M14" s="21">
        <f t="shared" si="0"/>
        <v>24152.878900095286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0.19983397446959528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7.1817992704795115</v>
      </c>
      <c r="C18" s="23"/>
      <c r="D18" s="23">
        <f t="shared" ref="D18:M18" si="1">D14*D16</f>
        <v>11.595359779727358</v>
      </c>
      <c r="E18" s="23">
        <f t="shared" si="1"/>
        <v>431.95460432480627</v>
      </c>
      <c r="F18" s="23"/>
      <c r="G18" s="23">
        <f t="shared" si="1"/>
        <v>119334.80409070929</v>
      </c>
      <c r="H18" s="23">
        <f t="shared" si="1"/>
        <v>21726.326565585765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738</v>
      </c>
      <c r="D23" s="979" t="s">
        <v>739</v>
      </c>
      <c r="E23" s="979" t="s">
        <v>740</v>
      </c>
      <c r="F23" s="979" t="s">
        <v>674</v>
      </c>
      <c r="G23" s="979" t="s">
        <v>741</v>
      </c>
      <c r="H23" s="979" t="s">
        <v>742</v>
      </c>
      <c r="I23" s="979" t="s">
        <v>119</v>
      </c>
      <c r="J23" s="979" t="s">
        <v>743</v>
      </c>
      <c r="K23" s="979" t="s">
        <v>744</v>
      </c>
      <c r="L23" s="980" t="s">
        <v>745</v>
      </c>
      <c r="M23" s="129" t="s">
        <v>182</v>
      </c>
      <c r="N23" s="271" t="s">
        <v>316</v>
      </c>
    </row>
    <row r="24" spans="1:18">
      <c r="A24" s="32" t="s">
        <v>727</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753</v>
      </c>
      <c r="N24" s="948">
        <f>SUM(B24:K24)</f>
        <v>1.0002312637712669</v>
      </c>
    </row>
    <row r="25" spans="1:18">
      <c r="A25" s="32" t="s">
        <v>729</v>
      </c>
      <c r="B25" s="982" t="s">
        <v>754</v>
      </c>
      <c r="C25" s="981">
        <v>0.9994477010686813</v>
      </c>
      <c r="D25" s="982"/>
      <c r="E25" s="982"/>
      <c r="F25" s="981" t="s">
        <v>754</v>
      </c>
      <c r="G25" s="982" t="s">
        <v>754</v>
      </c>
      <c r="H25" s="982"/>
      <c r="I25" s="982" t="s">
        <v>754</v>
      </c>
      <c r="J25" s="982">
        <v>5.5229893131857771E-4</v>
      </c>
      <c r="K25" s="982" t="s">
        <v>754</v>
      </c>
      <c r="L25" s="983"/>
      <c r="M25" s="272" t="s">
        <v>753</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768</v>
      </c>
      <c r="F31" s="53"/>
      <c r="G31" s="43"/>
      <c r="H31" s="43"/>
      <c r="I31" s="43"/>
      <c r="J31" s="43"/>
      <c r="K31" s="43"/>
      <c r="L31" s="176"/>
    </row>
    <row r="32" spans="1:18">
      <c r="A32" s="280" t="s">
        <v>321</v>
      </c>
      <c r="B32" s="281"/>
      <c r="C32" s="282"/>
      <c r="D32" s="281">
        <v>3.73E-2</v>
      </c>
      <c r="E32" s="333" t="s">
        <v>768</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755</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794</v>
      </c>
      <c r="F38" s="284"/>
      <c r="G38" s="58"/>
      <c r="H38" s="58"/>
      <c r="I38" s="58"/>
      <c r="J38" s="58"/>
      <c r="K38" s="58"/>
      <c r="L38" s="286"/>
    </row>
    <row r="39" spans="1:16">
      <c r="A39" s="280" t="s">
        <v>326</v>
      </c>
      <c r="B39" s="281"/>
      <c r="C39" s="282"/>
      <c r="D39" s="281">
        <v>2.8799999999999999E-2</v>
      </c>
      <c r="E39" s="333" t="s">
        <v>794</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755</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6.4685509514076797E-2</v>
      </c>
      <c r="H50" s="323">
        <f t="shared" si="2"/>
        <v>0</v>
      </c>
      <c r="I50" s="323">
        <f t="shared" si="2"/>
        <v>0</v>
      </c>
      <c r="J50" s="323">
        <f t="shared" si="2"/>
        <v>0</v>
      </c>
      <c r="K50" s="323">
        <f t="shared" si="2"/>
        <v>0</v>
      </c>
      <c r="L50" s="323">
        <f t="shared" si="2"/>
        <v>0</v>
      </c>
      <c r="M50" s="323">
        <f t="shared" si="2"/>
        <v>2.8767228234381596E-3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6.4685509514076797E-2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2.8767228234381596E-3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17968.197087243556</v>
      </c>
      <c r="H54" s="21">
        <f t="shared" si="3"/>
        <v>0</v>
      </c>
      <c r="I54" s="21">
        <f t="shared" si="3"/>
        <v>0</v>
      </c>
      <c r="J54" s="21">
        <f t="shared" si="3"/>
        <v>0</v>
      </c>
      <c r="K54" s="21">
        <f t="shared" si="3"/>
        <v>0</v>
      </c>
      <c r="L54" s="21">
        <f t="shared" si="3"/>
        <v>0</v>
      </c>
      <c r="M54" s="21">
        <f t="shared" si="3"/>
        <v>799.0896731772666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0.19983397446959528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4797.5086222940299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574</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769</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575</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15825.329154847839</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22270.548285229386</v>
      </c>
      <c r="C6" s="1251"/>
      <c r="D6" s="1236"/>
      <c r="E6" s="1236"/>
      <c r="F6" s="1254"/>
      <c r="G6" s="1257"/>
      <c r="H6" s="1248"/>
      <c r="I6" s="1236"/>
      <c r="J6" s="1236"/>
      <c r="K6" s="1236"/>
      <c r="L6" s="1240"/>
      <c r="M6" s="561"/>
      <c r="N6" s="1214"/>
      <c r="O6" s="1215"/>
      <c r="Q6" s="559"/>
      <c r="R6" s="1202"/>
      <c r="S6" s="1202"/>
    </row>
    <row r="7" spans="1:19" s="549" customFormat="1">
      <c r="A7" s="562" t="s">
        <v>252</v>
      </c>
      <c r="B7" s="563">
        <f>N57</f>
        <v>2226.15</v>
      </c>
      <c r="C7" s="564">
        <f>B100</f>
        <v>2619.0000000000005</v>
      </c>
      <c r="D7" s="565"/>
      <c r="E7" s="565">
        <f>E100</f>
        <v>0</v>
      </c>
      <c r="F7" s="566"/>
      <c r="G7" s="567"/>
      <c r="H7" s="565">
        <f>I100</f>
        <v>0</v>
      </c>
      <c r="I7" s="565">
        <f>G100+F100</f>
        <v>0</v>
      </c>
      <c r="J7" s="565">
        <f>H100+D100+C100</f>
        <v>0</v>
      </c>
      <c r="K7" s="565"/>
      <c r="L7" s="568"/>
      <c r="M7" s="569">
        <f>C7*$C$11+D7*$D$11+E7*$E$11+F7*$F$11+G7*$G$11+H7*$H$11+I7*$I$11+J7*$J$11</f>
        <v>529.03800000000012</v>
      </c>
      <c r="N7" s="1214"/>
      <c r="O7" s="1215"/>
      <c r="Q7" s="559"/>
      <c r="R7" s="1202"/>
      <c r="S7" s="1202"/>
    </row>
    <row r="8" spans="1:19" s="549" customFormat="1" ht="17.45" customHeight="1" thickBot="1">
      <c r="A8" s="570" t="s">
        <v>248</v>
      </c>
      <c r="B8" s="571">
        <f>N88+'Eigen informatie GS &amp; warmtenet'!B12</f>
        <v>1237.5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41559.527440077225</v>
      </c>
      <c r="C9" s="580">
        <f t="shared" ref="C9:L9" si="0">SUM(C7:C8)</f>
        <v>2619.0000000000005</v>
      </c>
      <c r="D9" s="580">
        <f t="shared" si="0"/>
        <v>0</v>
      </c>
      <c r="E9" s="580">
        <f t="shared" si="0"/>
        <v>0</v>
      </c>
      <c r="F9" s="580">
        <f t="shared" si="0"/>
        <v>0</v>
      </c>
      <c r="G9" s="580">
        <f t="shared" si="0"/>
        <v>0</v>
      </c>
      <c r="H9" s="580">
        <f t="shared" si="0"/>
        <v>0</v>
      </c>
      <c r="I9" s="580">
        <f t="shared" si="0"/>
        <v>0</v>
      </c>
      <c r="J9" s="580">
        <f t="shared" si="0"/>
        <v>3535.7142857142858</v>
      </c>
      <c r="K9" s="580">
        <f t="shared" si="0"/>
        <v>0</v>
      </c>
      <c r="L9" s="580">
        <f t="shared" si="0"/>
        <v>0</v>
      </c>
      <c r="M9" s="581">
        <f>SUM(M4:M8)</f>
        <v>529.03800000000012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3180.2142857142858</v>
      </c>
      <c r="C16" s="596">
        <f>B101</f>
        <v>3741.428571428572</v>
      </c>
      <c r="D16" s="597"/>
      <c r="E16" s="597">
        <f>E101</f>
        <v>0</v>
      </c>
      <c r="F16" s="598"/>
      <c r="G16" s="599"/>
      <c r="H16" s="596">
        <f>I101</f>
        <v>0</v>
      </c>
      <c r="I16" s="597">
        <f>G101+F101</f>
        <v>0</v>
      </c>
      <c r="J16" s="597">
        <f>H101+D101+C101</f>
        <v>0</v>
      </c>
      <c r="K16" s="597"/>
      <c r="L16" s="600"/>
      <c r="M16" s="601">
        <f>C16*$C$21+E16*$E$21+H16*$H$21+I16*$I$21+J16*$J$21+D16*$D$21+F16*$F$21+G16*$G$21+K16*$K$21+L16*$L$21</f>
        <v>755.76857142857159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3180.2142857142858</v>
      </c>
      <c r="C19" s="579">
        <f>SUM(C16:C18)</f>
        <v>3741.428571428572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755.76857142857159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71022</v>
      </c>
      <c r="C27" s="839">
        <v>3500</v>
      </c>
      <c r="D27" s="658" t="s">
        <v>878</v>
      </c>
      <c r="E27" s="657" t="s">
        <v>879</v>
      </c>
      <c r="F27" s="657" t="s">
        <v>880</v>
      </c>
      <c r="G27" s="657" t="s">
        <v>881</v>
      </c>
      <c r="H27" s="657" t="s">
        <v>882</v>
      </c>
      <c r="I27" s="657" t="s">
        <v>879</v>
      </c>
      <c r="J27" s="838">
        <v>39310</v>
      </c>
      <c r="K27" s="838">
        <v>39508</v>
      </c>
      <c r="L27" s="657" t="s">
        <v>883</v>
      </c>
      <c r="M27" s="657">
        <v>4.7</v>
      </c>
      <c r="N27" s="657">
        <v>21.150000000000002</v>
      </c>
      <c r="O27" s="657">
        <v>30.214285714285719</v>
      </c>
      <c r="P27" s="657">
        <v>60.428571428571438</v>
      </c>
      <c r="Q27" s="657">
        <v>0</v>
      </c>
      <c r="R27" s="657">
        <v>0</v>
      </c>
      <c r="S27" s="657">
        <v>0</v>
      </c>
      <c r="T27" s="657">
        <v>0</v>
      </c>
      <c r="U27" s="657">
        <v>0</v>
      </c>
      <c r="V27" s="657">
        <v>0</v>
      </c>
      <c r="W27" s="657">
        <v>0</v>
      </c>
      <c r="X27" s="657">
        <v>1600</v>
      </c>
      <c r="Y27" s="657" t="s">
        <v>50</v>
      </c>
      <c r="Z27" s="659" t="s">
        <v>156</v>
      </c>
    </row>
    <row r="28" spans="1:26" s="611" customFormat="1" ht="38.25">
      <c r="A28" s="610"/>
      <c r="B28" s="839">
        <v>71022</v>
      </c>
      <c r="C28" s="839">
        <v>3500</v>
      </c>
      <c r="D28" s="658" t="s">
        <v>884</v>
      </c>
      <c r="E28" s="657" t="s">
        <v>885</v>
      </c>
      <c r="F28" s="657" t="s">
        <v>886</v>
      </c>
      <c r="G28" s="657" t="s">
        <v>881</v>
      </c>
      <c r="H28" s="657" t="s">
        <v>882</v>
      </c>
      <c r="I28" s="657" t="s">
        <v>885</v>
      </c>
      <c r="J28" s="838">
        <v>39365</v>
      </c>
      <c r="K28" s="838">
        <v>39471</v>
      </c>
      <c r="L28" s="657" t="s">
        <v>883</v>
      </c>
      <c r="M28" s="657">
        <v>220</v>
      </c>
      <c r="N28" s="657">
        <v>990</v>
      </c>
      <c r="O28" s="657">
        <v>1414.2857142857142</v>
      </c>
      <c r="P28" s="657">
        <v>2828.5714285714289</v>
      </c>
      <c r="Q28" s="657">
        <v>0</v>
      </c>
      <c r="R28" s="657">
        <v>0</v>
      </c>
      <c r="S28" s="657">
        <v>0</v>
      </c>
      <c r="T28" s="657">
        <v>0</v>
      </c>
      <c r="U28" s="657">
        <v>0</v>
      </c>
      <c r="V28" s="657">
        <v>0</v>
      </c>
      <c r="W28" s="657">
        <v>0</v>
      </c>
      <c r="X28" s="657">
        <v>1500</v>
      </c>
      <c r="Y28" s="657" t="s">
        <v>51</v>
      </c>
      <c r="Z28" s="659" t="s">
        <v>156</v>
      </c>
    </row>
    <row r="29" spans="1:26" s="611" customFormat="1" ht="38.25">
      <c r="A29" s="610"/>
      <c r="B29" s="839">
        <v>71022</v>
      </c>
      <c r="C29" s="839">
        <v>3511</v>
      </c>
      <c r="D29" s="658" t="s">
        <v>887</v>
      </c>
      <c r="E29" s="657" t="s">
        <v>888</v>
      </c>
      <c r="F29" s="657" t="s">
        <v>889</v>
      </c>
      <c r="G29" s="657" t="s">
        <v>881</v>
      </c>
      <c r="H29" s="657" t="s">
        <v>882</v>
      </c>
      <c r="I29" s="657" t="s">
        <v>888</v>
      </c>
      <c r="J29" s="838">
        <v>40424</v>
      </c>
      <c r="K29" s="838">
        <v>40725</v>
      </c>
      <c r="L29" s="657" t="s">
        <v>883</v>
      </c>
      <c r="M29" s="657">
        <v>50</v>
      </c>
      <c r="N29" s="657">
        <v>225</v>
      </c>
      <c r="O29" s="657">
        <v>321.42857142857144</v>
      </c>
      <c r="P29" s="657">
        <v>642.85714285714289</v>
      </c>
      <c r="Q29" s="657">
        <v>0</v>
      </c>
      <c r="R29" s="657">
        <v>0</v>
      </c>
      <c r="S29" s="657">
        <v>0</v>
      </c>
      <c r="T29" s="657">
        <v>0</v>
      </c>
      <c r="U29" s="657">
        <v>0</v>
      </c>
      <c r="V29" s="657">
        <v>0</v>
      </c>
      <c r="W29" s="657">
        <v>0</v>
      </c>
      <c r="X29" s="657">
        <v>800</v>
      </c>
      <c r="Y29" s="657" t="s">
        <v>36</v>
      </c>
      <c r="Z29" s="659" t="s">
        <v>390</v>
      </c>
    </row>
    <row r="30" spans="1:26" s="611" customFormat="1" ht="38.25">
      <c r="A30" s="610"/>
      <c r="B30" s="839">
        <v>71022</v>
      </c>
      <c r="C30" s="839">
        <v>3500</v>
      </c>
      <c r="D30" s="658" t="s">
        <v>890</v>
      </c>
      <c r="E30" s="657" t="s">
        <v>891</v>
      </c>
      <c r="F30" s="657" t="s">
        <v>892</v>
      </c>
      <c r="G30" s="657" t="s">
        <v>881</v>
      </c>
      <c r="H30" s="657" t="s">
        <v>882</v>
      </c>
      <c r="I30" s="657" t="s">
        <v>891</v>
      </c>
      <c r="J30" s="838">
        <v>40904</v>
      </c>
      <c r="K30" s="838">
        <v>40904</v>
      </c>
      <c r="L30" s="657" t="s">
        <v>883</v>
      </c>
      <c r="M30" s="657">
        <v>220</v>
      </c>
      <c r="N30" s="657">
        <v>990</v>
      </c>
      <c r="O30" s="657">
        <v>1414.2857142857142</v>
      </c>
      <c r="P30" s="657">
        <v>2828.5714285714289</v>
      </c>
      <c r="Q30" s="657">
        <v>0</v>
      </c>
      <c r="R30" s="657">
        <v>0</v>
      </c>
      <c r="S30" s="657">
        <v>0</v>
      </c>
      <c r="T30" s="657">
        <v>0</v>
      </c>
      <c r="U30" s="657">
        <v>0</v>
      </c>
      <c r="V30" s="657">
        <v>0</v>
      </c>
      <c r="W30" s="657">
        <v>0</v>
      </c>
      <c r="X30" s="657">
        <v>1500</v>
      </c>
      <c r="Y30" s="657" t="s">
        <v>51</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494.7</v>
      </c>
      <c r="N57" s="615">
        <f>SUM(N27:N56)</f>
        <v>2226.15</v>
      </c>
      <c r="O57" s="615">
        <f t="shared" ref="O57:W57" si="2">SUM(O27:O56)</f>
        <v>3180.2142857142858</v>
      </c>
      <c r="P57" s="615">
        <f t="shared" si="2"/>
        <v>6360.4285714285725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50</v>
      </c>
      <c r="N58" s="615">
        <f t="shared" ref="N58:W58" si="3">SUMIF($Z$27:$Z$56,"industrie",N27:N56)</f>
        <v>225</v>
      </c>
      <c r="O58" s="615">
        <f t="shared" si="3"/>
        <v>321.42857142857144</v>
      </c>
      <c r="P58" s="615">
        <f t="shared" si="3"/>
        <v>642.85714285714289</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444.7</v>
      </c>
      <c r="N59" s="615">
        <f ca="1">SUMIF($Z$27:AB56,"tertiair",N27:N56)</f>
        <v>2001.15</v>
      </c>
      <c r="O59" s="615">
        <f ca="1">SUMIF($Z$27:AC56,"tertiair",O27:O56)</f>
        <v>2858.7857142857142</v>
      </c>
      <c r="P59" s="615">
        <f ca="1">SUMIF($Z$27:AD56,"tertiair",P27:P56)</f>
        <v>5717.5714285714294</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71022</v>
      </c>
      <c r="C63" s="839">
        <v>3511</v>
      </c>
      <c r="D63" s="660" t="s">
        <v>893</v>
      </c>
      <c r="E63" s="660" t="s">
        <v>894</v>
      </c>
      <c r="F63" s="660" t="s">
        <v>895</v>
      </c>
      <c r="G63" s="660" t="s">
        <v>896</v>
      </c>
      <c r="H63" s="660" t="s">
        <v>897</v>
      </c>
      <c r="I63" s="660" t="s">
        <v>898</v>
      </c>
      <c r="J63" s="838">
        <v>32143</v>
      </c>
      <c r="K63" s="838">
        <v>37316</v>
      </c>
      <c r="L63" s="660" t="s">
        <v>883</v>
      </c>
      <c r="M63" s="660">
        <v>275</v>
      </c>
      <c r="N63" s="660">
        <v>1237.5</v>
      </c>
      <c r="O63" s="660">
        <v>0</v>
      </c>
      <c r="P63" s="660">
        <v>0</v>
      </c>
      <c r="Q63" s="660">
        <v>3535.7142857142858</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275</v>
      </c>
      <c r="N88" s="615">
        <f t="shared" ref="N88:W88" si="5">SUM(N63:N87)</f>
        <v>1237.5</v>
      </c>
      <c r="O88" s="615">
        <f t="shared" si="5"/>
        <v>0</v>
      </c>
      <c r="P88" s="615">
        <f t="shared" si="5"/>
        <v>0</v>
      </c>
      <c r="Q88" s="615">
        <f t="shared" si="5"/>
        <v>3535.7142857142858</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275</v>
      </c>
      <c r="N90" s="615">
        <f t="shared" ref="N90:W90" si="7">SUMIF($Z$63:$Z$88,"tertiair",N63:N88)</f>
        <v>1237.5</v>
      </c>
      <c r="O90" s="615">
        <f t="shared" si="7"/>
        <v>0</v>
      </c>
      <c r="P90" s="615">
        <f t="shared" si="7"/>
        <v>0</v>
      </c>
      <c r="Q90" s="615">
        <f t="shared" si="7"/>
        <v>3535.7142857142858</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2619.0000000000005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3741.428571428572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759</v>
      </c>
      <c r="B2" s="993" t="s">
        <v>760</v>
      </c>
      <c r="C2" s="989" t="s">
        <v>193</v>
      </c>
      <c r="D2" s="989" t="s">
        <v>761</v>
      </c>
      <c r="E2" s="992"/>
      <c r="F2" s="994" t="s">
        <v>762</v>
      </c>
      <c r="G2" s="994" t="s">
        <v>763</v>
      </c>
      <c r="H2" s="994" t="s">
        <v>764</v>
      </c>
    </row>
    <row r="3" spans="1:9" s="11" customFormat="1">
      <c r="A3" s="355" t="s">
        <v>768</v>
      </c>
      <c r="B3" s="1002" t="s">
        <v>792</v>
      </c>
      <c r="C3" s="355" t="s">
        <v>193</v>
      </c>
      <c r="D3" s="355" t="s">
        <v>779</v>
      </c>
      <c r="E3" s="356"/>
      <c r="F3" s="997" t="s">
        <v>787</v>
      </c>
      <c r="G3" s="997" t="s">
        <v>788</v>
      </c>
      <c r="H3" s="354" t="s">
        <v>789</v>
      </c>
      <c r="I3" s="946"/>
    </row>
    <row r="4" spans="1:9" s="11" customFormat="1">
      <c r="A4" s="989" t="s">
        <v>755</v>
      </c>
      <c r="B4" s="990" t="s">
        <v>760</v>
      </c>
      <c r="C4" s="989" t="s">
        <v>193</v>
      </c>
      <c r="D4" s="991" t="s">
        <v>793</v>
      </c>
      <c r="E4" s="992"/>
      <c r="F4" s="957" t="s">
        <v>762</v>
      </c>
      <c r="G4" s="957" t="s">
        <v>763</v>
      </c>
      <c r="H4" s="957" t="s">
        <v>764</v>
      </c>
    </row>
    <row r="5" spans="1:9" s="946" customFormat="1">
      <c r="A5" s="989" t="s">
        <v>412</v>
      </c>
      <c r="B5" s="999">
        <v>2014</v>
      </c>
      <c r="C5" s="989" t="s">
        <v>412</v>
      </c>
      <c r="D5" s="989" t="s">
        <v>785</v>
      </c>
      <c r="E5" s="992"/>
      <c r="F5" s="994" t="s">
        <v>765</v>
      </c>
      <c r="G5" s="994" t="s">
        <v>766</v>
      </c>
      <c r="H5" s="994" t="s">
        <v>767</v>
      </c>
    </row>
    <row r="6" spans="1:9">
      <c r="A6" s="350" t="s">
        <v>402</v>
      </c>
      <c r="B6" s="351" t="s">
        <v>680</v>
      </c>
      <c r="C6" s="350" t="s">
        <v>402</v>
      </c>
      <c r="D6" s="350" t="s">
        <v>687</v>
      </c>
      <c r="E6" s="352"/>
      <c r="F6" s="353" t="s">
        <v>403</v>
      </c>
      <c r="G6" s="353" t="s">
        <v>404</v>
      </c>
      <c r="H6" s="354" t="s">
        <v>405</v>
      </c>
    </row>
    <row r="7" spans="1:9">
      <c r="A7" s="350" t="s">
        <v>406</v>
      </c>
      <c r="B7" s="351" t="s">
        <v>680</v>
      </c>
      <c r="C7" s="350" t="s">
        <v>406</v>
      </c>
      <c r="D7" s="350" t="s">
        <v>688</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783</v>
      </c>
      <c r="B9" s="1001">
        <v>2013</v>
      </c>
      <c r="C9" s="355" t="s">
        <v>412</v>
      </c>
      <c r="D9" s="355" t="s">
        <v>784</v>
      </c>
      <c r="E9" s="992" t="s">
        <v>786</v>
      </c>
      <c r="F9" s="957"/>
      <c r="G9" s="957"/>
      <c r="H9" s="957"/>
    </row>
    <row r="10" spans="1:9" s="11" customFormat="1">
      <c r="A10" s="355" t="s">
        <v>808</v>
      </c>
      <c r="B10" s="847" t="s">
        <v>809</v>
      </c>
      <c r="C10" s="355" t="s">
        <v>810</v>
      </c>
      <c r="D10" s="355" t="s">
        <v>806</v>
      </c>
      <c r="E10" s="358" t="s">
        <v>805</v>
      </c>
      <c r="F10" s="957"/>
      <c r="G10" s="957"/>
      <c r="H10" s="957"/>
    </row>
    <row r="11" spans="1:9">
      <c r="A11" s="355" t="s">
        <v>642</v>
      </c>
      <c r="B11" s="953" t="s">
        <v>689</v>
      </c>
      <c r="C11" s="355" t="s">
        <v>647</v>
      </c>
      <c r="D11" s="355" t="s">
        <v>648</v>
      </c>
      <c r="E11" s="352"/>
      <c r="F11" s="353" t="s">
        <v>644</v>
      </c>
      <c r="G11" s="353" t="s">
        <v>645</v>
      </c>
      <c r="H11" s="354" t="s">
        <v>646</v>
      </c>
    </row>
    <row r="12" spans="1:9" s="946" customFormat="1">
      <c r="A12" s="995" t="s">
        <v>772</v>
      </c>
      <c r="B12" s="996" t="s">
        <v>773</v>
      </c>
      <c r="C12" s="995" t="s">
        <v>774</v>
      </c>
      <c r="D12" s="995" t="s">
        <v>775</v>
      </c>
      <c r="E12" s="703"/>
      <c r="F12" s="997" t="s">
        <v>776</v>
      </c>
      <c r="G12" s="997" t="s">
        <v>777</v>
      </c>
      <c r="H12" s="354" t="s">
        <v>778</v>
      </c>
    </row>
    <row r="13" spans="1:9" s="946" customFormat="1">
      <c r="A13" s="989" t="s">
        <v>790</v>
      </c>
      <c r="B13" s="999">
        <v>2017</v>
      </c>
      <c r="C13" s="989" t="s">
        <v>431</v>
      </c>
      <c r="D13" s="989" t="s">
        <v>791</v>
      </c>
      <c r="E13" s="1000"/>
      <c r="F13" s="997" t="s">
        <v>787</v>
      </c>
      <c r="G13" s="997" t="s">
        <v>788</v>
      </c>
      <c r="H13" s="354" t="s">
        <v>789</v>
      </c>
    </row>
    <row r="14" spans="1:9" s="10" customFormat="1">
      <c r="A14" s="355" t="s">
        <v>414</v>
      </c>
      <c r="B14" s="351" t="s">
        <v>430</v>
      </c>
      <c r="C14" s="350"/>
      <c r="D14" s="360" t="s">
        <v>429</v>
      </c>
      <c r="E14" s="352"/>
      <c r="F14" s="353"/>
      <c r="G14" s="353"/>
      <c r="H14" s="354"/>
    </row>
    <row r="15" spans="1:9">
      <c r="A15" s="350" t="s">
        <v>396</v>
      </c>
      <c r="B15" s="351" t="s">
        <v>643</v>
      </c>
      <c r="C15" s="350"/>
      <c r="D15" s="350" t="s">
        <v>401</v>
      </c>
      <c r="E15" s="358" t="s">
        <v>397</v>
      </c>
      <c r="F15" s="353" t="s">
        <v>398</v>
      </c>
      <c r="G15" s="353" t="s">
        <v>399</v>
      </c>
      <c r="H15" s="353" t="s">
        <v>400</v>
      </c>
    </row>
    <row r="16" spans="1:9">
      <c r="A16" s="350" t="s">
        <v>413</v>
      </c>
      <c r="B16" s="351" t="s">
        <v>680</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780</v>
      </c>
      <c r="G17" s="998" t="s">
        <v>781</v>
      </c>
      <c r="H17" s="354" t="s">
        <v>782</v>
      </c>
    </row>
    <row r="18" spans="1:8" s="954" customFormat="1">
      <c r="A18" s="958" t="s">
        <v>519</v>
      </c>
      <c r="B18" s="959" t="s">
        <v>814</v>
      </c>
      <c r="C18" s="958" t="s">
        <v>816</v>
      </c>
      <c r="D18" s="960" t="s">
        <v>817</v>
      </c>
      <c r="E18" s="961"/>
      <c r="F18" s="998" t="s">
        <v>780</v>
      </c>
      <c r="G18" s="998" t="s">
        <v>781</v>
      </c>
      <c r="H18" s="354" t="s">
        <v>782</v>
      </c>
    </row>
    <row r="19" spans="1:8" s="11" customFormat="1">
      <c r="A19" s="355" t="s">
        <v>518</v>
      </c>
      <c r="B19" s="359" t="s">
        <v>680</v>
      </c>
      <c r="C19" s="355" t="s">
        <v>431</v>
      </c>
      <c r="D19" s="355" t="s">
        <v>692</v>
      </c>
      <c r="E19" s="356"/>
      <c r="F19" s="994" t="s">
        <v>780</v>
      </c>
      <c r="G19" s="998" t="s">
        <v>781</v>
      </c>
      <c r="H19" s="354" t="s">
        <v>782</v>
      </c>
    </row>
    <row r="20" spans="1:8" s="10" customFormat="1">
      <c r="A20" s="355" t="s">
        <v>517</v>
      </c>
      <c r="B20" s="359" t="s">
        <v>516</v>
      </c>
      <c r="C20" s="355" t="s">
        <v>515</v>
      </c>
      <c r="D20" s="355" t="s">
        <v>514</v>
      </c>
      <c r="E20" s="348"/>
      <c r="F20" s="349"/>
      <c r="G20" s="349"/>
      <c r="H20" s="357"/>
    </row>
    <row r="21" spans="1:8">
      <c r="A21" s="355" t="s">
        <v>193</v>
      </c>
      <c r="B21" s="847" t="s">
        <v>703</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654</v>
      </c>
      <c r="C24" s="355" t="s">
        <v>411</v>
      </c>
      <c r="D24" s="355" t="s">
        <v>690</v>
      </c>
      <c r="E24" s="352" t="s">
        <v>691</v>
      </c>
      <c r="F24" s="353" t="s">
        <v>829</v>
      </c>
      <c r="G24" s="353" t="s">
        <v>830</v>
      </c>
      <c r="H24" s="354" t="s">
        <v>831</v>
      </c>
    </row>
    <row r="25" spans="1:8">
      <c r="A25" s="350" t="s">
        <v>411</v>
      </c>
      <c r="B25" s="953" t="s">
        <v>654</v>
      </c>
      <c r="C25" s="350" t="s">
        <v>411</v>
      </c>
      <c r="D25" s="360" t="s">
        <v>655</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205100.66</v>
      </c>
      <c r="D10" s="704">
        <f ca="1">tertiair!C16</f>
        <v>2858.7857142857142</v>
      </c>
      <c r="E10" s="704">
        <f ca="1">tertiair!D16</f>
        <v>148900.86564342858</v>
      </c>
      <c r="F10" s="704">
        <f>tertiair!E16</f>
        <v>2354.0366524784927</v>
      </c>
      <c r="G10" s="704">
        <f ca="1">tertiair!F16</f>
        <v>38059.873551637618</v>
      </c>
      <c r="H10" s="704">
        <f>tertiair!G16</f>
        <v>0</v>
      </c>
      <c r="I10" s="704">
        <f>tertiair!H16</f>
        <v>0</v>
      </c>
      <c r="J10" s="704">
        <f>tertiair!I16</f>
        <v>0</v>
      </c>
      <c r="K10" s="704">
        <f>tertiair!J16</f>
        <v>0</v>
      </c>
      <c r="L10" s="704">
        <f>tertiair!K16</f>
        <v>0</v>
      </c>
      <c r="M10" s="704">
        <f ca="1">tertiair!L16</f>
        <v>0</v>
      </c>
      <c r="N10" s="704">
        <f>tertiair!M16</f>
        <v>0</v>
      </c>
      <c r="O10" s="704">
        <f ca="1">tertiair!N16</f>
        <v>7669.255366380723</v>
      </c>
      <c r="P10" s="704">
        <f>tertiair!O16</f>
        <v>9.3800000000000008</v>
      </c>
      <c r="Q10" s="705">
        <f>tertiair!P16</f>
        <v>152.53333333333333</v>
      </c>
      <c r="R10" s="707">
        <f ca="1">SUM(C10:Q10)</f>
        <v>405105.3902615445</v>
      </c>
      <c r="S10" s="67"/>
    </row>
    <row r="11" spans="1:19" s="459" customFormat="1">
      <c r="A11" s="858" t="s">
        <v>225</v>
      </c>
      <c r="B11" s="863"/>
      <c r="C11" s="704">
        <f>huishoudens!B8</f>
        <v>135996.72395759239</v>
      </c>
      <c r="D11" s="704">
        <f>huishoudens!C8</f>
        <v>0</v>
      </c>
      <c r="E11" s="704">
        <f>huishoudens!D8</f>
        <v>321471.82042800001</v>
      </c>
      <c r="F11" s="704">
        <f>huishoudens!E8</f>
        <v>11166.159651857559</v>
      </c>
      <c r="G11" s="704">
        <f>huishoudens!F8</f>
        <v>96014.280748569305</v>
      </c>
      <c r="H11" s="704">
        <f>huishoudens!G8</f>
        <v>0</v>
      </c>
      <c r="I11" s="704">
        <f>huishoudens!H8</f>
        <v>0</v>
      </c>
      <c r="J11" s="704">
        <f>huishoudens!I8</f>
        <v>0</v>
      </c>
      <c r="K11" s="704">
        <f>huishoudens!J8</f>
        <v>0</v>
      </c>
      <c r="L11" s="704">
        <f>huishoudens!K8</f>
        <v>0</v>
      </c>
      <c r="M11" s="704">
        <f>huishoudens!L8</f>
        <v>0</v>
      </c>
      <c r="N11" s="704">
        <f>huishoudens!M8</f>
        <v>0</v>
      </c>
      <c r="O11" s="704">
        <f>huishoudens!N8</f>
        <v>40333.343411406422</v>
      </c>
      <c r="P11" s="704">
        <f>huishoudens!O8</f>
        <v>698.81000000000006</v>
      </c>
      <c r="Q11" s="705">
        <f>huishoudens!P8</f>
        <v>2154.5333333333333</v>
      </c>
      <c r="R11" s="707">
        <f>SUM(C11:Q11)</f>
        <v>607835.67153075908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662</v>
      </c>
      <c r="B13" s="868" t="s">
        <v>660</v>
      </c>
      <c r="C13" s="704">
        <f>industrie!B18</f>
        <v>65951.264999999985</v>
      </c>
      <c r="D13" s="704">
        <f>industrie!C18</f>
        <v>321.42857142857144</v>
      </c>
      <c r="E13" s="704">
        <f>industrie!D18</f>
        <v>77528.424441142866</v>
      </c>
      <c r="F13" s="704">
        <f>industrie!E18</f>
        <v>9944.54747071764</v>
      </c>
      <c r="G13" s="704">
        <f>industrie!F18</f>
        <v>44628.165539653077</v>
      </c>
      <c r="H13" s="704">
        <f>industrie!G18</f>
        <v>0</v>
      </c>
      <c r="I13" s="704">
        <f>industrie!H18</f>
        <v>0</v>
      </c>
      <c r="J13" s="704">
        <f>industrie!I18</f>
        <v>0</v>
      </c>
      <c r="K13" s="704">
        <f>industrie!J18</f>
        <v>65.828958894371155</v>
      </c>
      <c r="L13" s="704">
        <f>industrie!K18</f>
        <v>0</v>
      </c>
      <c r="M13" s="704">
        <f>industrie!L18</f>
        <v>0</v>
      </c>
      <c r="N13" s="704">
        <f>industrie!M18</f>
        <v>0</v>
      </c>
      <c r="O13" s="704">
        <f>industrie!N18</f>
        <v>22763.620050745547</v>
      </c>
      <c r="P13" s="704">
        <f>industrie!O18</f>
        <v>0</v>
      </c>
      <c r="Q13" s="705">
        <f>industrie!P18</f>
        <v>0</v>
      </c>
      <c r="R13" s="707">
        <f>SUM(C13:Q13)</f>
        <v>221203.28003258203</v>
      </c>
      <c r="S13" s="67"/>
    </row>
    <row r="14" spans="1:19" s="459" customFormat="1" ht="15" thickBot="1">
      <c r="A14" s="858"/>
      <c r="B14" s="869" t="s">
        <v>661</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407048.64895759244</v>
      </c>
      <c r="D15" s="709">
        <f t="shared" ref="D15:Q15" ca="1" si="0">SUM(D9:D14)</f>
        <v>3180.2142857142858</v>
      </c>
      <c r="E15" s="709">
        <f t="shared" ca="1" si="0"/>
        <v>547901.11051257141</v>
      </c>
      <c r="F15" s="709">
        <f t="shared" si="0"/>
        <v>23464.743775053692</v>
      </c>
      <c r="G15" s="709">
        <f t="shared" ca="1" si="0"/>
        <v>178702.31983985999</v>
      </c>
      <c r="H15" s="709">
        <f t="shared" si="0"/>
        <v>0</v>
      </c>
      <c r="I15" s="709">
        <f t="shared" si="0"/>
        <v>0</v>
      </c>
      <c r="J15" s="709">
        <f t="shared" si="0"/>
        <v>0</v>
      </c>
      <c r="K15" s="709">
        <f t="shared" si="0"/>
        <v>65.828958894371155</v>
      </c>
      <c r="L15" s="709">
        <f t="shared" si="0"/>
        <v>0</v>
      </c>
      <c r="M15" s="709">
        <f t="shared" ca="1" si="0"/>
        <v>0</v>
      </c>
      <c r="N15" s="709">
        <f t="shared" si="0"/>
        <v>0</v>
      </c>
      <c r="O15" s="709">
        <f t="shared" ca="1" si="0"/>
        <v>70766.218828532699</v>
      </c>
      <c r="P15" s="709">
        <f t="shared" si="0"/>
        <v>708.19</v>
      </c>
      <c r="Q15" s="710">
        <f t="shared" si="0"/>
        <v>2307.0666666666666</v>
      </c>
      <c r="R15" s="711">
        <f ca="1">SUM(R9:R14)</f>
        <v>1234144.3418248857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17968.197087243556</v>
      </c>
      <c r="I18" s="704">
        <f>transport!H54</f>
        <v>0</v>
      </c>
      <c r="J18" s="704">
        <f>transport!I54</f>
        <v>0</v>
      </c>
      <c r="K18" s="704">
        <f>transport!J54</f>
        <v>0</v>
      </c>
      <c r="L18" s="704">
        <f>transport!K54</f>
        <v>0</v>
      </c>
      <c r="M18" s="704">
        <f>transport!L54</f>
        <v>0</v>
      </c>
      <c r="N18" s="704">
        <f>transport!M54</f>
        <v>799.0896731772666</v>
      </c>
      <c r="O18" s="704">
        <f>transport!N54</f>
        <v>0</v>
      </c>
      <c r="P18" s="704">
        <f>transport!O54</f>
        <v>0</v>
      </c>
      <c r="Q18" s="705">
        <f>transport!P54</f>
        <v>0</v>
      </c>
      <c r="R18" s="707">
        <f>SUM(C18:Q18)</f>
        <v>18767.286760420822</v>
      </c>
      <c r="S18" s="67"/>
    </row>
    <row r="19" spans="1:19" s="459" customFormat="1" ht="15" thickBot="1">
      <c r="A19" s="858" t="s">
        <v>307</v>
      </c>
      <c r="B19" s="863"/>
      <c r="C19" s="713">
        <f>transport!B14</f>
        <v>35.93883016910231</v>
      </c>
      <c r="D19" s="713">
        <f>transport!C14</f>
        <v>0</v>
      </c>
      <c r="E19" s="713">
        <f>transport!D14</f>
        <v>57.402771186769101</v>
      </c>
      <c r="F19" s="713">
        <f>transport!E14</f>
        <v>1902.8837194925386</v>
      </c>
      <c r="G19" s="713">
        <f>transport!F14</f>
        <v>0</v>
      </c>
      <c r="H19" s="713">
        <f>transport!G14</f>
        <v>446946.8318004093</v>
      </c>
      <c r="I19" s="713">
        <f>transport!H14</f>
        <v>87254.323556569332</v>
      </c>
      <c r="J19" s="713">
        <f>transport!I14</f>
        <v>0</v>
      </c>
      <c r="K19" s="713">
        <f>transport!J14</f>
        <v>0</v>
      </c>
      <c r="L19" s="713">
        <f>transport!K14</f>
        <v>0</v>
      </c>
      <c r="M19" s="713">
        <f>transport!L14</f>
        <v>0</v>
      </c>
      <c r="N19" s="713">
        <f>transport!M14</f>
        <v>24152.878900095286</v>
      </c>
      <c r="O19" s="713">
        <f>transport!N14</f>
        <v>0</v>
      </c>
      <c r="P19" s="713">
        <f>transport!O14</f>
        <v>0</v>
      </c>
      <c r="Q19" s="714">
        <f>transport!P14</f>
        <v>0</v>
      </c>
      <c r="R19" s="715">
        <f>SUM(C19:Q19)</f>
        <v>560350.25957792229</v>
      </c>
      <c r="S19" s="67"/>
    </row>
    <row r="20" spans="1:19" s="459" customFormat="1" ht="15.75" thickBot="1">
      <c r="A20" s="716" t="s">
        <v>230</v>
      </c>
      <c r="B20" s="866"/>
      <c r="C20" s="861">
        <f>SUM(C17:C19)</f>
        <v>35.93883016910231</v>
      </c>
      <c r="D20" s="717">
        <f t="shared" ref="D20:R20" si="1">SUM(D17:D19)</f>
        <v>0</v>
      </c>
      <c r="E20" s="717">
        <f t="shared" si="1"/>
        <v>57.402771186769101</v>
      </c>
      <c r="F20" s="717">
        <f t="shared" si="1"/>
        <v>1902.8837194925386</v>
      </c>
      <c r="G20" s="717">
        <f t="shared" si="1"/>
        <v>0</v>
      </c>
      <c r="H20" s="717">
        <f t="shared" si="1"/>
        <v>464915.02888765285</v>
      </c>
      <c r="I20" s="717">
        <f t="shared" si="1"/>
        <v>87254.323556569332</v>
      </c>
      <c r="J20" s="717">
        <f t="shared" si="1"/>
        <v>0</v>
      </c>
      <c r="K20" s="717">
        <f t="shared" si="1"/>
        <v>0</v>
      </c>
      <c r="L20" s="717">
        <f t="shared" si="1"/>
        <v>0</v>
      </c>
      <c r="M20" s="717">
        <f t="shared" si="1"/>
        <v>0</v>
      </c>
      <c r="N20" s="717">
        <f t="shared" si="1"/>
        <v>24951.968573272552</v>
      </c>
      <c r="O20" s="717">
        <f t="shared" si="1"/>
        <v>0</v>
      </c>
      <c r="P20" s="717">
        <f t="shared" si="1"/>
        <v>0</v>
      </c>
      <c r="Q20" s="718">
        <f t="shared" si="1"/>
        <v>0</v>
      </c>
      <c r="R20" s="719">
        <f t="shared" si="1"/>
        <v>579117.54633834306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656</v>
      </c>
      <c r="B22" s="867"/>
      <c r="C22" s="713">
        <f>+landbouw!B8</f>
        <v>1854.6130000000001</v>
      </c>
      <c r="D22" s="713">
        <f>+landbouw!C8</f>
        <v>0</v>
      </c>
      <c r="E22" s="713">
        <f>+landbouw!D8</f>
        <v>2503.2376160000003</v>
      </c>
      <c r="F22" s="713">
        <f>+landbouw!E8</f>
        <v>23.370513027323071</v>
      </c>
      <c r="G22" s="713">
        <f>+landbouw!F8</f>
        <v>6398.8794583179852</v>
      </c>
      <c r="H22" s="713">
        <f>+landbouw!G8</f>
        <v>0</v>
      </c>
      <c r="I22" s="713">
        <f>+landbouw!H8</f>
        <v>0</v>
      </c>
      <c r="J22" s="713">
        <f>+landbouw!I8</f>
        <v>0</v>
      </c>
      <c r="K22" s="713">
        <f>+landbouw!J8</f>
        <v>278.91271270348653</v>
      </c>
      <c r="L22" s="713">
        <f>+landbouw!K8</f>
        <v>0</v>
      </c>
      <c r="M22" s="713">
        <f>+landbouw!L8</f>
        <v>0</v>
      </c>
      <c r="N22" s="713">
        <f>+landbouw!M8</f>
        <v>0</v>
      </c>
      <c r="O22" s="713">
        <f>+landbouw!N8</f>
        <v>0</v>
      </c>
      <c r="P22" s="713">
        <f>+landbouw!O8</f>
        <v>0</v>
      </c>
      <c r="Q22" s="714">
        <f>+landbouw!P8</f>
        <v>0</v>
      </c>
      <c r="R22" s="715">
        <f>SUM(C22:Q22)</f>
        <v>11059.013300048795</v>
      </c>
      <c r="S22" s="67"/>
    </row>
    <row r="23" spans="1:19" s="459" customFormat="1" ht="17.25" thickTop="1" thickBot="1">
      <c r="A23" s="720" t="s">
        <v>116</v>
      </c>
      <c r="B23" s="852"/>
      <c r="C23" s="721">
        <f ca="1">C20+C15+C22</f>
        <v>408939.20078776154</v>
      </c>
      <c r="D23" s="721">
        <f t="shared" ref="D23:Q23" ca="1" si="2">D20+D15+D22</f>
        <v>3180.2142857142858</v>
      </c>
      <c r="E23" s="721">
        <f t="shared" ca="1" si="2"/>
        <v>550461.75089975819</v>
      </c>
      <c r="F23" s="721">
        <f t="shared" si="2"/>
        <v>25390.998007573555</v>
      </c>
      <c r="G23" s="721">
        <f t="shared" ca="1" si="2"/>
        <v>185101.19929817799</v>
      </c>
      <c r="H23" s="721">
        <f t="shared" si="2"/>
        <v>464915.02888765285</v>
      </c>
      <c r="I23" s="721">
        <f t="shared" si="2"/>
        <v>87254.323556569332</v>
      </c>
      <c r="J23" s="721">
        <f t="shared" si="2"/>
        <v>0</v>
      </c>
      <c r="K23" s="721">
        <f t="shared" si="2"/>
        <v>344.7416715978577</v>
      </c>
      <c r="L23" s="721">
        <f t="shared" si="2"/>
        <v>0</v>
      </c>
      <c r="M23" s="721">
        <f t="shared" ca="1" si="2"/>
        <v>0</v>
      </c>
      <c r="N23" s="721">
        <f t="shared" si="2"/>
        <v>24951.968573272552</v>
      </c>
      <c r="O23" s="721">
        <f t="shared" ca="1" si="2"/>
        <v>70766.218828532699</v>
      </c>
      <c r="P23" s="721">
        <f t="shared" si="2"/>
        <v>708.19</v>
      </c>
      <c r="Q23" s="722">
        <f t="shared" si="2"/>
        <v>2307.0666666666666</v>
      </c>
      <c r="R23" s="723">
        <f ca="1">R20+R15+R22</f>
        <v>1824320.9014632776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40986.080054137135</v>
      </c>
      <c r="D36" s="704">
        <f ca="1">tertiair!C20</f>
        <v>679.38201680672285</v>
      </c>
      <c r="E36" s="704">
        <f ca="1">tertiair!D20</f>
        <v>30077.974859972575</v>
      </c>
      <c r="F36" s="704">
        <f>tertiair!E20</f>
        <v>534.36632011261781</v>
      </c>
      <c r="G36" s="704">
        <f ca="1">tertiair!F20</f>
        <v>10161.986238287245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82439.789489316288</v>
      </c>
    </row>
    <row r="37" spans="1:18">
      <c r="A37" s="873" t="s">
        <v>225</v>
      </c>
      <c r="B37" s="880"/>
      <c r="C37" s="704">
        <f ca="1">huishoudens!B12</f>
        <v>27176.765863290115</v>
      </c>
      <c r="D37" s="704">
        <f ca="1">huishoudens!C12</f>
        <v>0</v>
      </c>
      <c r="E37" s="704">
        <f>huishoudens!D12</f>
        <v>64937.307726456005</v>
      </c>
      <c r="F37" s="704">
        <f>huishoudens!E12</f>
        <v>2534.7182409716661</v>
      </c>
      <c r="G37" s="704">
        <f>huishoudens!F12</f>
        <v>25635.812959868006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120284.60479058578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663</v>
      </c>
      <c r="B39" s="888" t="s">
        <v>660</v>
      </c>
      <c r="C39" s="704">
        <f ca="1">industrie!B22</f>
        <v>13179.303406247509</v>
      </c>
      <c r="D39" s="704">
        <f ca="1">industrie!C22</f>
        <v>76.386554621848759</v>
      </c>
      <c r="E39" s="704">
        <f>industrie!D22</f>
        <v>15660.74173711086</v>
      </c>
      <c r="F39" s="704">
        <f>industrie!E22</f>
        <v>2257.4122758529043</v>
      </c>
      <c r="G39" s="704">
        <f>industrie!F22</f>
        <v>11915.720199087373</v>
      </c>
      <c r="H39" s="704">
        <f>industrie!G22</f>
        <v>0</v>
      </c>
      <c r="I39" s="704">
        <f>industrie!H22</f>
        <v>0</v>
      </c>
      <c r="J39" s="704">
        <f>industrie!I22</f>
        <v>0</v>
      </c>
      <c r="K39" s="704">
        <f>industrie!J22</f>
        <v>23.303451448607387</v>
      </c>
      <c r="L39" s="704">
        <f>industrie!K22</f>
        <v>0</v>
      </c>
      <c r="M39" s="704">
        <f>industrie!L22</f>
        <v>0</v>
      </c>
      <c r="N39" s="704">
        <f>industrie!M22</f>
        <v>0</v>
      </c>
      <c r="O39" s="704">
        <f>industrie!N22</f>
        <v>0</v>
      </c>
      <c r="P39" s="704">
        <f>industrie!O22</f>
        <v>0</v>
      </c>
      <c r="Q39" s="814">
        <f>industrie!P22</f>
        <v>0</v>
      </c>
      <c r="R39" s="906">
        <f ca="1">SUM(C39:Q39)</f>
        <v>43112.867624369101</v>
      </c>
    </row>
    <row r="40" spans="1:18" ht="15" thickBot="1">
      <c r="A40" s="882"/>
      <c r="B40" s="889" t="s">
        <v>661</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81342.149323674748</v>
      </c>
      <c r="D41" s="749">
        <f t="shared" ref="D41:R41" ca="1" si="4">SUM(D35:D40)</f>
        <v>755.76857142857159</v>
      </c>
      <c r="E41" s="749">
        <f t="shared" ca="1" si="4"/>
        <v>110676.02432353944</v>
      </c>
      <c r="F41" s="749">
        <f t="shared" si="4"/>
        <v>5326.4968369371882</v>
      </c>
      <c r="G41" s="749">
        <f t="shared" ca="1" si="4"/>
        <v>47713.51939724262</v>
      </c>
      <c r="H41" s="749">
        <f t="shared" si="4"/>
        <v>0</v>
      </c>
      <c r="I41" s="749">
        <f t="shared" si="4"/>
        <v>0</v>
      </c>
      <c r="J41" s="749">
        <f t="shared" si="4"/>
        <v>0</v>
      </c>
      <c r="K41" s="749">
        <f t="shared" si="4"/>
        <v>23.303451448607387</v>
      </c>
      <c r="L41" s="749">
        <f t="shared" si="4"/>
        <v>0</v>
      </c>
      <c r="M41" s="749">
        <f t="shared" ca="1" si="4"/>
        <v>0</v>
      </c>
      <c r="N41" s="749">
        <f t="shared" si="4"/>
        <v>0</v>
      </c>
      <c r="O41" s="749">
        <f t="shared" ca="1" si="4"/>
        <v>0</v>
      </c>
      <c r="P41" s="749">
        <f t="shared" si="4"/>
        <v>0</v>
      </c>
      <c r="Q41" s="750">
        <f t="shared" si="4"/>
        <v>0</v>
      </c>
      <c r="R41" s="751">
        <f t="shared" ca="1" si="4"/>
        <v>245837.26190427117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4797.5086222940299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4797.5086222940299</v>
      </c>
    </row>
    <row r="45" spans="1:18" ht="15" thickBot="1">
      <c r="A45" s="876" t="s">
        <v>307</v>
      </c>
      <c r="B45" s="886"/>
      <c r="C45" s="713">
        <f ca="1">transport!B18</f>
        <v>7.1817992704795115</v>
      </c>
      <c r="D45" s="713">
        <f>transport!C18</f>
        <v>0</v>
      </c>
      <c r="E45" s="713">
        <f>transport!D18</f>
        <v>11.595359779727358</v>
      </c>
      <c r="F45" s="713">
        <f>transport!E18</f>
        <v>431.95460432480627</v>
      </c>
      <c r="G45" s="713">
        <f>transport!F18</f>
        <v>0</v>
      </c>
      <c r="H45" s="713">
        <f>transport!G18</f>
        <v>119334.80409070929</v>
      </c>
      <c r="I45" s="713">
        <f>transport!H18</f>
        <v>21726.326565585765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141511.86241967007</v>
      </c>
    </row>
    <row r="46" spans="1:18" ht="15.75" thickBot="1">
      <c r="A46" s="874" t="s">
        <v>230</v>
      </c>
      <c r="B46" s="887"/>
      <c r="C46" s="749">
        <f t="shared" ref="C46:R46" ca="1" si="5">SUM(C43:C45)</f>
        <v>7.1817992704795115</v>
      </c>
      <c r="D46" s="749">
        <f t="shared" ca="1" si="5"/>
        <v>0</v>
      </c>
      <c r="E46" s="749">
        <f t="shared" si="5"/>
        <v>11.595359779727358</v>
      </c>
      <c r="F46" s="749">
        <f t="shared" si="5"/>
        <v>431.95460432480627</v>
      </c>
      <c r="G46" s="749">
        <f t="shared" si="5"/>
        <v>0</v>
      </c>
      <c r="H46" s="749">
        <f t="shared" si="5"/>
        <v>124132.31271300332</v>
      </c>
      <c r="I46" s="749">
        <f t="shared" si="5"/>
        <v>21726.326565585765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146309.3710419641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656</v>
      </c>
      <c r="B48" s="892"/>
      <c r="C48" s="704">
        <f ca="1">+landbouw!B12</f>
        <v>370.61468689297953</v>
      </c>
      <c r="D48" s="704">
        <f ca="1">+landbouw!C12</f>
        <v>0</v>
      </c>
      <c r="E48" s="704">
        <f>+landbouw!D12</f>
        <v>505.65399843200009</v>
      </c>
      <c r="F48" s="704">
        <f>+landbouw!E12</f>
        <v>5.3051064572023376</v>
      </c>
      <c r="G48" s="704">
        <f>+landbouw!F12</f>
        <v>1708.500815370902</v>
      </c>
      <c r="H48" s="704">
        <f>+landbouw!G12</f>
        <v>0</v>
      </c>
      <c r="I48" s="704">
        <f>+landbouw!H12</f>
        <v>0</v>
      </c>
      <c r="J48" s="704">
        <f>+landbouw!I12</f>
        <v>0</v>
      </c>
      <c r="K48" s="704">
        <f>+landbouw!J12</f>
        <v>98.735100297034222</v>
      </c>
      <c r="L48" s="704">
        <f>+landbouw!K12</f>
        <v>0</v>
      </c>
      <c r="M48" s="704">
        <f>+landbouw!L12</f>
        <v>0</v>
      </c>
      <c r="N48" s="704">
        <f>+landbouw!M12</f>
        <v>0</v>
      </c>
      <c r="O48" s="704">
        <f>+landbouw!N12</f>
        <v>0</v>
      </c>
      <c r="P48" s="704">
        <f>+landbouw!O12</f>
        <v>0</v>
      </c>
      <c r="Q48" s="705">
        <f>+landbouw!P12</f>
        <v>0</v>
      </c>
      <c r="R48" s="747">
        <f ca="1">SUM(C48:Q48)</f>
        <v>2688.8097074501179</v>
      </c>
    </row>
    <row r="49" spans="1:18" ht="15.75">
      <c r="A49" s="851" t="s">
        <v>657</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81719.945809838202</v>
      </c>
      <c r="D53" s="759">
        <f t="shared" ref="D53:Q53" ca="1" si="6">D41+D46+D48</f>
        <v>755.76857142857159</v>
      </c>
      <c r="E53" s="759">
        <f t="shared" ca="1" si="6"/>
        <v>111193.27368175118</v>
      </c>
      <c r="F53" s="759">
        <f t="shared" si="6"/>
        <v>5763.7565477191974</v>
      </c>
      <c r="G53" s="759">
        <f t="shared" ca="1" si="6"/>
        <v>49422.020212613519</v>
      </c>
      <c r="H53" s="759">
        <f t="shared" si="6"/>
        <v>124132.31271300332</v>
      </c>
      <c r="I53" s="759">
        <f t="shared" si="6"/>
        <v>21726.326565585765</v>
      </c>
      <c r="J53" s="759">
        <f t="shared" si="6"/>
        <v>0</v>
      </c>
      <c r="K53" s="759">
        <f t="shared" si="6"/>
        <v>122.03855174564161</v>
      </c>
      <c r="L53" s="759">
        <f t="shared" si="6"/>
        <v>0</v>
      </c>
      <c r="M53" s="759">
        <f t="shared" ca="1" si="6"/>
        <v>0</v>
      </c>
      <c r="N53" s="759">
        <f t="shared" si="6"/>
        <v>0</v>
      </c>
      <c r="O53" s="759">
        <f t="shared" ca="1" si="6"/>
        <v>0</v>
      </c>
      <c r="P53" s="759">
        <f>P41+P46+P48</f>
        <v>0</v>
      </c>
      <c r="Q53" s="760">
        <f t="shared" si="6"/>
        <v>0</v>
      </c>
      <c r="R53" s="761">
        <f ca="1">R41+R46+R48</f>
        <v>394835.44265368534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0.19983397446959519</v>
      </c>
      <c r="D55" s="824">
        <f t="shared" ca="1" si="7"/>
        <v>0.23764705882352946</v>
      </c>
      <c r="E55" s="824">
        <f t="shared" ca="1" si="7"/>
        <v>0.20200000000000004</v>
      </c>
      <c r="F55" s="824">
        <f t="shared" si="7"/>
        <v>0.22700000000000001</v>
      </c>
      <c r="G55" s="824">
        <f t="shared" ca="1" si="7"/>
        <v>0.26699999999999996</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666</v>
      </c>
      <c r="O61" s="1098" t="s">
        <v>665</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570</v>
      </c>
      <c r="C63" s="842" t="s">
        <v>664</v>
      </c>
      <c r="D63" s="774" t="s">
        <v>199</v>
      </c>
      <c r="E63" s="775" t="s">
        <v>200</v>
      </c>
      <c r="F63" s="776" t="s">
        <v>201</v>
      </c>
      <c r="G63" s="777" t="s">
        <v>203</v>
      </c>
      <c r="H63" s="778" t="s">
        <v>204</v>
      </c>
      <c r="I63" s="779"/>
      <c r="J63" s="775"/>
      <c r="K63" s="775"/>
      <c r="L63" s="775"/>
      <c r="M63" s="1103"/>
      <c r="N63" s="1067"/>
      <c r="O63" s="845" t="s">
        <v>667</v>
      </c>
      <c r="P63" s="843" t="s">
        <v>668</v>
      </c>
      <c r="Q63" s="771"/>
      <c r="R63" s="728"/>
    </row>
    <row r="64" spans="1:18" ht="15.75" thickTop="1">
      <c r="A64" s="780" t="s">
        <v>249</v>
      </c>
      <c r="B64" s="896">
        <f>'lokale energieproductie'!B4</f>
        <v>15825.329154847839</v>
      </c>
      <c r="C64" s="781">
        <f>'lokale energieproductie'!B4</f>
        <v>15825.329154847839</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22270.548285229386</v>
      </c>
      <c r="C66" s="781">
        <f>'lokale energieproductie'!B6</f>
        <v>22270.548285229386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2226.15</v>
      </c>
      <c r="C67" s="780">
        <f>B67*IFERROR(SUM(J67:L67)/SUM(D67:M67),0)</f>
        <v>0</v>
      </c>
      <c r="D67" s="812">
        <f>'lokale energieproductie'!C7</f>
        <v>2619.0000000000005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529.03800000000012</v>
      </c>
      <c r="P67" s="910">
        <v>0</v>
      </c>
      <c r="Q67" s="771"/>
      <c r="R67" s="728"/>
    </row>
    <row r="68" spans="1:18" ht="30.75" thickBot="1">
      <c r="A68" s="787" t="s">
        <v>353</v>
      </c>
      <c r="B68" s="780">
        <f>'lokale energieproductie'!B8</f>
        <v>1237.5</v>
      </c>
      <c r="C68" s="780">
        <f>B68*IFERROR(SUM(J68:L68)/SUM(D68:M68),0)</f>
        <v>1237.5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3535.7142857142858</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41559.527440077225</v>
      </c>
      <c r="C69" s="789">
        <f>SUM(C64:C68)</f>
        <v>39333.377440077224</v>
      </c>
      <c r="D69" s="790">
        <f t="shared" ref="D69:M69" si="8">SUM(D67:D68)</f>
        <v>2619.0000000000005</v>
      </c>
      <c r="E69" s="790">
        <f t="shared" si="8"/>
        <v>0</v>
      </c>
      <c r="F69" s="790">
        <f t="shared" si="8"/>
        <v>0</v>
      </c>
      <c r="G69" s="790">
        <f t="shared" si="8"/>
        <v>0</v>
      </c>
      <c r="H69" s="790">
        <f t="shared" si="8"/>
        <v>0</v>
      </c>
      <c r="I69" s="790">
        <f t="shared" si="8"/>
        <v>0</v>
      </c>
      <c r="J69" s="790">
        <f t="shared" si="8"/>
        <v>0</v>
      </c>
      <c r="K69" s="790">
        <f t="shared" si="8"/>
        <v>3535.7142857142858</v>
      </c>
      <c r="L69" s="790">
        <f t="shared" si="8"/>
        <v>0</v>
      </c>
      <c r="M69" s="918">
        <f t="shared" si="8"/>
        <v>0</v>
      </c>
      <c r="N69" s="791">
        <v>0</v>
      </c>
      <c r="O69" s="791">
        <f>SUM(O67:O68)</f>
        <v>529.03800000000012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666</v>
      </c>
      <c r="O75" s="1073" t="s">
        <v>665</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570</v>
      </c>
      <c r="C77" s="897" t="s">
        <v>664</v>
      </c>
      <c r="D77" s="799" t="s">
        <v>199</v>
      </c>
      <c r="E77" s="775" t="s">
        <v>200</v>
      </c>
      <c r="F77" s="800" t="s">
        <v>201</v>
      </c>
      <c r="G77" s="775" t="s">
        <v>203</v>
      </c>
      <c r="H77" s="801" t="s">
        <v>204</v>
      </c>
      <c r="I77" s="1072"/>
      <c r="J77" s="1072"/>
      <c r="K77" s="1076"/>
      <c r="L77" s="1078"/>
      <c r="M77" s="1080"/>
      <c r="N77" s="1067"/>
      <c r="O77" s="845" t="s">
        <v>667</v>
      </c>
      <c r="P77" s="843" t="s">
        <v>668</v>
      </c>
      <c r="Q77" s="798"/>
      <c r="R77" s="728"/>
    </row>
    <row r="78" spans="1:18" ht="15.75" thickTop="1">
      <c r="A78" s="802" t="s">
        <v>252</v>
      </c>
      <c r="B78" s="803">
        <f>'lokale energieproductie'!B16</f>
        <v>3180.2142857142858</v>
      </c>
      <c r="C78" s="803">
        <f>B78*IFERROR(SUM(I78:L78)/SUM(D78:M78),0)</f>
        <v>0</v>
      </c>
      <c r="D78" s="818">
        <f>'lokale energieproductie'!C16</f>
        <v>3741.428571428572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755.76857142857159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3180.2142857142858</v>
      </c>
      <c r="C81" s="789">
        <f>SUM(C78:C80)</f>
        <v>0</v>
      </c>
      <c r="D81" s="789">
        <f t="shared" ref="D81:P81" si="9">SUM(D78:D80)</f>
        <v>3741.428571428572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755.76857142857159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632</v>
      </c>
      <c r="B1" s="962" t="s">
        <v>633</v>
      </c>
      <c r="C1" s="962" t="s">
        <v>635</v>
      </c>
      <c r="D1" s="962" t="s">
        <v>634</v>
      </c>
    </row>
    <row r="2" spans="1:4" s="946" customFormat="1">
      <c r="A2" s="946" t="s">
        <v>683</v>
      </c>
      <c r="B2" s="820">
        <v>42283</v>
      </c>
      <c r="C2" s="946" t="s">
        <v>715</v>
      </c>
      <c r="D2" s="951" t="s">
        <v>709</v>
      </c>
    </row>
    <row r="3" spans="1:4" s="946" customFormat="1">
      <c r="A3" s="946" t="s">
        <v>683</v>
      </c>
      <c r="B3" s="820">
        <v>42282</v>
      </c>
      <c r="C3" s="946" t="s">
        <v>714</v>
      </c>
      <c r="D3" s="951" t="s">
        <v>705</v>
      </c>
    </row>
    <row r="4" spans="1:4" s="946" customFormat="1">
      <c r="A4" s="946" t="s">
        <v>683</v>
      </c>
      <c r="B4" s="820">
        <v>42282</v>
      </c>
      <c r="C4" s="946" t="s">
        <v>713</v>
      </c>
      <c r="D4" s="951" t="s">
        <v>706</v>
      </c>
    </row>
    <row r="5" spans="1:4" s="946" customFormat="1">
      <c r="A5" s="946" t="s">
        <v>683</v>
      </c>
      <c r="B5" s="820">
        <v>42282</v>
      </c>
      <c r="C5" s="946" t="s">
        <v>712</v>
      </c>
      <c r="D5" s="951" t="s">
        <v>707</v>
      </c>
    </row>
    <row r="6" spans="1:4" s="946" customFormat="1">
      <c r="A6" s="946" t="s">
        <v>683</v>
      </c>
      <c r="B6" s="820">
        <v>42282</v>
      </c>
      <c r="C6" s="946" t="s">
        <v>711</v>
      </c>
      <c r="D6" s="951" t="s">
        <v>708</v>
      </c>
    </row>
    <row r="7" spans="1:4">
      <c r="A7" t="s">
        <v>683</v>
      </c>
      <c r="B7" s="820">
        <v>42275</v>
      </c>
      <c r="C7" t="s">
        <v>704</v>
      </c>
      <c r="D7" s="821" t="s">
        <v>651</v>
      </c>
    </row>
    <row r="8" spans="1:4">
      <c r="A8" t="s">
        <v>683</v>
      </c>
      <c r="B8" s="820">
        <v>42234</v>
      </c>
      <c r="C8" t="s">
        <v>684</v>
      </c>
      <c r="D8" s="821" t="s">
        <v>652</v>
      </c>
    </row>
    <row r="9" spans="1:4" s="954" customFormat="1">
      <c r="A9" s="954" t="s">
        <v>683</v>
      </c>
      <c r="B9" s="955">
        <v>42234</v>
      </c>
      <c r="C9" s="954" t="s">
        <v>699</v>
      </c>
      <c r="D9" s="951" t="s">
        <v>669</v>
      </c>
    </row>
    <row r="10" spans="1:4" s="954" customFormat="1">
      <c r="A10" s="954" t="s">
        <v>683</v>
      </c>
      <c r="B10" s="955">
        <v>42234</v>
      </c>
      <c r="C10" s="954" t="s">
        <v>700</v>
      </c>
      <c r="D10" s="951" t="s">
        <v>670</v>
      </c>
    </row>
    <row r="11" spans="1:4" s="954" customFormat="1">
      <c r="A11" s="954" t="s">
        <v>716</v>
      </c>
      <c r="B11" s="955">
        <v>42430</v>
      </c>
      <c r="C11" s="954" t="s">
        <v>717</v>
      </c>
      <c r="D11" s="951" t="s">
        <v>707</v>
      </c>
    </row>
    <row r="12" spans="1:4" s="7" customFormat="1">
      <c r="A12" s="954" t="s">
        <v>716</v>
      </c>
      <c r="B12" s="955">
        <v>42468</v>
      </c>
      <c r="C12" s="954" t="s">
        <v>718</v>
      </c>
      <c r="D12" s="971" t="s">
        <v>669</v>
      </c>
    </row>
    <row r="13" spans="1:4" s="7" customFormat="1">
      <c r="A13" s="954" t="s">
        <v>716</v>
      </c>
      <c r="B13" s="973">
        <v>42538</v>
      </c>
      <c r="C13" s="973" t="s">
        <v>719</v>
      </c>
      <c r="D13" s="973"/>
    </row>
    <row r="14" spans="1:4" s="7" customFormat="1">
      <c r="A14" s="954" t="s">
        <v>716</v>
      </c>
      <c r="B14" s="973">
        <v>42538</v>
      </c>
      <c r="C14" s="973" t="s">
        <v>720</v>
      </c>
      <c r="D14" s="974" t="s">
        <v>721</v>
      </c>
    </row>
    <row r="15" spans="1:4" s="7" customFormat="1">
      <c r="A15" s="954" t="s">
        <v>716</v>
      </c>
      <c r="B15" s="973">
        <v>42538</v>
      </c>
      <c r="C15" s="973" t="s">
        <v>722</v>
      </c>
      <c r="D15" s="975" t="s">
        <v>723</v>
      </c>
    </row>
    <row r="16" spans="1:4" s="7" customFormat="1">
      <c r="A16" s="954" t="s">
        <v>716</v>
      </c>
      <c r="B16" s="973">
        <v>42538</v>
      </c>
      <c r="C16" s="973" t="s">
        <v>724</v>
      </c>
      <c r="D16" s="974" t="s">
        <v>725</v>
      </c>
    </row>
    <row r="17" spans="1:4" s="7" customFormat="1">
      <c r="A17" s="954" t="s">
        <v>749</v>
      </c>
      <c r="B17" s="973">
        <v>42583</v>
      </c>
      <c r="C17" s="973" t="s">
        <v>750</v>
      </c>
      <c r="D17" s="951" t="s">
        <v>669</v>
      </c>
    </row>
    <row r="18" spans="1:4" s="7" customFormat="1">
      <c r="A18" s="954" t="s">
        <v>756</v>
      </c>
      <c r="B18" s="820">
        <v>42877</v>
      </c>
      <c r="C18" s="946" t="s">
        <v>811</v>
      </c>
      <c r="D18" s="951" t="s">
        <v>708</v>
      </c>
    </row>
    <row r="19" spans="1:4" s="7" customFormat="1">
      <c r="A19" s="954" t="s">
        <v>756</v>
      </c>
      <c r="B19" s="820">
        <v>42877</v>
      </c>
      <c r="C19" s="946" t="s">
        <v>812</v>
      </c>
      <c r="D19" s="988" t="s">
        <v>757</v>
      </c>
    </row>
    <row r="20" spans="1:4" s="7" customFormat="1">
      <c r="A20" s="954" t="s">
        <v>756</v>
      </c>
      <c r="B20" s="820">
        <v>42877</v>
      </c>
      <c r="C20" s="946" t="s">
        <v>813</v>
      </c>
      <c r="D20" s="951" t="s">
        <v>758</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t="s">
        <v>833</v>
      </c>
      <c r="B26" s="820">
        <v>43425</v>
      </c>
      <c r="C26" s="973" t="s">
        <v>834</v>
      </c>
    </row>
    <row r="27" spans="1:4">
      <c r="A27" s="954" t="s">
        <v>833</v>
      </c>
      <c r="B27" s="820">
        <v>43444</v>
      </c>
      <c r="C27" s="973" t="s">
        <v>871</v>
      </c>
      <c r="D27" s="988" t="s">
        <v>872</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565</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135996.72395759239</v>
      </c>
      <c r="C4" s="463">
        <f>huishoudens!C8</f>
        <v>0</v>
      </c>
      <c r="D4" s="463">
        <f>huishoudens!D8</f>
        <v>321471.82042800001</v>
      </c>
      <c r="E4" s="463">
        <f>huishoudens!E8</f>
        <v>11166.159651857559</v>
      </c>
      <c r="F4" s="463">
        <f>huishoudens!F8</f>
        <v>96014.280748569305</v>
      </c>
      <c r="G4" s="463">
        <f>huishoudens!G8</f>
        <v>0</v>
      </c>
      <c r="H4" s="463">
        <f>huishoudens!H8</f>
        <v>0</v>
      </c>
      <c r="I4" s="463">
        <f>huishoudens!I8</f>
        <v>0</v>
      </c>
      <c r="J4" s="463">
        <f>huishoudens!J8</f>
        <v>0</v>
      </c>
      <c r="K4" s="463">
        <f>huishoudens!K8</f>
        <v>0</v>
      </c>
      <c r="L4" s="463">
        <f>huishoudens!L8</f>
        <v>0</v>
      </c>
      <c r="M4" s="463">
        <f>huishoudens!M8</f>
        <v>0</v>
      </c>
      <c r="N4" s="463">
        <f>huishoudens!N8</f>
        <v>40333.343411406422</v>
      </c>
      <c r="O4" s="463">
        <f>huishoudens!O8</f>
        <v>698.81000000000006</v>
      </c>
      <c r="P4" s="464">
        <f>huishoudens!P8</f>
        <v>2154.5333333333333</v>
      </c>
      <c r="Q4" s="465">
        <f>SUM(B4:P4)</f>
        <v>607835.67153075908</v>
      </c>
    </row>
    <row r="5" spans="1:17">
      <c r="A5" s="462" t="s">
        <v>156</v>
      </c>
      <c r="B5" s="463">
        <f ca="1">tertiair!B16</f>
        <v>200048.53899999999</v>
      </c>
      <c r="C5" s="463">
        <f ca="1">tertiair!C16</f>
        <v>2858.7857142857142</v>
      </c>
      <c r="D5" s="463">
        <f ca="1">tertiair!D16</f>
        <v>148900.86564342858</v>
      </c>
      <c r="E5" s="463">
        <f>tertiair!E16</f>
        <v>2354.0366524784927</v>
      </c>
      <c r="F5" s="463">
        <f ca="1">tertiair!F16</f>
        <v>38059.873551637618</v>
      </c>
      <c r="G5" s="463">
        <f>tertiair!G16</f>
        <v>0</v>
      </c>
      <c r="H5" s="463">
        <f>tertiair!H16</f>
        <v>0</v>
      </c>
      <c r="I5" s="463">
        <f>tertiair!I16</f>
        <v>0</v>
      </c>
      <c r="J5" s="463">
        <f>tertiair!J16</f>
        <v>0</v>
      </c>
      <c r="K5" s="463">
        <f>tertiair!K16</f>
        <v>0</v>
      </c>
      <c r="L5" s="463">
        <f ca="1">tertiair!L16</f>
        <v>0</v>
      </c>
      <c r="M5" s="463">
        <f>tertiair!M16</f>
        <v>0</v>
      </c>
      <c r="N5" s="463">
        <f ca="1">tertiair!N16</f>
        <v>7669.255366380723</v>
      </c>
      <c r="O5" s="463">
        <f>tertiair!O16</f>
        <v>9.3800000000000008</v>
      </c>
      <c r="P5" s="464">
        <f>tertiair!P16</f>
        <v>152.53333333333333</v>
      </c>
      <c r="Q5" s="462">
        <f t="shared" ref="Q5:Q13" ca="1" si="0">SUM(B5:P5)</f>
        <v>400053.26926154451</v>
      </c>
    </row>
    <row r="6" spans="1:17">
      <c r="A6" s="462" t="s">
        <v>194</v>
      </c>
      <c r="B6" s="463">
        <f>'openbare verlichting'!B8</f>
        <v>5052.1210000000001</v>
      </c>
      <c r="C6" s="463"/>
      <c r="D6" s="463"/>
      <c r="E6" s="463"/>
      <c r="F6" s="463"/>
      <c r="G6" s="463"/>
      <c r="H6" s="463"/>
      <c r="I6" s="463"/>
      <c r="J6" s="463"/>
      <c r="K6" s="463"/>
      <c r="L6" s="463"/>
      <c r="M6" s="463"/>
      <c r="N6" s="463"/>
      <c r="O6" s="463"/>
      <c r="P6" s="464"/>
      <c r="Q6" s="462">
        <f t="shared" si="0"/>
        <v>5052.1210000000001</v>
      </c>
    </row>
    <row r="7" spans="1:17">
      <c r="A7" s="462" t="s">
        <v>112</v>
      </c>
      <c r="B7" s="463">
        <f>landbouw!B8</f>
        <v>1854.6130000000001</v>
      </c>
      <c r="C7" s="463">
        <f>landbouw!C8</f>
        <v>0</v>
      </c>
      <c r="D7" s="463">
        <f>landbouw!D8</f>
        <v>2503.2376160000003</v>
      </c>
      <c r="E7" s="463">
        <f>landbouw!E8</f>
        <v>23.370513027323071</v>
      </c>
      <c r="F7" s="463">
        <f>landbouw!F8</f>
        <v>6398.8794583179852</v>
      </c>
      <c r="G7" s="463">
        <f>landbouw!G8</f>
        <v>0</v>
      </c>
      <c r="H7" s="463">
        <f>landbouw!H8</f>
        <v>0</v>
      </c>
      <c r="I7" s="463">
        <f>landbouw!I8</f>
        <v>0</v>
      </c>
      <c r="J7" s="463">
        <f>landbouw!J8</f>
        <v>278.91271270348653</v>
      </c>
      <c r="K7" s="463">
        <f>landbouw!K8</f>
        <v>0</v>
      </c>
      <c r="L7" s="463">
        <f>landbouw!L8</f>
        <v>0</v>
      </c>
      <c r="M7" s="463">
        <f>landbouw!M8</f>
        <v>0</v>
      </c>
      <c r="N7" s="463">
        <f>landbouw!N8</f>
        <v>0</v>
      </c>
      <c r="O7" s="463">
        <f>landbouw!O8</f>
        <v>0</v>
      </c>
      <c r="P7" s="464">
        <f>landbouw!P8</f>
        <v>0</v>
      </c>
      <c r="Q7" s="462">
        <f t="shared" si="0"/>
        <v>11059.013300048795</v>
      </c>
    </row>
    <row r="8" spans="1:17">
      <c r="A8" s="462" t="s">
        <v>659</v>
      </c>
      <c r="B8" s="463">
        <f>industrie!B18</f>
        <v>65951.264999999985</v>
      </c>
      <c r="C8" s="463">
        <f>industrie!C18</f>
        <v>321.42857142857144</v>
      </c>
      <c r="D8" s="463">
        <f>industrie!D18</f>
        <v>77528.424441142866</v>
      </c>
      <c r="E8" s="463">
        <f>industrie!E18</f>
        <v>9944.54747071764</v>
      </c>
      <c r="F8" s="463">
        <f>industrie!F18</f>
        <v>44628.165539653077</v>
      </c>
      <c r="G8" s="463">
        <f>industrie!G18</f>
        <v>0</v>
      </c>
      <c r="H8" s="463">
        <f>industrie!H18</f>
        <v>0</v>
      </c>
      <c r="I8" s="463">
        <f>industrie!I18</f>
        <v>0</v>
      </c>
      <c r="J8" s="463">
        <f>industrie!J18</f>
        <v>65.828958894371155</v>
      </c>
      <c r="K8" s="463">
        <f>industrie!K18</f>
        <v>0</v>
      </c>
      <c r="L8" s="463">
        <f>industrie!L18</f>
        <v>0</v>
      </c>
      <c r="M8" s="463">
        <f>industrie!M18</f>
        <v>0</v>
      </c>
      <c r="N8" s="463">
        <f>industrie!N18</f>
        <v>22763.620050745547</v>
      </c>
      <c r="O8" s="463">
        <f>industrie!O18</f>
        <v>0</v>
      </c>
      <c r="P8" s="464">
        <f>industrie!P18</f>
        <v>0</v>
      </c>
      <c r="Q8" s="462">
        <f t="shared" si="0"/>
        <v>221203.28003258203</v>
      </c>
    </row>
    <row r="9" spans="1:17" s="468" customFormat="1">
      <c r="A9" s="466" t="s">
        <v>576</v>
      </c>
      <c r="B9" s="467">
        <f>transport!B14</f>
        <v>35.93883016910231</v>
      </c>
      <c r="C9" s="467"/>
      <c r="D9" s="467">
        <f>transport!D14</f>
        <v>57.402771186769101</v>
      </c>
      <c r="E9" s="467">
        <f>transport!E14</f>
        <v>1902.8837194925386</v>
      </c>
      <c r="F9" s="467"/>
      <c r="G9" s="467">
        <f>transport!G14</f>
        <v>446946.8318004093</v>
      </c>
      <c r="H9" s="467">
        <f>transport!H14</f>
        <v>87254.323556569332</v>
      </c>
      <c r="I9" s="467"/>
      <c r="J9" s="467"/>
      <c r="K9" s="467"/>
      <c r="L9" s="467"/>
      <c r="M9" s="467">
        <f>transport!M14</f>
        <v>24152.878900095286</v>
      </c>
      <c r="N9" s="467"/>
      <c r="O9" s="467"/>
      <c r="P9" s="467"/>
      <c r="Q9" s="466">
        <f>SUM(B9:P9)</f>
        <v>560350.25957792229</v>
      </c>
    </row>
    <row r="10" spans="1:17">
      <c r="A10" s="462" t="s">
        <v>566</v>
      </c>
      <c r="B10" s="463">
        <f>transport!B54</f>
        <v>0</v>
      </c>
      <c r="C10" s="463"/>
      <c r="D10" s="463">
        <f>transport!D54</f>
        <v>0</v>
      </c>
      <c r="E10" s="463"/>
      <c r="F10" s="463"/>
      <c r="G10" s="463">
        <f>transport!G54</f>
        <v>17968.197087243556</v>
      </c>
      <c r="H10" s="463"/>
      <c r="I10" s="463"/>
      <c r="J10" s="463"/>
      <c r="K10" s="463"/>
      <c r="L10" s="463"/>
      <c r="M10" s="463">
        <f>transport!M54</f>
        <v>799.0896731772666</v>
      </c>
      <c r="N10" s="463"/>
      <c r="O10" s="463"/>
      <c r="P10" s="464"/>
      <c r="Q10" s="462">
        <f t="shared" si="0"/>
        <v>18767.286760420822</v>
      </c>
    </row>
    <row r="11" spans="1:17">
      <c r="A11" s="462" t="s">
        <v>567</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568</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569</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570</v>
      </c>
      <c r="B14" s="473">
        <f ca="1">SUM(B4:B13)</f>
        <v>408939.20078776142</v>
      </c>
      <c r="C14" s="473">
        <f t="shared" ref="C14:Q14" ca="1" si="1">SUM(C4:C13)</f>
        <v>3180.2142857142858</v>
      </c>
      <c r="D14" s="473">
        <f t="shared" ca="1" si="1"/>
        <v>550461.75089975819</v>
      </c>
      <c r="E14" s="473">
        <f t="shared" si="1"/>
        <v>25390.998007573555</v>
      </c>
      <c r="F14" s="473">
        <f t="shared" ca="1" si="1"/>
        <v>185101.19929817799</v>
      </c>
      <c r="G14" s="473">
        <f t="shared" si="1"/>
        <v>464915.02888765285</v>
      </c>
      <c r="H14" s="473">
        <f t="shared" si="1"/>
        <v>87254.323556569332</v>
      </c>
      <c r="I14" s="473">
        <f t="shared" si="1"/>
        <v>0</v>
      </c>
      <c r="J14" s="473">
        <f t="shared" si="1"/>
        <v>344.7416715978577</v>
      </c>
      <c r="K14" s="473">
        <f t="shared" si="1"/>
        <v>0</v>
      </c>
      <c r="L14" s="473">
        <f t="shared" ca="1" si="1"/>
        <v>0</v>
      </c>
      <c r="M14" s="473">
        <f t="shared" si="1"/>
        <v>24951.968573272552</v>
      </c>
      <c r="N14" s="473">
        <f t="shared" ca="1" si="1"/>
        <v>70766.218828532699</v>
      </c>
      <c r="O14" s="473">
        <f t="shared" si="1"/>
        <v>708.19</v>
      </c>
      <c r="P14" s="474">
        <f t="shared" si="1"/>
        <v>2307.0666666666666</v>
      </c>
      <c r="Q14" s="474">
        <f t="shared" ca="1" si="1"/>
        <v>1824320.9014632774</v>
      </c>
    </row>
    <row r="16" spans="1:17">
      <c r="A16" s="476" t="s">
        <v>571</v>
      </c>
      <c r="B16" s="829">
        <f ca="1">huishoudens!B10</f>
        <v>0.19983397446959528</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573</v>
      </c>
      <c r="B18" s="1138" t="s">
        <v>572</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27176.765863290115</v>
      </c>
      <c r="C21" s="463">
        <f t="shared" ref="C21:C28" ca="1" si="3">C4*$C$16</f>
        <v>0</v>
      </c>
      <c r="D21" s="463">
        <f t="shared" ref="D21:D30" si="4">D4*$D$16</f>
        <v>64937.307726456005</v>
      </c>
      <c r="E21" s="463">
        <f t="shared" ref="E21:E30" si="5">E4*$E$16</f>
        <v>2534.7182409716661</v>
      </c>
      <c r="F21" s="463">
        <f t="shared" ref="F21:F28" si="6">F4*$F$16</f>
        <v>25635.812959868006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120284.60479058578</v>
      </c>
    </row>
    <row r="22" spans="1:17">
      <c r="A22" s="462" t="s">
        <v>156</v>
      </c>
      <c r="B22" s="463">
        <f t="shared" ca="1" si="2"/>
        <v>39976.494635205832</v>
      </c>
      <c r="C22" s="463">
        <f t="shared" ca="1" si="3"/>
        <v>679.38201680672285</v>
      </c>
      <c r="D22" s="463">
        <f t="shared" ca="1" si="4"/>
        <v>30077.974859972575</v>
      </c>
      <c r="E22" s="463">
        <f t="shared" si="5"/>
        <v>534.36632011261781</v>
      </c>
      <c r="F22" s="463">
        <f t="shared" ca="1" si="6"/>
        <v>10161.986238287245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81430.204070384993</v>
      </c>
    </row>
    <row r="23" spans="1:17">
      <c r="A23" s="462" t="s">
        <v>194</v>
      </c>
      <c r="B23" s="463">
        <f t="shared" ca="1" si="2"/>
        <v>1009.5854189313062</v>
      </c>
      <c r="C23" s="463"/>
      <c r="D23" s="463"/>
      <c r="E23" s="463"/>
      <c r="F23" s="463"/>
      <c r="G23" s="463"/>
      <c r="H23" s="463"/>
      <c r="I23" s="463"/>
      <c r="J23" s="463"/>
      <c r="K23" s="463"/>
      <c r="L23" s="463"/>
      <c r="M23" s="463"/>
      <c r="N23" s="463"/>
      <c r="O23" s="463"/>
      <c r="P23" s="464"/>
      <c r="Q23" s="462">
        <f t="shared" ca="1" si="17"/>
        <v>1009.5854189313062</v>
      </c>
    </row>
    <row r="24" spans="1:17">
      <c r="A24" s="462" t="s">
        <v>112</v>
      </c>
      <c r="B24" s="463">
        <f t="shared" ca="1" si="2"/>
        <v>370.61468689297953</v>
      </c>
      <c r="C24" s="463">
        <f t="shared" ca="1" si="3"/>
        <v>0</v>
      </c>
      <c r="D24" s="463">
        <f t="shared" si="4"/>
        <v>505.65399843200009</v>
      </c>
      <c r="E24" s="463">
        <f t="shared" si="5"/>
        <v>5.3051064572023376</v>
      </c>
      <c r="F24" s="463">
        <f t="shared" si="6"/>
        <v>1708.500815370902</v>
      </c>
      <c r="G24" s="463">
        <f t="shared" si="7"/>
        <v>0</v>
      </c>
      <c r="H24" s="463">
        <f t="shared" si="8"/>
        <v>0</v>
      </c>
      <c r="I24" s="463">
        <f t="shared" si="9"/>
        <v>0</v>
      </c>
      <c r="J24" s="463">
        <f t="shared" si="10"/>
        <v>98.735100297034222</v>
      </c>
      <c r="K24" s="463">
        <f t="shared" si="11"/>
        <v>0</v>
      </c>
      <c r="L24" s="463">
        <f t="shared" si="12"/>
        <v>0</v>
      </c>
      <c r="M24" s="463">
        <f t="shared" si="13"/>
        <v>0</v>
      </c>
      <c r="N24" s="463">
        <f t="shared" si="14"/>
        <v>0</v>
      </c>
      <c r="O24" s="463">
        <f t="shared" si="15"/>
        <v>0</v>
      </c>
      <c r="P24" s="464">
        <f t="shared" si="16"/>
        <v>0</v>
      </c>
      <c r="Q24" s="462">
        <f t="shared" ca="1" si="17"/>
        <v>2688.8097074501179</v>
      </c>
    </row>
    <row r="25" spans="1:17">
      <c r="A25" s="462" t="s">
        <v>659</v>
      </c>
      <c r="B25" s="463">
        <f t="shared" ca="1" si="2"/>
        <v>13179.303406247509</v>
      </c>
      <c r="C25" s="463">
        <f t="shared" ca="1" si="3"/>
        <v>76.386554621848759</v>
      </c>
      <c r="D25" s="463">
        <f t="shared" si="4"/>
        <v>15660.74173711086</v>
      </c>
      <c r="E25" s="463">
        <f t="shared" si="5"/>
        <v>2257.4122758529043</v>
      </c>
      <c r="F25" s="463">
        <f t="shared" si="6"/>
        <v>11915.720199087373</v>
      </c>
      <c r="G25" s="463">
        <f t="shared" si="7"/>
        <v>0</v>
      </c>
      <c r="H25" s="463">
        <f t="shared" si="8"/>
        <v>0</v>
      </c>
      <c r="I25" s="463">
        <f t="shared" si="9"/>
        <v>0</v>
      </c>
      <c r="J25" s="463">
        <f t="shared" si="10"/>
        <v>23.303451448607387</v>
      </c>
      <c r="K25" s="463">
        <f t="shared" si="11"/>
        <v>0</v>
      </c>
      <c r="L25" s="463">
        <f t="shared" si="12"/>
        <v>0</v>
      </c>
      <c r="M25" s="463">
        <f t="shared" si="13"/>
        <v>0</v>
      </c>
      <c r="N25" s="463">
        <f t="shared" si="14"/>
        <v>0</v>
      </c>
      <c r="O25" s="463">
        <f t="shared" si="15"/>
        <v>0</v>
      </c>
      <c r="P25" s="464">
        <f t="shared" si="16"/>
        <v>0</v>
      </c>
      <c r="Q25" s="462">
        <f t="shared" ca="1" si="17"/>
        <v>43112.867624369101</v>
      </c>
    </row>
    <row r="26" spans="1:17" s="468" customFormat="1">
      <c r="A26" s="466" t="s">
        <v>576</v>
      </c>
      <c r="B26" s="823">
        <f t="shared" ca="1" si="2"/>
        <v>7.1817992704795115</v>
      </c>
      <c r="C26" s="467"/>
      <c r="D26" s="467">
        <f t="shared" si="4"/>
        <v>11.595359779727358</v>
      </c>
      <c r="E26" s="467">
        <f t="shared" si="5"/>
        <v>431.95460432480627</v>
      </c>
      <c r="F26" s="467"/>
      <c r="G26" s="467">
        <f t="shared" si="7"/>
        <v>119334.80409070929</v>
      </c>
      <c r="H26" s="467">
        <f t="shared" si="8"/>
        <v>21726.326565585765</v>
      </c>
      <c r="I26" s="467"/>
      <c r="J26" s="467"/>
      <c r="K26" s="467"/>
      <c r="L26" s="467"/>
      <c r="M26" s="467">
        <f t="shared" si="13"/>
        <v>0</v>
      </c>
      <c r="N26" s="467"/>
      <c r="O26" s="467"/>
      <c r="P26" s="478"/>
      <c r="Q26" s="466">
        <f t="shared" ca="1" si="17"/>
        <v>141511.86241967007</v>
      </c>
    </row>
    <row r="27" spans="1:17">
      <c r="A27" s="462" t="s">
        <v>566</v>
      </c>
      <c r="B27" s="463">
        <f t="shared" ca="1" si="2"/>
        <v>0</v>
      </c>
      <c r="C27" s="463"/>
      <c r="D27" s="467">
        <f t="shared" si="4"/>
        <v>0</v>
      </c>
      <c r="E27" s="463"/>
      <c r="F27" s="463"/>
      <c r="G27" s="463">
        <f t="shared" si="7"/>
        <v>4797.5086222940299</v>
      </c>
      <c r="H27" s="463"/>
      <c r="I27" s="463"/>
      <c r="J27" s="463"/>
      <c r="K27" s="463"/>
      <c r="L27" s="463"/>
      <c r="M27" s="463">
        <f t="shared" si="13"/>
        <v>0</v>
      </c>
      <c r="N27" s="463"/>
      <c r="O27" s="463"/>
      <c r="P27" s="464"/>
      <c r="Q27" s="462">
        <f t="shared" ca="1" si="17"/>
        <v>4797.5086222940299</v>
      </c>
    </row>
    <row r="28" spans="1:17">
      <c r="A28" s="462" t="s">
        <v>567</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568</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569</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570</v>
      </c>
      <c r="B31" s="473">
        <f t="shared" ref="B31:Q31" ca="1" si="18">SUM(B21:B30)</f>
        <v>81719.945809838217</v>
      </c>
      <c r="C31" s="473">
        <f t="shared" ca="1" si="18"/>
        <v>755.76857142857159</v>
      </c>
      <c r="D31" s="473">
        <f t="shared" ca="1" si="18"/>
        <v>111193.27368175118</v>
      </c>
      <c r="E31" s="473">
        <f t="shared" si="18"/>
        <v>5763.7565477191965</v>
      </c>
      <c r="F31" s="473">
        <f t="shared" ca="1" si="18"/>
        <v>49422.020212613519</v>
      </c>
      <c r="G31" s="473">
        <f t="shared" si="18"/>
        <v>124132.31271300332</v>
      </c>
      <c r="H31" s="473">
        <f t="shared" si="18"/>
        <v>21726.326565585765</v>
      </c>
      <c r="I31" s="473">
        <f t="shared" si="18"/>
        <v>0</v>
      </c>
      <c r="J31" s="473">
        <f t="shared" si="18"/>
        <v>122.03855174564161</v>
      </c>
      <c r="K31" s="473">
        <f t="shared" si="18"/>
        <v>0</v>
      </c>
      <c r="L31" s="473">
        <f t="shared" ca="1" si="18"/>
        <v>0</v>
      </c>
      <c r="M31" s="473">
        <f t="shared" si="18"/>
        <v>0</v>
      </c>
      <c r="N31" s="473">
        <f t="shared" ca="1" si="18"/>
        <v>0</v>
      </c>
      <c r="O31" s="473">
        <f t="shared" si="18"/>
        <v>0</v>
      </c>
      <c r="P31" s="474">
        <f t="shared" si="18"/>
        <v>0</v>
      </c>
      <c r="Q31" s="474">
        <f t="shared" ca="1" si="18"/>
        <v>394835.44265368546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565</v>
      </c>
      <c r="B1" s="1147" t="s">
        <v>835</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836</v>
      </c>
      <c r="C4" s="1010" t="s">
        <v>837</v>
      </c>
      <c r="D4" s="1011" t="s">
        <v>838</v>
      </c>
      <c r="E4" s="1012" t="s">
        <v>839</v>
      </c>
      <c r="F4" s="1012" t="s">
        <v>840</v>
      </c>
      <c r="G4" s="1013" t="s">
        <v>843</v>
      </c>
      <c r="H4" s="1013" t="s">
        <v>843</v>
      </c>
      <c r="I4" s="1013" t="s">
        <v>843</v>
      </c>
      <c r="J4" s="1012" t="s">
        <v>842</v>
      </c>
      <c r="K4" s="1013" t="s">
        <v>843</v>
      </c>
      <c r="L4" s="1013" t="s">
        <v>843</v>
      </c>
      <c r="M4" s="1013" t="s">
        <v>843</v>
      </c>
      <c r="N4" s="1012" t="s">
        <v>844</v>
      </c>
      <c r="O4" s="1014" t="s">
        <v>845</v>
      </c>
      <c r="P4" s="1015" t="s">
        <v>846</v>
      </c>
      <c r="Q4" s="1016"/>
    </row>
    <row r="5" spans="1:17" ht="124.35" customHeight="1">
      <c r="A5" s="1017" t="s">
        <v>156</v>
      </c>
      <c r="B5" s="1018" t="s">
        <v>847</v>
      </c>
      <c r="C5" s="1019" t="s">
        <v>848</v>
      </c>
      <c r="D5" s="1019" t="s">
        <v>849</v>
      </c>
      <c r="E5" s="1020" t="s">
        <v>850</v>
      </c>
      <c r="F5" s="1020" t="s">
        <v>851</v>
      </c>
      <c r="G5" s="1021" t="s">
        <v>843</v>
      </c>
      <c r="H5" s="1021" t="s">
        <v>843</v>
      </c>
      <c r="I5" s="1021" t="s">
        <v>843</v>
      </c>
      <c r="J5" s="1020" t="s">
        <v>852</v>
      </c>
      <c r="K5" s="1018" t="s">
        <v>853</v>
      </c>
      <c r="L5" s="1021" t="s">
        <v>843</v>
      </c>
      <c r="M5" s="1021" t="s">
        <v>843</v>
      </c>
      <c r="N5" s="1020" t="s">
        <v>854</v>
      </c>
      <c r="O5" s="1022" t="s">
        <v>845</v>
      </c>
      <c r="P5" s="1023" t="s">
        <v>846</v>
      </c>
      <c r="Q5" s="1024"/>
    </row>
    <row r="6" spans="1:17" ht="124.35" customHeight="1">
      <c r="A6" s="1017" t="s">
        <v>194</v>
      </c>
      <c r="B6" s="1025" t="s">
        <v>855</v>
      </c>
      <c r="C6" s="1026" t="s">
        <v>841</v>
      </c>
      <c r="D6" s="1021" t="s">
        <v>841</v>
      </c>
      <c r="E6" s="1021" t="s">
        <v>841</v>
      </c>
      <c r="F6" s="1021" t="s">
        <v>841</v>
      </c>
      <c r="G6" s="1021" t="s">
        <v>841</v>
      </c>
      <c r="H6" s="1021" t="s">
        <v>841</v>
      </c>
      <c r="I6" s="1021" t="s">
        <v>841</v>
      </c>
      <c r="J6" s="1021" t="s">
        <v>841</v>
      </c>
      <c r="K6" s="1021" t="s">
        <v>841</v>
      </c>
      <c r="L6" s="1021" t="s">
        <v>841</v>
      </c>
      <c r="M6" s="1021" t="s">
        <v>841</v>
      </c>
      <c r="N6" s="1021" t="s">
        <v>841</v>
      </c>
      <c r="O6" s="1027" t="s">
        <v>841</v>
      </c>
      <c r="P6" s="1028" t="s">
        <v>841</v>
      </c>
      <c r="Q6" s="1029"/>
    </row>
    <row r="7" spans="1:17" ht="124.35" customHeight="1">
      <c r="A7" s="1017" t="s">
        <v>112</v>
      </c>
      <c r="B7" s="1025" t="s">
        <v>855</v>
      </c>
      <c r="C7" s="1019" t="s">
        <v>848</v>
      </c>
      <c r="D7" s="1019" t="s">
        <v>849</v>
      </c>
      <c r="E7" s="1020" t="s">
        <v>850</v>
      </c>
      <c r="F7" s="1020" t="s">
        <v>851</v>
      </c>
      <c r="G7" s="1021" t="s">
        <v>843</v>
      </c>
      <c r="H7" s="1021" t="s">
        <v>843</v>
      </c>
      <c r="I7" s="1021" t="s">
        <v>843</v>
      </c>
      <c r="J7" s="1020" t="s">
        <v>852</v>
      </c>
      <c r="K7" s="1021" t="s">
        <v>843</v>
      </c>
      <c r="L7" s="1021" t="s">
        <v>843</v>
      </c>
      <c r="M7" s="1021" t="s">
        <v>843</v>
      </c>
      <c r="N7" s="1030" t="s">
        <v>843</v>
      </c>
      <c r="O7" s="1026" t="s">
        <v>843</v>
      </c>
      <c r="P7" s="1031" t="s">
        <v>843</v>
      </c>
      <c r="Q7" s="1024"/>
    </row>
    <row r="8" spans="1:17" ht="124.35" customHeight="1">
      <c r="A8" s="1017" t="s">
        <v>659</v>
      </c>
      <c r="B8" s="1018" t="s">
        <v>856</v>
      </c>
      <c r="C8" s="1019" t="s">
        <v>848</v>
      </c>
      <c r="D8" s="1019" t="s">
        <v>849</v>
      </c>
      <c r="E8" s="1020" t="s">
        <v>850</v>
      </c>
      <c r="F8" s="1020" t="s">
        <v>851</v>
      </c>
      <c r="G8" s="1021" t="s">
        <v>843</v>
      </c>
      <c r="H8" s="1021" t="s">
        <v>843</v>
      </c>
      <c r="I8" s="1021" t="s">
        <v>843</v>
      </c>
      <c r="J8" s="1020" t="s">
        <v>852</v>
      </c>
      <c r="K8" s="1018" t="s">
        <v>853</v>
      </c>
      <c r="L8" s="1021" t="s">
        <v>843</v>
      </c>
      <c r="M8" s="1021" t="s">
        <v>843</v>
      </c>
      <c r="N8" s="1020" t="s">
        <v>854</v>
      </c>
      <c r="O8" s="1022" t="s">
        <v>845</v>
      </c>
      <c r="P8" s="1023" t="s">
        <v>846</v>
      </c>
      <c r="Q8" s="1024"/>
    </row>
    <row r="9" spans="1:17" s="468" customFormat="1" ht="124.35" customHeight="1">
      <c r="A9" s="1032" t="s">
        <v>576</v>
      </c>
      <c r="B9" s="1020" t="s">
        <v>857</v>
      </c>
      <c r="C9" s="1027" t="s">
        <v>841</v>
      </c>
      <c r="D9" s="1020" t="s">
        <v>858</v>
      </c>
      <c r="E9" s="1020" t="s">
        <v>859</v>
      </c>
      <c r="F9" s="1021" t="s">
        <v>841</v>
      </c>
      <c r="G9" s="1020" t="s">
        <v>860</v>
      </c>
      <c r="H9" s="1020" t="s">
        <v>861</v>
      </c>
      <c r="I9" s="1021" t="s">
        <v>841</v>
      </c>
      <c r="J9" s="1021" t="s">
        <v>841</v>
      </c>
      <c r="K9" s="1021" t="s">
        <v>841</v>
      </c>
      <c r="L9" s="1021" t="s">
        <v>841</v>
      </c>
      <c r="M9" s="1020" t="s">
        <v>857</v>
      </c>
      <c r="N9" s="1021" t="s">
        <v>841</v>
      </c>
      <c r="O9" s="1021" t="s">
        <v>841</v>
      </c>
      <c r="P9" s="1033" t="s">
        <v>841</v>
      </c>
      <c r="Q9" s="1034"/>
    </row>
    <row r="10" spans="1:17" ht="124.35" customHeight="1">
      <c r="A10" s="1017" t="s">
        <v>566</v>
      </c>
      <c r="B10" s="1018" t="s">
        <v>870</v>
      </c>
      <c r="C10" s="1027" t="s">
        <v>841</v>
      </c>
      <c r="D10" s="1027" t="s">
        <v>841</v>
      </c>
      <c r="E10" s="1027" t="s">
        <v>841</v>
      </c>
      <c r="F10" s="1021" t="s">
        <v>841</v>
      </c>
      <c r="G10" s="1018" t="s">
        <v>862</v>
      </c>
      <c r="H10" s="1021" t="s">
        <v>841</v>
      </c>
      <c r="I10" s="1021" t="s">
        <v>841</v>
      </c>
      <c r="J10" s="1021" t="s">
        <v>841</v>
      </c>
      <c r="K10" s="1021" t="s">
        <v>841</v>
      </c>
      <c r="L10" s="1021" t="s">
        <v>841</v>
      </c>
      <c r="M10" s="1018" t="s">
        <v>863</v>
      </c>
      <c r="N10" s="1021" t="s">
        <v>841</v>
      </c>
      <c r="O10" s="1021" t="s">
        <v>841</v>
      </c>
      <c r="P10" s="1033" t="s">
        <v>841</v>
      </c>
      <c r="Q10" s="1024"/>
    </row>
    <row r="11" spans="1:17" ht="21">
      <c r="A11" s="1017" t="s">
        <v>567</v>
      </c>
      <c r="B11" s="1035" t="s">
        <v>864</v>
      </c>
      <c r="C11" s="1035" t="s">
        <v>864</v>
      </c>
      <c r="D11" s="1035" t="s">
        <v>864</v>
      </c>
      <c r="E11" s="1035" t="s">
        <v>864</v>
      </c>
      <c r="F11" s="1035" t="s">
        <v>864</v>
      </c>
      <c r="G11" s="1035" t="s">
        <v>864</v>
      </c>
      <c r="H11" s="1035" t="s">
        <v>864</v>
      </c>
      <c r="I11" s="1035" t="s">
        <v>864</v>
      </c>
      <c r="J11" s="1035" t="s">
        <v>864</v>
      </c>
      <c r="K11" s="1035" t="s">
        <v>864</v>
      </c>
      <c r="L11" s="1035" t="s">
        <v>864</v>
      </c>
      <c r="M11" s="1035" t="s">
        <v>864</v>
      </c>
      <c r="N11" s="1035" t="s">
        <v>864</v>
      </c>
      <c r="O11" s="1035" t="s">
        <v>864</v>
      </c>
      <c r="P11" s="1051" t="s">
        <v>864</v>
      </c>
      <c r="Q11" s="1052"/>
    </row>
    <row r="12" spans="1:17" ht="21">
      <c r="A12" s="1017" t="s">
        <v>568</v>
      </c>
      <c r="B12" s="1035" t="s">
        <v>864</v>
      </c>
      <c r="C12" s="1035" t="s">
        <v>841</v>
      </c>
      <c r="D12" s="1035" t="s">
        <v>841</v>
      </c>
      <c r="E12" s="1035" t="s">
        <v>841</v>
      </c>
      <c r="F12" s="1035" t="s">
        <v>841</v>
      </c>
      <c r="G12" s="1035" t="s">
        <v>841</v>
      </c>
      <c r="H12" s="1035" t="s">
        <v>841</v>
      </c>
      <c r="I12" s="1035" t="s">
        <v>841</v>
      </c>
      <c r="J12" s="1035" t="s">
        <v>841</v>
      </c>
      <c r="K12" s="1035" t="s">
        <v>841</v>
      </c>
      <c r="L12" s="1035" t="s">
        <v>841</v>
      </c>
      <c r="M12" s="1035" t="s">
        <v>841</v>
      </c>
      <c r="N12" s="1035" t="s">
        <v>841</v>
      </c>
      <c r="O12" s="1035" t="s">
        <v>841</v>
      </c>
      <c r="P12" s="1036" t="s">
        <v>841</v>
      </c>
      <c r="Q12" s="464"/>
    </row>
    <row r="13" spans="1:17" ht="21">
      <c r="A13" s="1037" t="s">
        <v>569</v>
      </c>
      <c r="B13" s="1038" t="s">
        <v>864</v>
      </c>
      <c r="C13" s="463" t="s">
        <v>841</v>
      </c>
      <c r="D13" s="470" t="s">
        <v>864</v>
      </c>
      <c r="E13" s="470" t="s">
        <v>864</v>
      </c>
      <c r="F13" s="470" t="s">
        <v>841</v>
      </c>
      <c r="G13" s="470" t="s">
        <v>864</v>
      </c>
      <c r="H13" s="470" t="s">
        <v>864</v>
      </c>
      <c r="I13" s="470" t="s">
        <v>841</v>
      </c>
      <c r="J13" s="470" t="s">
        <v>841</v>
      </c>
      <c r="K13" s="470" t="s">
        <v>841</v>
      </c>
      <c r="L13" s="470" t="s">
        <v>841</v>
      </c>
      <c r="M13" s="1039" t="s">
        <v>864</v>
      </c>
      <c r="N13" s="470" t="s">
        <v>841</v>
      </c>
      <c r="O13" s="470" t="s">
        <v>841</v>
      </c>
      <c r="P13" s="470" t="s">
        <v>841</v>
      </c>
      <c r="Q13" s="469"/>
    </row>
    <row r="14" spans="1:17" s="475" customFormat="1" ht="21">
      <c r="A14" s="1040" t="s">
        <v>570</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865</v>
      </c>
      <c r="B17" s="1048" t="s">
        <v>866</v>
      </c>
      <c r="C17" s="1049" t="s">
        <v>867</v>
      </c>
      <c r="D17" s="1050" t="s">
        <v>868</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593</v>
      </c>
      <c r="B6" s="75" t="s">
        <v>594</v>
      </c>
      <c r="C6" s="445" t="s">
        <v>577</v>
      </c>
    </row>
    <row r="7" spans="1:3">
      <c r="A7" s="125"/>
      <c r="B7" s="129"/>
      <c r="C7" s="122"/>
    </row>
    <row r="8" spans="1:3">
      <c r="A8" s="113" t="s">
        <v>596</v>
      </c>
      <c r="B8" s="75" t="s">
        <v>595</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630</v>
      </c>
    </row>
    <row r="13" spans="1:3">
      <c r="A13" s="141"/>
      <c r="B13" s="124"/>
      <c r="C13" s="304"/>
    </row>
    <row r="14" spans="1:3" s="11" customFormat="1">
      <c r="A14" s="113" t="s">
        <v>613</v>
      </c>
      <c r="B14" s="130" t="s">
        <v>614</v>
      </c>
      <c r="C14" s="131" t="s">
        <v>615</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625</v>
      </c>
      <c r="B4" s="479"/>
      <c r="C4" s="479"/>
      <c r="D4" s="479"/>
      <c r="E4" s="479"/>
      <c r="F4" s="479"/>
      <c r="G4" s="511"/>
      <c r="H4" s="511"/>
      <c r="I4" s="479"/>
      <c r="J4" s="479"/>
      <c r="K4" s="479"/>
      <c r="L4" s="479"/>
      <c r="M4" s="479"/>
      <c r="N4" s="479"/>
      <c r="O4" s="479"/>
      <c r="P4" s="479"/>
    </row>
    <row r="5" spans="1:16" outlineLevel="1">
      <c r="A5" s="699" t="s">
        <v>626</v>
      </c>
      <c r="B5" s="479"/>
      <c r="C5" s="479"/>
      <c r="D5" s="479"/>
      <c r="E5" s="479"/>
      <c r="F5" s="479"/>
      <c r="G5" s="511"/>
      <c r="H5" s="511"/>
      <c r="I5" s="479"/>
      <c r="J5" s="479"/>
      <c r="K5" s="479"/>
      <c r="L5" s="479"/>
      <c r="M5" s="479"/>
      <c r="N5" s="479"/>
      <c r="O5" s="479"/>
      <c r="P5" s="479"/>
    </row>
    <row r="6" spans="1:16" outlineLevel="1">
      <c r="A6" s="699" t="s">
        <v>627</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628</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629</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591</v>
      </c>
      <c r="B13" s="463"/>
      <c r="C13" s="483"/>
      <c r="D13" s="483"/>
      <c r="E13" s="483"/>
      <c r="F13" s="483"/>
      <c r="G13" s="483"/>
      <c r="H13" s="483"/>
      <c r="I13" s="483"/>
      <c r="J13" s="483"/>
      <c r="K13" s="483"/>
      <c r="L13" s="483"/>
      <c r="M13" s="483"/>
      <c r="N13" s="483"/>
      <c r="O13" s="830" t="s">
        <v>650</v>
      </c>
      <c r="P13" s="830" t="s">
        <v>649</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618</v>
      </c>
      <c r="B17" s="513">
        <f ca="1">'EF ele_warmte'!B12</f>
        <v>0.19983397446959528</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681</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637</v>
      </c>
      <c r="B27" s="837">
        <f>B24*B25*B26</f>
        <v>0</v>
      </c>
      <c r="C27" s="504" t="s">
        <v>638</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637</v>
      </c>
      <c r="B35" s="836">
        <f>B31*B32*B33/1000-B31*B32*B33/1000/B34</f>
        <v>0</v>
      </c>
      <c r="C35" s="510" t="s">
        <v>638</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591</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618</v>
      </c>
      <c r="B17" s="513">
        <f ca="1">'EF ele_warmte'!B12</f>
        <v>0.19983397446959528</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591</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609</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618</v>
      </c>
      <c r="B29" s="514">
        <f ca="1">'EF ele_warmte'!B12</f>
        <v>0.19983397446959528</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2019-01-02T18:05:35Z</dcterms:modified>
</cp:coreProperties>
</file>