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Q15"/>
  <c r="Q23" s="1"/>
  <c r="E7" i="48"/>
  <c r="E24" s="1"/>
  <c r="E12" i="17"/>
  <c r="F48" i="14" s="1"/>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B22" i="6" l="1"/>
  <c r="C10" i="17" s="1"/>
  <c r="C12" s="1"/>
  <c r="D48" i="14" s="1"/>
  <c r="F10"/>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18" i="15"/>
  <c r="C20" s="1"/>
  <c r="D36" i="14" s="1"/>
  <c r="C20" i="16"/>
  <c r="C22" s="1"/>
  <c r="D39" i="14" s="1"/>
  <c r="Q5" i="48"/>
  <c r="O13" i="14"/>
  <c r="O15" s="1"/>
  <c r="F22" i="16"/>
  <c r="G39" i="14" s="1"/>
  <c r="G41" s="1"/>
  <c r="N22" i="16"/>
  <c r="O39" i="14" s="1"/>
  <c r="O41" s="1"/>
  <c r="F8" i="48"/>
  <c r="Q4"/>
  <c r="N22"/>
  <c r="R11" i="14"/>
  <c r="J21" i="48"/>
  <c r="R10" i="14"/>
  <c r="N55" l="1"/>
  <c r="C17" i="19"/>
  <c r="C19" s="1"/>
  <c r="D35" i="14" s="1"/>
  <c r="C29" i="20"/>
  <c r="C17" i="49"/>
  <c r="C56" i="22"/>
  <c r="C58" s="1"/>
  <c r="D44" i="14" s="1"/>
  <c r="D46"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<sst xmlns="http://schemas.openxmlformats.org/spreadsheetml/2006/main" count="2160" uniqueCount="884">
  <si>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</si>
  <si>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</si>
  <si>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</si>
  <si>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</si>
  <si>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</si>
  <si>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</si>
  <si>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</si>
  <si>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</si>
  <si>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</si>
  <si>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</si>
  <si>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</si>
  <si>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</si>
  <si>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</si>
  <si>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</si>
  <si>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</si>
  <si>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</si>
  <si>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</si>
  <si>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</si>
  <si>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</si>
  <si>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</si>
  <si>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</si>
  <si>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</si>
  <si>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</si>
  <si>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</si>
  <si>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</si>
  <si>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</si>
  <si>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</si>
  <si>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</si>
  <si>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</si>
  <si>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</si>
  <si>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</si>
  <si>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</si>
  <si>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</si>
  <si>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</si>
  <si>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</si>
  <si>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</si>
  <si>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</si>
  <si>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</si>
  <si>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</si>
  <si>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</si>
  <si>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</si>
  <si>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</si>
  <si>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</si>
  <si>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</si>
  <si>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</si>
  <si>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</si>
  <si>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</si>
  <si>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</si>
  <si>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</si>
  <si>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</si>
  <si>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</si>
  <si>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</si>
  <si>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</si>
  <si>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</si>
  <si>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</si>
  <si>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</si>
  <si>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</si>
  <si>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</si>
  <si>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</si>
  <si>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</si>
  <si>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</si>
  <si>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</si>
  <si>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</si>
  <si>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</si>
  <si>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</si>
  <si>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</si>
  <si>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</si>
  <si>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</si>
  <si>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</si>
  <si>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</si>
  <si>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</si>
  <si>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</si>
  <si>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</si>
  <si>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</si>
  <si>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</si>
  <si>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</si>
  <si>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</si>
  <si>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</si>
  <si>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</si>
  <si>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</si>
  <si>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</si>
  <si>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</si>
  <si>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</si>
  <si>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</si>
  <si>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</si>
  <si>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</si>
  <si>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</si>
  <si>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</si>
  <si>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</si>
  <si>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</si>
  <si>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</si>
  <si>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</si>
  <si>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</si>
  <si>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</si>
  <si>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</si>
  <si>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</si>
  <si>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</si>
  <si>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</si>
  <si>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</si>
  <si>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</si>
  <si>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</si>
  <si>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</si>
  <si>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</si>
  <si>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</si>
  <si>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</si>
  <si>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</si>
  <si>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</si>
  <si>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</si>
  <si>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</si>
  <si>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</si>
  <si>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</si>
  <si>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</si>
  <si>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</si>
  <si>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</si>
  <si>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</si>
  <si>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</si>
  <si>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</si>
  <si>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</si>
  <si>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</si>
  <si>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</si>
  <si>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</si>
  <si>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</si>
  <si>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</si>
  <si>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</si>
  <si>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</si>
  <si>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</si>
  <si>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</si>
  <si>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</si>
  <si>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</si>
  <si>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</si>
  <si>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</si>
  <si>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</si>
  <si>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</si>
  <si>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</si>
  <si>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</si>
  <si>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</si>
  <si>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</si>
  <si>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</si>
  <si>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</si>
  <si>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</si>
  <si>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</si>
  <si>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</si>
  <si>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</si>
  <si>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</si>
  <si>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</si>
  <si>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</si>
  <si>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</si>
  <si>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</si>
  <si>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</si>
  <si>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</si>
  <si>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</si>
  <si>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</si>
  <si>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</si>
  <si>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</si>
  <si>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</si>
  <si>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</si>
  <si>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</si>
  <si>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</si>
  <si>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</si>
  <si>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</si>
  <si>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</si>
  <si>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</si>
  <si>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</si>
  <si>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</si>
  <si>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</si>
  <si>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</si>
  <si>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</si>
  <si>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</si>
  <si>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</si>
  <si>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</si>
  <si>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</si>
  <si>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</si>
  <si>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</si>
  <si>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</si>
  <si>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</si>
  <si>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</si>
  <si>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</si>
  <si>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</si>
  <si>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</si>
  <si>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</si>
  <si>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</si>
  <si>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</si>
  <si>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</si>
  <si>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</si>
  <si>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</si>
  <si>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</si>
  <si>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</si>
  <si>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</si>
  <si>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</si>
  <si>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</si>
  <si>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</si>
  <si>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</si>
  <si>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</si>
  <si>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</si>
  <si>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</si>
  <si>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</si>
  <si>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</si>
  <si>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</si>
  <si>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</si>
  <si>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</si>
  <si>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</si>
  <si>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</si>
  <si>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</si>
  <si>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</si>
  <si>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</si>
  <si>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</si>
  <si>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</si>
  <si>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</si>
  <si>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</si>
  <si>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</si>
  <si>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</si>
  <si>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</si>
  <si>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</si>
  <si>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</si>
  <si>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</si>
  <si>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</si>
  <si>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</si>
  <si>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</si>
  <si>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</si>
  <si>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</si>
  <si>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</si>
  <si>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</si>
  <si>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</si>
  <si>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</si>
  <si>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</si>
  <si>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</si>
  <si>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</si>
  <si>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</si>
  <si>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</si>
  <si>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</si>
  <si>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</si>
  <si>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</si>
  <si>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</si>
  <si>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</si>
  <si>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</si>
  <si>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</si>
  <si>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</si>
  <si>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</si>
  <si>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</si>
  <si>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</si>
  <si>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</si>
  <si>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</si>
  <si>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</si>
  <si>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</si>
  <si>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</si>
  <si>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</si>
  <si>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</si>
  <si>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</si>
  <si>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</si>
  <si>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</si>
  <si>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</si>
  <si>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</si>
  <si>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</si>
  <si>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</si>
  <si>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</si>
  <si>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</si>
  <si>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</si>
  <si>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</si>
  <si>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</si>
  <si>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</si>
  <si>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</si>
  <si>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</si>
  <si>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</si>
  <si>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</si>
  <si>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</si>
  <si>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</si>
  <si>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</si>
  <si>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</si>
  <si>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</si>
  <si>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</si>
  <si>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</si>
  <si>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</si>
  <si>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</si>
  <si>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</si>
  <si>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</si>
  <si>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</si>
  <si>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</si>
  <si>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</si>
  <si>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</si>
  <si>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</si>
  <si>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</si>
  <si>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</si>
  <si>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</si>
  <si>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</si>
  <si>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</si>
  <si>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</si>
  <si>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</si>
  <si>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</si>
  <si>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</si>
  <si>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</si>
  <si>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</si>
  <si>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</si>
  <si>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</si>
  <si>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</si>
  <si>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</si>
  <si>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</si>
  <si>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</si>
  <si>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</si>
  <si>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</si>
  <si>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</si>
  <si>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</si>
  <si>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</si>
  <si>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</si>
  <si>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</si>
  <si>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</si>
  <si>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</si>
  <si>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</si>
  <si>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</si>
  <si>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</si>
  <si>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</si>
  <si>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</si>
  <si>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</si>
  <si>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</si>
  <si>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</si>
  <si>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</si>
  <si>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</si>
  <si>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</si>
  <si>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</si>
  <si>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</si>
  <si>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</si>
  <si>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</si>
  <si>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</si>
  <si>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</si>
  <si>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</si>
  <si>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</si>
  <si>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</si>
  <si>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</si>
  <si>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</si>
  <si>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</si>
  <si>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</si>
  <si>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</si>
  <si>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</si>
  <si>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</si>
  <si>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</si>
  <si>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</si>
  <si>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</si>
  <si>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</si>
  <si>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</si>
  <si>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</si>
  <si>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</si>
  <si>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</si>
  <si>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</si>
  <si>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</si>
  <si>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</si>
  <si>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</si>
  <si>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</si>
  <si>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</si>
  <si>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</si>
  <si>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</si>
  <si>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</si>
  <si>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</si>
  <si>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</si>
  <si>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</si>
  <si>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</si>
  <si>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</si>
  <si>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</si>
  <si>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</si>
  <si>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</si>
  <si>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</si>
  <si>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</si>
  <si>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</si>
  <si>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</si>
  <si>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</si>
  <si>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</si>
  <si>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</si>
  <si>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</si>
  <si>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</si>
  <si>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</si>
  <si>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</si>
  <si>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</si>
  <si>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</si>
  <si>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</si>
  <si>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</si>
  <si>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</si>
  <si>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</si>
  <si>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</si>
  <si>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</si>
  <si>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</si>
  <si>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</si>
  <si>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</si>
  <si>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</si>
  <si>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</si>
  <si>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</si>
  <si>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</si>
  <si>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</si>
  <si>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</si>
  <si>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</si>
  <si>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</si>
  <si>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</si>
  <si>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</si>
  <si>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</si>
  <si>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</si>
  <si>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</si>
  <si>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</si>
  <si>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</si>
  <si>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</si>
  <si>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</si>
  <si>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</si>
  <si>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</si>
  <si>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</si>
  <si>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</si>
  <si>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</si>
  <si>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</si>
  <si>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</si>
  <si>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</si>
  <si>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</si>
  <si>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</si>
  <si>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</si>
  <si>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</si>
  <si>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</si>
  <si>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</si>
  <si>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</si>
  <si>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</si>
  <si>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</si>
  <si>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</si>
  <si>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</si>
  <si>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</si>
  <si>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</si>
  <si>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</si>
  <si>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</si>
  <si>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</si>
  <si>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</si>
  <si>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</si>
  <si>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</si>
  <si>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</si>
  <si>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</si>
  <si>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</si>
  <si>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</si>
  <si>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</si>
  <si>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</si>
  <si>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</si>
  <si>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</si>
  <si>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</si>
  <si>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</si>
  <si>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</si>
  <si>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</si>
  <si>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</si>
  <si>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</si>
  <si>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</si>
  <si>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</si>
  <si>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</si>
  <si>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</si>
  <si>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</si>
  <si>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</si>
  <si>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</si>
  <si>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</si>
  <si>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</si>
  <si>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</si>
  <si>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</si>
  <si>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</si>
  <si>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</si>
  <si>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</si>
  <si>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</si>
  <si>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</si>
  <si>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</si>
  <si>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</si>
  <si>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</si>
  <si>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</si>
  <si>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</si>
  <si>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</si>
  <si>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</si>
  <si>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</si>
  <si>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</si>
  <si>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</si>
  <si>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</si>
  <si>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</si>
  <si>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</si>
  <si>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</si>
  <si>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</si>
  <si>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</si>
  <si>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</si>
  <si>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</si>
  <si>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</si>
  <si>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</si>
  <si>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</si>
  <si>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</si>
  <si>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</si>
  <si>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</si>
  <si>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</si>
  <si>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</si>
  <si>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</si>
  <si>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</si>
  <si>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</si>
  <si>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</si>
  <si>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</si>
  <si>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</si>
  <si>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</si>
  <si>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</si>
  <si>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</si>
  <si>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</si>
  <si>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</si>
  <si>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</si>
  <si>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</si>
  <si>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</si>
  <si>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</si>
  <si>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</si>
  <si>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</si>
  <si>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</si>
  <si>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</si>
  <si>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</si>
  <si>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</si>
  <si>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</si>
  <si>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</si>
  <si>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</si>
  <si>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</si>
  <si>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</si>
  <si>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</si>
  <si>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</si>
  <si>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</si>
  <si>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</si>
  <si>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</si>
  <si>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</si>
  <si>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</si>
  <si>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</si>
  <si>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</si>
  <si>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</si>
  <si>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</si>
  <si>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</si>
  <si>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</si>
  <si>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</si>
  <si>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</si>
  <si>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</si>
  <si>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</si>
  <si>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</si>
  <si>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</si>
  <si>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</si>
  <si>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</si>
  <si>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</si>
  <si>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</si>
  <si>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</si>
  <si>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</si>
  <si>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</si>
  <si>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</si>
  <si>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</si>
  <si>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</si>
  <si>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</si>
  <si>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</si>
  <si>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</si>
  <si>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</si>
  <si>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</si>
  <si>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</si>
  <si>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</si>
  <si>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</si>
  <si>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</si>
  <si>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</si>
  <si>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</si>
  <si>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</si>
  <si>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</si>
  <si>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</si>
  <si>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</si>
  <si>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</si>
  <si>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</si>
  <si>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</si>
  <si>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</si>
  <si>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</si>
  <si>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</si>
  <si>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</si>
  <si>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</si>
  <si>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</si>
  <si>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</si>
  <si>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</si>
  <si>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</si>
  <si>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</si>
  <si>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</si>
  <si>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</si>
  <si>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</si>
  <si>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</si>
  <si>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</si>
  <si>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</si>
  <si>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</si>
  <si>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</si>
  <si>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</si>
  <si>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</si>
  <si>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</si>
  <si>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</si>
  <si>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</si>
  <si>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</si>
  <si>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</si>
  <si>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</si>
  <si>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</si>
  <si>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</si>
  <si>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</si>
  <si>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</si>
  <si>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</si>
  <si>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</si>
  <si>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</si>
  <si>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</si>
  <si>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</si>
  <si>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</si>
  <si>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</si>
  <si>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</si>
  <si>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</si>
  <si>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</si>
  <si>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</si>
  <si>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</si>
  <si>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</si>
  <si>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</si>
  <si>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</si>
  <si>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</si>
  <si>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</si>
  <si>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</si>
  <si>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</si>
  <si>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</si>
  <si>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</si>
  <si>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</si>
  <si>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</si>
  <si>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</si>
  <si>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</si>
  <si>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</si>
  <si>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</si>
  <si>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</si>
  <si>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</si>
  <si>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</si>
  <si>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</si>
  <si>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</si>
  <si>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</si>
  <si>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</si>
  <si>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</si>
  <si>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</si>
  <si>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</si>
  <si>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</si>
  <si>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</si>
  <si>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</si>
  <si>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</si>
  <si>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</si>
  <si>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</si>
  <si>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</si>
  <si>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</si>
  <si>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</si>
  <si>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</si>
  <si>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</si>
  <si>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</si>
  <si>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</si>
  <si>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</si>
  <si>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</si>
  <si>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</si>
  <si>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</si>
  <si>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</si>
  <si>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</si>
  <si>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</si>
  <si>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</si>
  <si>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</si>
  <si>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</si>
  <si>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</si>
  <si>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</si>
  <si>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</si>
  <si>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</si>
  <si>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</si>
  <si>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</si>
  <si>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</si>
  <si>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</si>
  <si>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</si>
  <si>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</si>
  <si>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</si>
  <si>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</si>
  <si>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</si>
  <si>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</si>
  <si>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</si>
  <si>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</si>
  <si>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</si>
  <si>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</si>
  <si>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</si>
  <si>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</si>
  <si>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</si>
  <si>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</si>
  <si>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</si>
  <si>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</si>
  <si>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</si>
  <si>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</si>
  <si>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</si>
  <si>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</si>
  <si>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</si>
  <si>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</si>
  <si>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</si>
  <si>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</si>
  <si>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</si>
  <si>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</si>
  <si>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</si>
  <si>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</si>
  <si>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</si>
  <si>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</si>
  <si>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</si>
  <si>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</si>
  <si>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</si>
  <si>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</si>
  <si>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</si>
  <si>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</si>
  <si>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</si>
  <si>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</si>
  <si>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</si>
  <si>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</si>
  <si>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</si>
  <si>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</si>
  <si>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</si>
  <si>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</si>
  <si>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</si>
  <si>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</si>
  <si>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</si>
  <si>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</si>
  <si>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</si>
  <si>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</si>
  <si>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</si>
  <si>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</si>
  <si>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</si>
  <si>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</si>
  <si>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</si>
  <si>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</si>
  <si>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</si>
  <si>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</si>
  <si>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</si>
  <si>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</si>
  <si>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</si>
  <si>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</si>
  <si>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</si>
  <si>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</si>
  <si>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</si>
  <si>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</si>
  <si>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</si>
  <si>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</si>
  <si>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</si>
  <si>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</si>
  <si>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</si>
  <si>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</si>
  <si>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</si>
  <si>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</si>
  <si>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</si>
  <si>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</si>
  <si>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</si>
  <si>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</si>
  <si>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</si>
  <si>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</si>
  <si>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</si>
  <si>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</si>
  <si>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</si>
  <si>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</si>
  <si>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</si>
  <si>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</si>
  <si>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</si>
  <si>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</si>
  <si>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</si>
  <si>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</si>
  <si>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</si>
  <si>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</si>
  <si>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</si>
  <si>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</si>
  <si>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</si>
  <si>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</si>
  <si>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</si>
  <si>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</si>
  <si>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</si>
  <si>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</si>
  <si>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</si>
  <si>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</si>
  <si>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</si>
  <si>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</si>
  <si>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</si>
  <si>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</si>
  <si>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</si>
  <si>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</si>
  <si>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</si>
  <si>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</si>
  <si>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</si>
  <si>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</si>
  <si>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</si>
  <si>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</si>
  <si>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</si>
  <si>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</si>
  <si>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</si>
  <si>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</si>
  <si>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</si>
  <si>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</si>
  <si>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</si>
  <si>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</si>
  <si>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</si>
  <si>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</si>
  <si>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</si>
  <si>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</si>
  <si>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</si>
  <si>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</si>
  <si>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</si>
  <si>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</si>
  <si>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</si>
  <si>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</si>
  <si>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</si>
  <si>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</si>
  <si>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</si>
  <si>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</si>
  <si>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</si>
  <si>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</si>
  <si>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</si>
  <si>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</si>
  <si>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</si>
  <si>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</si>
  <si>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</si>
  <si>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</si>
  <si>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</si>
  <si>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</si>
  <si>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</si>
  <si>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</si>
  <si>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</si>
  <si>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</si>
  <si>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</si>
  <si>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</si>
  <si>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</si>
  <si>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</si>
  <si>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</si>
  <si>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</si>
  <si>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</si>
  <si>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</si>
  <si>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</si>
  <si>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</si>
  <si>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</si>
  <si>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</si>
  <si>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</si>
  <si>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</si>
  <si>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</si>
  <si>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</si>
  <si>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</si>
  <si>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</si>
  <si>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</si>
  <si>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</si>
  <si>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</si>
  <si>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</si>
  <si>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</si>
  <si>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</si>
  <si>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</si>
  <si>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</si>
  <si>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</si>
  <si>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</si>
  <si>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</si>
  <si>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</si>
  <si>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</si>
  <si>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</si>
  <si>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</si>
  <si>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</si>
  <si>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</si>
  <si>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</si>
  <si>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</si>
  <si>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</si>
  <si>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</si>
  <si>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</si>
  <si>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</si>
  <si>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</si>
  <si>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</si>
  <si>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</si>
  <si>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</si>
  <si>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</si>
  <si>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</si>
  <si>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</si>
  <si>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</si>
  <si>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</si>
  <si>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</si>
  <si>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</si>
  <si>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</si>
  <si>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</si>
  <si>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</si>
  <si>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</si>
  <si>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</si>
  <si>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</si>
  <si>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</si>
  <si>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</si>
  <si>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</si>
  <si>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</si>
  <si>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</si>
  <si>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</si>
  <si>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</si>
  <si>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</si>
  <si>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</si>
  <si>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</si>
  <si>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</si>
  <si>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</si>
  <si>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71004</t>
  </si>
  <si>
    <t>BERINGEN</t>
  </si>
  <si>
    <t>Cultuurgrond (ha)</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</si>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</sst>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390955.40719324147</c:v>
                </c:pt>
                <c:pt idx="1">
                  <c:v>80438.018320397416</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47424"/>
        <c:axId val="162649216"/>
      </c:barChart>
      <c:catAx>
        <c:axId val="162647424"/>
        <c:scaling>
          <c:orientation val="minMax"/>
        </c:scaling>
        <c:axPos val="b"/>
        <c:numFmt formatCode="General" sourceLinked="0"/>
        <c:tickLblPos val="nextTo"/>
        <c:crossAx val="162649216"/>
        <c:crosses val="autoZero"/>
        <c:auto val="1"/>
        <c:lblAlgn val="ctr"/>
        <c:lblOffset val="100"/>
      </c:catAx>
      <c:valAx>
        <c:axId val="162649216"/>
        <c:scaling>
          <c:orientation val="minMax"/>
        </c:scaling>
        <c:axPos val="l"/>
        <c:majorGridlines/>
        <c:numFmt formatCode="#,##0" sourceLinked="1"/>
        <c:tickLblPos val="nextTo"/>
        <c:crossAx val="162647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390955.40719324147</c:v>
                </c:pt>
                <c:pt idx="1">
                  <c:v>80438.018320397416</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75734.498931555718</c:v>
                </c:pt>
                <c:pt idx="1">
                  <c:v>14680.850490234707</c:v>
                </c:pt>
                <c:pt idx="2">
                  <c:v>333.73474570808446</c:v>
                </c:pt>
                <c:pt idx="3">
                  <c:v>893.10292007182466</c:v>
                </c:pt>
                <c:pt idx="4">
                  <c:v>18302.749049000744</c:v>
                </c:pt>
                <c:pt idx="5">
                  <c:v>63427.978924419825</c:v>
                </c:pt>
                <c:pt idx="6">
                  <c:v>961.11733637197153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97056"/>
        <c:axId val="181256192"/>
      </c:barChart>
      <c:catAx>
        <c:axId val="181197056"/>
        <c:scaling>
          <c:orientation val="minMax"/>
        </c:scaling>
        <c:axPos val="b"/>
        <c:numFmt formatCode="General" sourceLinked="0"/>
        <c:tickLblPos val="nextTo"/>
        <c:crossAx val="181256192"/>
        <c:crosses val="autoZero"/>
        <c:auto val="1"/>
        <c:lblAlgn val="ctr"/>
        <c:lblOffset val="100"/>
      </c:catAx>
      <c:valAx>
        <c:axId val="181256192"/>
        <c:scaling>
          <c:orientation val="minMax"/>
        </c:scaling>
        <c:axPos val="l"/>
        <c:majorGridlines/>
        <c:numFmt formatCode="#,##0" sourceLinked="1"/>
        <c:tickLblPos val="nextTo"/>
        <c:crossAx val="181197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75734.498931555718</c:v>
                </c:pt>
                <c:pt idx="1">
                  <c:v>14680.850490234707</c:v>
                </c:pt>
                <c:pt idx="2">
                  <c:v>333.73474570808446</c:v>
                </c:pt>
                <c:pt idx="3">
                  <c:v>893.10292007182466</c:v>
                </c:pt>
                <c:pt idx="4">
                  <c:v>18302.749049000744</c:v>
                </c:pt>
                <c:pt idx="5">
                  <c:v>63427.978924419825</c:v>
                </c:pt>
                <c:pt idx="6">
                  <c:v>961.11733637197153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71004</v>
      </c>
      <c r="B6" s="398"/>
      <c r="C6" s="399"/>
    </row>
    <row r="7" spans="1:7" s="396" customFormat="1" ht="15.75" customHeight="1">
      <c r="A7" s="400" t="str">
        <f>txtMunicipality</f>
        <v>BERINGEN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16874</v>
      </c>
      <c r="C9" s="338">
        <v>18200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2027</v>
      </c>
    </row>
    <row r="15" spans="1:6">
      <c r="A15" s="1269" t="s">
        <v>184</v>
      </c>
      <c r="B15" s="335">
        <v>2</v>
      </c>
    </row>
    <row r="16" spans="1:6">
      <c r="A16" s="1269" t="s">
        <v>6</v>
      </c>
      <c r="B16" s="335">
        <v>95</v>
      </c>
    </row>
    <row r="17" spans="1:6">
      <c r="A17" s="1269" t="s">
        <v>7</v>
      </c>
      <c r="B17" s="335">
        <v>140</v>
      </c>
    </row>
    <row r="18" spans="1:6">
      <c r="A18" s="1269" t="s">
        <v>8</v>
      </c>
      <c r="B18" s="335">
        <v>188</v>
      </c>
    </row>
    <row r="19" spans="1:6">
      <c r="A19" s="1269" t="s">
        <v>9</v>
      </c>
      <c r="B19" s="335">
        <v>211</v>
      </c>
    </row>
    <row r="20" spans="1:6">
      <c r="A20" s="1269" t="s">
        <v>10</v>
      </c>
      <c r="B20" s="335">
        <v>188</v>
      </c>
    </row>
    <row r="21" spans="1:6">
      <c r="A21" s="1269" t="s">
        <v>11</v>
      </c>
      <c r="B21" s="335">
        <v>355</v>
      </c>
    </row>
    <row r="22" spans="1:6">
      <c r="A22" s="1269" t="s">
        <v>12</v>
      </c>
      <c r="B22" s="335">
        <v>2496</v>
      </c>
    </row>
    <row r="23" spans="1:6">
      <c r="A23" s="1269" t="s">
        <v>13</v>
      </c>
      <c r="B23" s="335">
        <v>0</v>
      </c>
    </row>
    <row r="24" spans="1:6">
      <c r="A24" s="1269" t="s">
        <v>14</v>
      </c>
      <c r="B24" s="335">
        <v>3</v>
      </c>
    </row>
    <row r="25" spans="1:6">
      <c r="A25" s="1269" t="s">
        <v>15</v>
      </c>
      <c r="B25" s="335">
        <v>486</v>
      </c>
    </row>
    <row r="26" spans="1:6">
      <c r="A26" s="1269" t="s">
        <v>16</v>
      </c>
      <c r="B26" s="335">
        <v>614</v>
      </c>
    </row>
    <row r="27" spans="1:6">
      <c r="A27" s="1269" t="s">
        <v>17</v>
      </c>
      <c r="B27" s="335">
        <v>24</v>
      </c>
    </row>
    <row r="28" spans="1:6" s="341" customFormat="1">
      <c r="A28" s="1270" t="s">
        <v>18</v>
      </c>
      <c r="B28" s="1270">
        <v>11203</v>
      </c>
    </row>
    <row r="29" spans="1:6">
      <c r="A29" s="1270" t="s">
        <v>874</v>
      </c>
      <c r="B29" s="1270">
        <v>145</v>
      </c>
      <c r="C29" s="341"/>
      <c r="D29" s="341"/>
      <c r="E29" s="341"/>
      <c r="F29" s="341"/>
    </row>
    <row r="30" spans="1:6">
      <c r="A30" s="1265" t="s">
        <v>875</v>
      </c>
      <c r="B30" s="1265">
        <v>50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15</v>
      </c>
      <c r="F36" s="335">
        <v>91834</v>
      </c>
    </row>
    <row r="37" spans="1:6">
      <c r="A37" s="1269" t="s">
        <v>25</v>
      </c>
      <c r="B37" s="1269" t="s">
        <v>28</v>
      </c>
      <c r="C37" s="335">
        <v>0</v>
      </c>
      <c r="D37" s="335">
        <v>0</v>
      </c>
      <c r="E37" s="335">
        <v>0</v>
      </c>
      <c r="F37" s="335">
        <v>0</v>
      </c>
    </row>
    <row r="38" spans="1:6">
      <c r="A38" s="1269" t="s">
        <v>25</v>
      </c>
      <c r="B38" s="1269" t="s">
        <v>29</v>
      </c>
      <c r="C38" s="335">
        <v>3</v>
      </c>
      <c r="D38" s="335">
        <v>164819</v>
      </c>
      <c r="E38" s="335">
        <v>3</v>
      </c>
      <c r="F38" s="335">
        <v>24880</v>
      </c>
    </row>
    <row r="39" spans="1:6">
      <c r="A39" s="1269" t="s">
        <v>30</v>
      </c>
      <c r="B39" s="1269" t="s">
        <v>31</v>
      </c>
      <c r="C39" s="335">
        <v>8207</v>
      </c>
      <c r="D39" s="335">
        <v>137749983</v>
      </c>
      <c r="E39" s="335">
        <v>17318</v>
      </c>
      <c r="F39" s="335">
        <v>64272432</v>
      </c>
    </row>
    <row r="40" spans="1:6">
      <c r="A40" s="1269" t="s">
        <v>30</v>
      </c>
      <c r="B40" s="1269" t="s">
        <v>29</v>
      </c>
      <c r="C40" s="335">
        <v>0</v>
      </c>
      <c r="D40" s="335">
        <v>0</v>
      </c>
      <c r="E40" s="335">
        <v>0</v>
      </c>
      <c r="F40" s="335">
        <v>0</v>
      </c>
    </row>
    <row r="41" spans="1:6">
      <c r="A41" s="1269" t="s">
        <v>32</v>
      </c>
      <c r="B41" s="1269" t="s">
        <v>33</v>
      </c>
      <c r="C41" s="335">
        <v>88</v>
      </c>
      <c r="D41" s="335">
        <v>4075402</v>
      </c>
      <c r="E41" s="335">
        <v>233</v>
      </c>
      <c r="F41" s="335">
        <v>3783520</v>
      </c>
    </row>
    <row r="42" spans="1:6">
      <c r="A42" s="1269" t="s">
        <v>32</v>
      </c>
      <c r="B42" s="1269" t="s">
        <v>34</v>
      </c>
      <c r="C42" s="335">
        <v>3</v>
      </c>
      <c r="D42" s="335">
        <v>1216252</v>
      </c>
      <c r="E42" s="335">
        <v>4</v>
      </c>
      <c r="F42" s="335">
        <v>5058425</v>
      </c>
    </row>
    <row r="43" spans="1:6">
      <c r="A43" s="1269" t="s">
        <v>32</v>
      </c>
      <c r="B43" s="1269" t="s">
        <v>35</v>
      </c>
      <c r="C43" s="335">
        <v>0</v>
      </c>
      <c r="D43" s="335">
        <v>0</v>
      </c>
      <c r="E43" s="335">
        <v>0</v>
      </c>
      <c r="F43" s="335">
        <v>0</v>
      </c>
    </row>
    <row r="44" spans="1:6">
      <c r="A44" s="1269" t="s">
        <v>32</v>
      </c>
      <c r="B44" s="1269" t="s">
        <v>36</v>
      </c>
      <c r="C44" s="335">
        <v>22</v>
      </c>
      <c r="D44" s="335">
        <v>10836197</v>
      </c>
      <c r="E44" s="335">
        <v>45</v>
      </c>
      <c r="F44" s="335">
        <v>4083767</v>
      </c>
    </row>
    <row r="45" spans="1:6">
      <c r="A45" s="1269" t="s">
        <v>32</v>
      </c>
      <c r="B45" s="1269" t="s">
        <v>37</v>
      </c>
      <c r="C45" s="335">
        <v>3</v>
      </c>
      <c r="D45" s="335">
        <v>311434</v>
      </c>
      <c r="E45" s="335">
        <v>8</v>
      </c>
      <c r="F45" s="335">
        <v>1196317</v>
      </c>
    </row>
    <row r="46" spans="1:6">
      <c r="A46" s="1269" t="s">
        <v>32</v>
      </c>
      <c r="B46" s="1269" t="s">
        <v>38</v>
      </c>
      <c r="C46" s="335">
        <v>0</v>
      </c>
      <c r="D46" s="335">
        <v>0</v>
      </c>
      <c r="E46" s="335">
        <v>0</v>
      </c>
      <c r="F46" s="335">
        <v>0</v>
      </c>
    </row>
    <row r="47" spans="1:6">
      <c r="A47" s="1269" t="s">
        <v>32</v>
      </c>
      <c r="B47" s="1269" t="s">
        <v>39</v>
      </c>
      <c r="C47" s="335">
        <v>7</v>
      </c>
      <c r="D47" s="335">
        <v>14313146</v>
      </c>
      <c r="E47" s="335">
        <v>13</v>
      </c>
      <c r="F47" s="335">
        <v>17051945</v>
      </c>
    </row>
    <row r="48" spans="1:6">
      <c r="A48" s="1269" t="s">
        <v>32</v>
      </c>
      <c r="B48" s="1269" t="s">
        <v>29</v>
      </c>
      <c r="C48" s="335">
        <v>3</v>
      </c>
      <c r="D48" s="335">
        <v>2195481</v>
      </c>
      <c r="E48" s="335">
        <v>1</v>
      </c>
      <c r="F48" s="335">
        <v>179177</v>
      </c>
    </row>
    <row r="49" spans="1:6">
      <c r="A49" s="1269" t="s">
        <v>32</v>
      </c>
      <c r="B49" s="1269" t="s">
        <v>40</v>
      </c>
      <c r="C49" s="335">
        <v>0</v>
      </c>
      <c r="D49" s="335">
        <v>0</v>
      </c>
      <c r="E49" s="335">
        <v>5</v>
      </c>
      <c r="F49" s="335">
        <v>266320</v>
      </c>
    </row>
    <row r="50" spans="1:6">
      <c r="A50" s="1269" t="s">
        <v>32</v>
      </c>
      <c r="B50" s="1269" t="s">
        <v>41</v>
      </c>
      <c r="C50" s="335">
        <v>7</v>
      </c>
      <c r="D50" s="335">
        <v>5822983</v>
      </c>
      <c r="E50" s="335">
        <v>24</v>
      </c>
      <c r="F50" s="335">
        <v>6986946</v>
      </c>
    </row>
    <row r="51" spans="1:6">
      <c r="A51" s="1269" t="s">
        <v>42</v>
      </c>
      <c r="B51" s="1269" t="s">
        <v>43</v>
      </c>
      <c r="C51" s="335">
        <v>11</v>
      </c>
      <c r="D51" s="335">
        <v>558610</v>
      </c>
      <c r="E51" s="335">
        <v>46</v>
      </c>
      <c r="F51" s="335">
        <v>689712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140</v>
      </c>
      <c r="F54" s="335">
        <v>1963061</v>
      </c>
    </row>
    <row r="55" spans="1:6">
      <c r="A55" s="1269" t="s">
        <v>46</v>
      </c>
      <c r="B55" s="1269" t="s">
        <v>29</v>
      </c>
      <c r="C55" s="335">
        <v>0</v>
      </c>
      <c r="D55" s="335">
        <v>0</v>
      </c>
      <c r="E55" s="335">
        <v>0</v>
      </c>
      <c r="F55" s="335">
        <v>0</v>
      </c>
    </row>
    <row r="56" spans="1:6">
      <c r="A56" s="1269" t="s">
        <v>48</v>
      </c>
      <c r="B56" s="1269" t="s">
        <v>29</v>
      </c>
      <c r="C56" s="335">
        <v>181</v>
      </c>
      <c r="D56" s="335">
        <v>13237265</v>
      </c>
      <c r="E56" s="335">
        <v>242</v>
      </c>
      <c r="F56" s="335">
        <v>1877788</v>
      </c>
    </row>
    <row r="57" spans="1:6">
      <c r="A57" s="1269" t="s">
        <v>49</v>
      </c>
      <c r="B57" s="1269" t="s">
        <v>50</v>
      </c>
      <c r="C57" s="335">
        <v>80</v>
      </c>
      <c r="D57" s="335">
        <v>3695417</v>
      </c>
      <c r="E57" s="335">
        <v>227</v>
      </c>
      <c r="F57" s="335">
        <v>5251328</v>
      </c>
    </row>
    <row r="58" spans="1:6">
      <c r="A58" s="1269" t="s">
        <v>49</v>
      </c>
      <c r="B58" s="1269" t="s">
        <v>51</v>
      </c>
      <c r="C58" s="335">
        <v>42</v>
      </c>
      <c r="D58" s="335">
        <v>2020403</v>
      </c>
      <c r="E58" s="335">
        <v>114</v>
      </c>
      <c r="F58" s="335">
        <v>3054030</v>
      </c>
    </row>
    <row r="59" spans="1:6">
      <c r="A59" s="1269" t="s">
        <v>49</v>
      </c>
      <c r="B59" s="1269" t="s">
        <v>52</v>
      </c>
      <c r="C59" s="335">
        <v>165</v>
      </c>
      <c r="D59" s="335">
        <v>8633146</v>
      </c>
      <c r="E59" s="335">
        <v>389</v>
      </c>
      <c r="F59" s="335">
        <v>16082489</v>
      </c>
    </row>
    <row r="60" spans="1:6">
      <c r="A60" s="1269" t="s">
        <v>49</v>
      </c>
      <c r="B60" s="1269" t="s">
        <v>53</v>
      </c>
      <c r="C60" s="335">
        <v>65</v>
      </c>
      <c r="D60" s="335">
        <v>2880761</v>
      </c>
      <c r="E60" s="335">
        <v>124</v>
      </c>
      <c r="F60" s="335">
        <v>4014161</v>
      </c>
    </row>
    <row r="61" spans="1:6">
      <c r="A61" s="1269" t="s">
        <v>49</v>
      </c>
      <c r="B61" s="1269" t="s">
        <v>54</v>
      </c>
      <c r="C61" s="335">
        <v>147</v>
      </c>
      <c r="D61" s="335">
        <v>8198884</v>
      </c>
      <c r="E61" s="335">
        <v>586</v>
      </c>
      <c r="F61" s="335">
        <v>13050896</v>
      </c>
    </row>
    <row r="62" spans="1:6">
      <c r="A62" s="1269" t="s">
        <v>49</v>
      </c>
      <c r="B62" s="1269" t="s">
        <v>55</v>
      </c>
      <c r="C62" s="335">
        <v>16</v>
      </c>
      <c r="D62" s="335">
        <v>2261820</v>
      </c>
      <c r="E62" s="335">
        <v>45</v>
      </c>
      <c r="F62" s="335">
        <v>1255068</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301124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295849</v>
      </c>
      <c r="E68" s="335">
        <v>14</v>
      </c>
      <c r="F68" s="335">
        <v>227906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89965172</v>
      </c>
      <c r="E73" s="335">
        <v>93831082.685087144</v>
      </c>
    </row>
    <row r="74" spans="1:6">
      <c r="A74" s="1269" t="s">
        <v>64</v>
      </c>
      <c r="B74" s="1269" t="s">
        <v>727</v>
      </c>
      <c r="C74" s="1269" t="s">
        <v>728</v>
      </c>
      <c r="D74" s="335">
        <v>4158740.8182912674</v>
      </c>
      <c r="E74" s="335">
        <v>4492211.8295661379</v>
      </c>
    </row>
    <row r="75" spans="1:6">
      <c r="A75" s="1269" t="s">
        <v>65</v>
      </c>
      <c r="B75" s="1269" t="s">
        <v>725</v>
      </c>
      <c r="C75" s="1269" t="s">
        <v>729</v>
      </c>
      <c r="D75" s="335">
        <v>82343962</v>
      </c>
      <c r="E75" s="335">
        <v>85904025.911779642</v>
      </c>
    </row>
    <row r="76" spans="1:6">
      <c r="A76" s="1269" t="s">
        <v>65</v>
      </c>
      <c r="B76" s="1269" t="s">
        <v>727</v>
      </c>
      <c r="C76" s="1269" t="s">
        <v>730</v>
      </c>
      <c r="D76" s="335">
        <v>2044853.8182912674</v>
      </c>
      <c r="E76" s="335">
        <v>2236330.2169188601</v>
      </c>
    </row>
    <row r="77" spans="1:6">
      <c r="A77" s="1269" t="s">
        <v>66</v>
      </c>
      <c r="B77" s="1269" t="s">
        <v>725</v>
      </c>
      <c r="C77" s="1269" t="s">
        <v>731</v>
      </c>
      <c r="D77" s="335">
        <v>87954181</v>
      </c>
      <c r="E77" s="335">
        <v>102297647.94146946</v>
      </c>
    </row>
    <row r="78" spans="1:6">
      <c r="A78" s="1265" t="s">
        <v>66</v>
      </c>
      <c r="B78" s="1265" t="s">
        <v>727</v>
      </c>
      <c r="C78" s="1265" t="s">
        <v>732</v>
      </c>
      <c r="D78" s="1265">
        <v>17234477</v>
      </c>
      <c r="E78" s="1265">
        <v>18931303.395031542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993288.36341746501</v>
      </c>
      <c r="C83" s="335">
        <v>953692.13412966602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19781.661443559798</v>
      </c>
    </row>
    <row r="91" spans="1:6">
      <c r="A91" s="1269" t="s">
        <v>68</v>
      </c>
      <c r="B91" s="335">
        <v>10555.948503756035</v>
      </c>
    </row>
    <row r="92" spans="1:6">
      <c r="A92" s="1265" t="s">
        <v>69</v>
      </c>
      <c r="B92" s="338">
        <v>6319.3052399838843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2269</v>
      </c>
    </row>
    <row r="98" spans="1:6">
      <c r="A98" s="1269" t="s">
        <v>72</v>
      </c>
      <c r="B98" s="335">
        <v>9</v>
      </c>
    </row>
    <row r="99" spans="1:6">
      <c r="A99" s="1269" t="s">
        <v>73</v>
      </c>
      <c r="B99" s="335">
        <v>57</v>
      </c>
    </row>
    <row r="100" spans="1:6">
      <c r="A100" s="1269" t="s">
        <v>74</v>
      </c>
      <c r="B100" s="335">
        <v>465</v>
      </c>
    </row>
    <row r="101" spans="1:6">
      <c r="A101" s="1269" t="s">
        <v>75</v>
      </c>
      <c r="B101" s="335">
        <v>121</v>
      </c>
    </row>
    <row r="102" spans="1:6">
      <c r="A102" s="1269" t="s">
        <v>76</v>
      </c>
      <c r="B102" s="335">
        <v>138</v>
      </c>
    </row>
    <row r="103" spans="1:6">
      <c r="A103" s="1269" t="s">
        <v>77</v>
      </c>
      <c r="B103" s="335">
        <v>299</v>
      </c>
    </row>
    <row r="104" spans="1:6">
      <c r="A104" s="1269" t="s">
        <v>78</v>
      </c>
      <c r="B104" s="335">
        <v>10765</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74</v>
      </c>
      <c r="C123" s="335">
        <v>74</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440</v>
      </c>
    </row>
    <row r="130" spans="1:6">
      <c r="A130" s="1269" t="s">
        <v>295</v>
      </c>
      <c r="B130" s="335">
        <v>3</v>
      </c>
    </row>
    <row r="131" spans="1:6">
      <c r="A131" s="1269" t="s">
        <v>296</v>
      </c>
      <c r="B131" s="335">
        <v>2</v>
      </c>
    </row>
    <row r="132" spans="1:6">
      <c r="A132" s="1265" t="s">
        <v>297</v>
      </c>
      <c r="B132" s="338">
        <v>31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158854.75390775243</v>
      </c>
      <c r="C3" s="43" t="s">
        <v>170</v>
      </c>
      <c r="D3" s="43"/>
      <c r="E3" s="156"/>
      <c r="F3" s="43"/>
      <c r="G3" s="43"/>
      <c r="H3" s="43"/>
      <c r="I3" s="43"/>
      <c r="J3" s="43"/>
      <c r="K3" s="96"/>
    </row>
    <row r="4" spans="1:11">
      <c r="A4" s="366" t="s">
        <v>171</v>
      </c>
      <c r="B4" s="49">
        <f>IF(ISERROR('SEAP template'!B69),0,'SEAP template'!B69)</f>
        <v>36701.915187299717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10.694117647058825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0.17000732310818895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15.277310924369752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1963.0609999999999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1963.0609999999999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0.17000732310818895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333.73474570808446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64272.432000000001</v>
      </c>
      <c r="C5" s="17">
        <f>IF(ISERROR('Eigen informatie GS &amp; warmtenet'!B57),0,'Eigen informatie GS &amp; warmtenet'!B57)</f>
        <v>0</v>
      </c>
      <c r="D5" s="30">
        <f>(SUM(HH_hh_gas_kWh,HH_rest_gas_kWh)/1000)*0.902</f>
        <v>124250.484666</v>
      </c>
      <c r="E5" s="17">
        <f>B46*B57</f>
        <v>5795.0333115654048</v>
      </c>
      <c r="F5" s="17">
        <f>B51*B62</f>
        <v>137075.11537578207</v>
      </c>
      <c r="G5" s="18"/>
      <c r="H5" s="17"/>
      <c r="I5" s="17"/>
      <c r="J5" s="17">
        <f>B50*B61+C50*C61</f>
        <v>0</v>
      </c>
      <c r="K5" s="17"/>
      <c r="L5" s="17"/>
      <c r="M5" s="17"/>
      <c r="N5" s="17">
        <f>B48*B59+C48*C59</f>
        <v>46118.320002804605</v>
      </c>
      <c r="O5" s="17">
        <f>B69*B70*B71</f>
        <v>809.80666666666662</v>
      </c>
      <c r="P5" s="17">
        <f>B77*B78*B79/1000-B77*B78*B79/1000/B80</f>
        <v>2078.2666666666664</v>
      </c>
    </row>
    <row r="6" spans="1:16">
      <c r="A6" s="16" t="s">
        <v>634</v>
      </c>
      <c r="B6" s="831">
        <f>kWh_PV_kleiner_dan_10kW</f>
        <v>10555.948503756035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74828.380503756038</v>
      </c>
      <c r="C8" s="21">
        <f>C5</f>
        <v>0</v>
      </c>
      <c r="D8" s="21">
        <f>D5</f>
        <v>124250.484666</v>
      </c>
      <c r="E8" s="21">
        <f>E5</f>
        <v>5795.0333115654048</v>
      </c>
      <c r="F8" s="21">
        <f>F5</f>
        <v>137075.11537578207</v>
      </c>
      <c r="G8" s="21"/>
      <c r="H8" s="21"/>
      <c r="I8" s="21"/>
      <c r="J8" s="21">
        <f>J5</f>
        <v>0</v>
      </c>
      <c r="K8" s="21"/>
      <c r="L8" s="21">
        <f>L5</f>
        <v>0</v>
      </c>
      <c r="M8" s="21">
        <f>M5</f>
        <v>0</v>
      </c>
      <c r="N8" s="21">
        <f>N5</f>
        <v>46118.320002804605</v>
      </c>
      <c r="O8" s="21">
        <f>O5</f>
        <v>809.80666666666662</v>
      </c>
      <c r="P8" s="21">
        <f>P5</f>
        <v>2078.2666666666664</v>
      </c>
    </row>
    <row r="9" spans="1:16">
      <c r="B9" s="19"/>
      <c r="C9" s="19"/>
      <c r="D9" s="261"/>
      <c r="E9" s="19"/>
      <c r="F9" s="19"/>
      <c r="G9" s="19"/>
      <c r="H9" s="19"/>
      <c r="I9" s="19"/>
      <c r="J9" s="19"/>
      <c r="K9" s="19"/>
      <c r="L9" s="19"/>
      <c r="M9" s="19"/>
      <c r="N9" s="19"/>
      <c r="O9" s="19"/>
      <c r="P9" s="19"/>
    </row>
    <row r="10" spans="1:16">
      <c r="A10" s="24" t="s">
        <v>214</v>
      </c>
      <c r="B10" s="25">
        <f ca="1">'EF ele_warmte'!B12</f>
        <v>0.17000732310818895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12721.372661964559</v>
      </c>
      <c r="C12" s="23">
        <f ca="1">C10*C8</f>
        <v>0</v>
      </c>
      <c r="D12" s="23">
        <f>D8*D10</f>
        <v>25098.597902532001</v>
      </c>
      <c r="E12" s="23">
        <f>E10*E8</f>
        <v>1315.4725617253468</v>
      </c>
      <c r="F12" s="23">
        <f>F10*F8</f>
        <v>36599.055805333817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2269</v>
      </c>
      <c r="C18" s="168" t="s">
        <v>111</v>
      </c>
      <c r="D18" s="230"/>
      <c r="E18" s="15"/>
    </row>
    <row r="19" spans="1:7">
      <c r="A19" s="173" t="s">
        <v>72</v>
      </c>
      <c r="B19" s="37">
        <f>aantalw2001_ander</f>
        <v>9</v>
      </c>
      <c r="C19" s="168" t="s">
        <v>111</v>
      </c>
      <c r="D19" s="231"/>
      <c r="E19" s="15"/>
    </row>
    <row r="20" spans="1:7">
      <c r="A20" s="173" t="s">
        <v>73</v>
      </c>
      <c r="B20" s="37">
        <f>aantalw2001_propaan</f>
        <v>57</v>
      </c>
      <c r="C20" s="169">
        <f>IF(ISERROR(B20/SUM($B$20,$B$21,$B$22)*100),0,B20/SUM($B$20,$B$21,$B$22)*100)</f>
        <v>8.8646967340590983</v>
      </c>
      <c r="D20" s="231"/>
      <c r="E20" s="15"/>
    </row>
    <row r="21" spans="1:7">
      <c r="A21" s="173" t="s">
        <v>74</v>
      </c>
      <c r="B21" s="37">
        <f>aantalw2001_elektriciteit</f>
        <v>465</v>
      </c>
      <c r="C21" s="169">
        <f>IF(ISERROR(B21/SUM($B$20,$B$21,$B$22)*100),0,B21/SUM($B$20,$B$21,$B$22)*100)</f>
        <v>72.317262830482107</v>
      </c>
      <c r="D21" s="231"/>
      <c r="E21" s="15"/>
    </row>
    <row r="22" spans="1:7">
      <c r="A22" s="173" t="s">
        <v>75</v>
      </c>
      <c r="B22" s="37">
        <f>aantalw2001_hout</f>
        <v>121</v>
      </c>
      <c r="C22" s="169">
        <f>IF(ISERROR(B22/SUM($B$20,$B$21,$B$22)*100),0,B22/SUM($B$20,$B$21,$B$22)*100)</f>
        <v>18.818040435458787</v>
      </c>
      <c r="D22" s="231"/>
      <c r="E22" s="15"/>
    </row>
    <row r="23" spans="1:7">
      <c r="A23" s="173" t="s">
        <v>76</v>
      </c>
      <c r="B23" s="37">
        <f>aantalw2001_niet_gespec</f>
        <v>138</v>
      </c>
      <c r="C23" s="168" t="s">
        <v>111</v>
      </c>
      <c r="D23" s="230"/>
      <c r="E23" s="15"/>
    </row>
    <row r="24" spans="1:7">
      <c r="A24" s="173" t="s">
        <v>77</v>
      </c>
      <c r="B24" s="37">
        <f>aantalw2001_steenkool</f>
        <v>299</v>
      </c>
      <c r="C24" s="168" t="s">
        <v>111</v>
      </c>
      <c r="D24" s="231"/>
      <c r="E24" s="15"/>
    </row>
    <row r="25" spans="1:7">
      <c r="A25" s="173" t="s">
        <v>78</v>
      </c>
      <c r="B25" s="37">
        <f>aantalw2001_stookolie</f>
        <v>10765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16874</v>
      </c>
      <c r="C28" s="36"/>
      <c r="D28" s="230"/>
    </row>
    <row r="29" spans="1:7" s="15" customFormat="1">
      <c r="A29" s="232" t="s">
        <v>746</v>
      </c>
      <c r="B29" s="37">
        <f>SUM(HH_hh_gas_aantal,HH_rest_gas_aantal)</f>
        <v>8207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8207</v>
      </c>
      <c r="C32" s="169">
        <f>IF(ISERROR(B32/SUM($B$32,$B$34,$B$35,$B$36,$B$38,$B$39)*100),0,B32/SUM($B$32,$B$34,$B$35,$B$36,$B$38,$B$39)*100)</f>
        <v>48.953176260065611</v>
      </c>
      <c r="D32" s="235"/>
      <c r="G32" s="15"/>
    </row>
    <row r="33" spans="1:7">
      <c r="A33" s="173" t="s">
        <v>72</v>
      </c>
      <c r="B33" s="34" t="s">
        <v>111</v>
      </c>
      <c r="C33" s="169"/>
      <c r="D33" s="235"/>
      <c r="G33" s="15"/>
    </row>
    <row r="34" spans="1:7">
      <c r="A34" s="173" t="s">
        <v>73</v>
      </c>
      <c r="B34" s="33">
        <f>IF((($B$28-$B$32-$B$39-$B$77-$B$38)*C20/100)&lt;0,0,($B$28-$B$32-$B$39-$B$77-$B$38)*C20/100)</f>
        <v>278.10326594090202</v>
      </c>
      <c r="C34" s="169">
        <f>IF(ISERROR(B34/SUM($B$32,$B$34,$B$35,$B$36,$B$38,$B$39)*100),0,B34/SUM($B$32,$B$34,$B$35,$B$36,$B$38,$B$39)*100)</f>
        <v>1.6588324839898718</v>
      </c>
      <c r="D34" s="235"/>
      <c r="G34" s="15"/>
    </row>
    <row r="35" spans="1:7">
      <c r="A35" s="173" t="s">
        <v>74</v>
      </c>
      <c r="B35" s="33">
        <f>IF((($B$28-$B$32-$B$39-$B$77-$B$38)*C21/100)&lt;0,0,($B$28-$B$32-$B$39-$B$77-$B$38)*C21/100)</f>
        <v>2268.7371695178845</v>
      </c>
      <c r="C35" s="169">
        <f>IF(ISERROR(B35/SUM($B$32,$B$34,$B$35,$B$36,$B$38,$B$39)*100),0,B35/SUM($B$32,$B$34,$B$35,$B$36,$B$38,$B$39)*100)</f>
        <v>13.532580790443689</v>
      </c>
      <c r="D35" s="235"/>
      <c r="G35" s="15"/>
    </row>
    <row r="36" spans="1:7">
      <c r="A36" s="173" t="s">
        <v>75</v>
      </c>
      <c r="B36" s="33">
        <f>IF((($B$28-$B$32-$B$39-$B$77-$B$38)*C22/100)&lt;0,0,($B$28-$B$32-$B$39-$B$77-$B$38)*C22/100)</f>
        <v>590.35956454121299</v>
      </c>
      <c r="C36" s="169">
        <f>IF(ISERROR(B36/SUM($B$32,$B$34,$B$35,$B$36,$B$38,$B$39)*100),0,B36/SUM($B$32,$B$34,$B$35,$B$36,$B$38,$B$39)*100)</f>
        <v>3.521381237943412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5420.8</v>
      </c>
      <c r="C39" s="169">
        <f>IF(ISERROR(B39/SUM($B$32,$B$34,$B$35,$B$36,$B$38,$B$39)*100),0,B39/SUM($B$32,$B$34,$B$35,$B$36,$B$38,$B$39)*100)</f>
        <v>32.334029227557416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8207</v>
      </c>
      <c r="C44" s="34" t="s">
        <v>111</v>
      </c>
      <c r="D44" s="176"/>
    </row>
    <row r="45" spans="1:7">
      <c r="A45" s="173" t="s">
        <v>72</v>
      </c>
      <c r="B45" s="33" t="str">
        <f t="shared" si="0"/>
        <v>-</v>
      </c>
      <c r="C45" s="34" t="s">
        <v>111</v>
      </c>
      <c r="D45" s="176"/>
    </row>
    <row r="46" spans="1:7">
      <c r="A46" s="173" t="s">
        <v>73</v>
      </c>
      <c r="B46" s="33">
        <f t="shared" si="0"/>
        <v>278.10326594090202</v>
      </c>
      <c r="C46" s="34" t="s">
        <v>111</v>
      </c>
      <c r="D46" s="176"/>
    </row>
    <row r="47" spans="1:7">
      <c r="A47" s="173" t="s">
        <v>74</v>
      </c>
      <c r="B47" s="33">
        <f t="shared" si="0"/>
        <v>2268.7371695178845</v>
      </c>
      <c r="C47" s="34" t="s">
        <v>111</v>
      </c>
      <c r="D47" s="176"/>
    </row>
    <row r="48" spans="1:7">
      <c r="A48" s="173" t="s">
        <v>75</v>
      </c>
      <c r="B48" s="33">
        <f t="shared" si="0"/>
        <v>590.35956454121299</v>
      </c>
      <c r="C48" s="33">
        <f>B48*10</f>
        <v>5903.5956454121297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5420.8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42707.972000000002</v>
      </c>
      <c r="C5" s="17">
        <f>IF(ISERROR('Eigen informatie GS &amp; warmtenet'!B58),0,'Eigen informatie GS &amp; warmtenet'!B58)</f>
        <v>0</v>
      </c>
      <c r="D5" s="30">
        <f>SUM(D6:D12)</f>
        <v>24976.768762</v>
      </c>
      <c r="E5" s="17">
        <f>SUM(E6:E12)</f>
        <v>537.20428020573013</v>
      </c>
      <c r="F5" s="17">
        <f>SUM(F6:F12)</f>
        <v>8449.3394071599596</v>
      </c>
      <c r="G5" s="18"/>
      <c r="H5" s="17"/>
      <c r="I5" s="17"/>
      <c r="J5" s="17">
        <f>SUM(J6:J12)</f>
        <v>0</v>
      </c>
      <c r="K5" s="17"/>
      <c r="L5" s="17"/>
      <c r="M5" s="17"/>
      <c r="N5" s="17">
        <f>SUM(N6:N12)</f>
        <v>3743.1962519840981</v>
      </c>
      <c r="O5" s="17">
        <f>B38*B39*B40</f>
        <v>4.6900000000000004</v>
      </c>
      <c r="P5" s="17">
        <f>B46*B47*B48/1000-B46*B47*B48/1000/B49</f>
        <v>38.133333333333333</v>
      </c>
      <c r="R5" s="32"/>
    </row>
    <row r="6" spans="1:18">
      <c r="A6" s="32" t="s">
        <v>54</v>
      </c>
      <c r="B6" s="37">
        <f>B26</f>
        <v>13050.896000000001</v>
      </c>
      <c r="C6" s="33"/>
      <c r="D6" s="37">
        <f>IF(ISERROR(TER_kantoor_gas_kWh/1000),0,TER_kantoor_gas_kWh/1000)*0.902</f>
        <v>7395.393368</v>
      </c>
      <c r="E6" s="33">
        <f>$C$26*'E Balans VL '!I12/100/3.6*1000000</f>
        <v>50.705493995671041</v>
      </c>
      <c r="F6" s="33">
        <f>$C$26*('E Balans VL '!L12+'E Balans VL '!N12)/100/3.6*1000000</f>
        <v>1984.9225279142654</v>
      </c>
      <c r="G6" s="34"/>
      <c r="H6" s="33"/>
      <c r="I6" s="33"/>
      <c r="J6" s="33">
        <f>$C$26*('E Balans VL '!D12+'E Balans VL '!E12)/100/3.6*1000000</f>
        <v>0</v>
      </c>
      <c r="K6" s="33"/>
      <c r="L6" s="33"/>
      <c r="M6" s="33"/>
      <c r="N6" s="33">
        <f>$C$26*'E Balans VL '!Y12/100/3.6*1000000</f>
        <v>7.1926071548375878</v>
      </c>
      <c r="O6" s="33"/>
      <c r="P6" s="33"/>
      <c r="R6" s="32"/>
    </row>
    <row r="7" spans="1:18">
      <c r="A7" s="32" t="s">
        <v>53</v>
      </c>
      <c r="B7" s="37">
        <f t="shared" ref="B7:B12" si="0">B27</f>
        <v>4014.1610000000001</v>
      </c>
      <c r="C7" s="33"/>
      <c r="D7" s="37">
        <f>IF(ISERROR(TER_horeca_gas_kWh/1000),0,TER_horeca_gas_kWh/1000)*0.902</f>
        <v>2598.446422</v>
      </c>
      <c r="E7" s="33">
        <f>$C$27*'E Balans VL '!I9/100/3.6*1000000</f>
        <v>226.11876233883947</v>
      </c>
      <c r="F7" s="33">
        <f>$C$27*('E Balans VL '!L9+'E Balans VL '!N9)/100/3.6*1000000</f>
        <v>1157.4437094868813</v>
      </c>
      <c r="G7" s="34"/>
      <c r="H7" s="33"/>
      <c r="I7" s="33"/>
      <c r="J7" s="33">
        <f>$C$27*('E Balans VL '!D9+'E Balans VL '!E9)/100/3.6*1000000</f>
        <v>0</v>
      </c>
      <c r="K7" s="33"/>
      <c r="L7" s="33"/>
      <c r="M7" s="33"/>
      <c r="N7" s="33">
        <f>$C$27*'E Balans VL '!Y9/100/3.6*1000000</f>
        <v>1.1082889925568338</v>
      </c>
      <c r="O7" s="33"/>
      <c r="P7" s="33"/>
      <c r="R7" s="32"/>
    </row>
    <row r="8" spans="1:18">
      <c r="A8" s="6" t="s">
        <v>52</v>
      </c>
      <c r="B8" s="37">
        <f t="shared" si="0"/>
        <v>16082.489</v>
      </c>
      <c r="C8" s="33"/>
      <c r="D8" s="37">
        <f>IF(ISERROR(TER_handel_gas_kWh/1000),0,TER_handel_gas_kWh/1000)*0.902</f>
        <v>7787.0976920000012</v>
      </c>
      <c r="E8" s="33">
        <f>$C$28*'E Balans VL '!I13/100/3.6*1000000</f>
        <v>231.80322894753962</v>
      </c>
      <c r="F8" s="33">
        <f>$C$28*('E Balans VL '!L13+'E Balans VL '!N13)/100/3.6*1000000</f>
        <v>2793.902875195557</v>
      </c>
      <c r="G8" s="34"/>
      <c r="H8" s="33"/>
      <c r="I8" s="33"/>
      <c r="J8" s="33">
        <f>$C$28*('E Balans VL '!D13+'E Balans VL '!E13)/100/3.6*1000000</f>
        <v>0</v>
      </c>
      <c r="K8" s="33"/>
      <c r="L8" s="33"/>
      <c r="M8" s="33"/>
      <c r="N8" s="33">
        <f>$C$28*'E Balans VL '!Y13/100/3.6*1000000</f>
        <v>48.18492738355674</v>
      </c>
      <c r="O8" s="33"/>
      <c r="P8" s="33"/>
      <c r="R8" s="32"/>
    </row>
    <row r="9" spans="1:18">
      <c r="A9" s="32" t="s">
        <v>51</v>
      </c>
      <c r="B9" s="37">
        <f t="shared" si="0"/>
        <v>3054.03</v>
      </c>
      <c r="C9" s="33"/>
      <c r="D9" s="37">
        <f>IF(ISERROR(TER_gezond_gas_kWh/1000),0,TER_gezond_gas_kWh/1000)*0.902</f>
        <v>1822.4035060000001</v>
      </c>
      <c r="E9" s="33">
        <f>$C$29*'E Balans VL '!I10/100/3.6*1000000</f>
        <v>3.2624956155063112</v>
      </c>
      <c r="F9" s="33">
        <f>$C$29*('E Balans VL '!L10+'E Balans VL '!N10)/100/3.6*1000000</f>
        <v>498.20510845462229</v>
      </c>
      <c r="G9" s="34"/>
      <c r="H9" s="33"/>
      <c r="I9" s="33"/>
      <c r="J9" s="33">
        <f>$C$29*('E Balans VL '!D10+'E Balans VL '!E10)/100/3.6*1000000</f>
        <v>0</v>
      </c>
      <c r="K9" s="33"/>
      <c r="L9" s="33"/>
      <c r="M9" s="33"/>
      <c r="N9" s="33">
        <f>$C$29*'E Balans VL '!Y10/100/3.6*1000000</f>
        <v>31.439496255247306</v>
      </c>
      <c r="O9" s="33"/>
      <c r="P9" s="33"/>
      <c r="R9" s="32"/>
    </row>
    <row r="10" spans="1:18">
      <c r="A10" s="32" t="s">
        <v>50</v>
      </c>
      <c r="B10" s="37">
        <f t="shared" si="0"/>
        <v>5251.3280000000004</v>
      </c>
      <c r="C10" s="33"/>
      <c r="D10" s="37">
        <f>IF(ISERROR(TER_ander_gas_kWh/1000),0,TER_ander_gas_kWh/1000)*0.902</f>
        <v>3333.266134</v>
      </c>
      <c r="E10" s="33">
        <f>$C$30*'E Balans VL '!I14/100/3.6*1000000</f>
        <v>24.150058685714388</v>
      </c>
      <c r="F10" s="33">
        <f>$C$30*('E Balans VL '!L14+'E Balans VL '!N14)/100/3.6*1000000</f>
        <v>1573.9886433727202</v>
      </c>
      <c r="G10" s="34"/>
      <c r="H10" s="33"/>
      <c r="I10" s="33"/>
      <c r="J10" s="33">
        <f>$C$30*('E Balans VL '!D14+'E Balans VL '!E14)/100/3.6*1000000</f>
        <v>0</v>
      </c>
      <c r="K10" s="33"/>
      <c r="L10" s="33"/>
      <c r="M10" s="33"/>
      <c r="N10" s="33">
        <f>$C$30*'E Balans VL '!Y14/100/3.6*1000000</f>
        <v>3655.2709321978996</v>
      </c>
      <c r="O10" s="33"/>
      <c r="P10" s="33"/>
      <c r="R10" s="32"/>
    </row>
    <row r="11" spans="1:18">
      <c r="A11" s="32" t="s">
        <v>55</v>
      </c>
      <c r="B11" s="37">
        <f t="shared" si="0"/>
        <v>1255.068</v>
      </c>
      <c r="C11" s="33"/>
      <c r="D11" s="37">
        <f>IF(ISERROR(TER_onderwijs_gas_kWh/1000),0,TER_onderwijs_gas_kWh/1000)*0.902</f>
        <v>2040.1616400000003</v>
      </c>
      <c r="E11" s="33">
        <f>$C$31*'E Balans VL '!I11/100/3.6*1000000</f>
        <v>1.1642406224592676</v>
      </c>
      <c r="F11" s="33">
        <f>$C$31*('E Balans VL '!L11+'E Balans VL '!N11)/100/3.6*1000000</f>
        <v>440.87654273591403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45</v>
      </c>
      <c r="C13" s="249">
        <f ca="1">'lokale energieproductie'!O90+'lokale energieproductie'!O59</f>
        <v>64.285714285714292</v>
      </c>
      <c r="D13" s="312">
        <f ca="1">('lokale energieproductie'!P59+'lokale energieproductie'!P90)*(-1)</f>
        <v>-128.57142857142858</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42752.972000000002</v>
      </c>
      <c r="C16" s="21">
        <f t="shared" ca="1" si="1"/>
        <v>64.285714285714292</v>
      </c>
      <c r="D16" s="21">
        <f t="shared" ca="1" si="1"/>
        <v>24848.197333428572</v>
      </c>
      <c r="E16" s="21">
        <f t="shared" si="1"/>
        <v>537.20428020573013</v>
      </c>
      <c r="F16" s="21">
        <f t="shared" ca="1" si="1"/>
        <v>8449.3394071599596</v>
      </c>
      <c r="G16" s="21">
        <f t="shared" si="1"/>
        <v>0</v>
      </c>
      <c r="H16" s="21">
        <f t="shared" si="1"/>
        <v>0</v>
      </c>
      <c r="I16" s="21">
        <f t="shared" si="1"/>
        <v>0</v>
      </c>
      <c r="J16" s="21">
        <f t="shared" si="1"/>
        <v>0</v>
      </c>
      <c r="K16" s="21">
        <f t="shared" si="1"/>
        <v>0</v>
      </c>
      <c r="L16" s="21">
        <f t="shared" ca="1" si="1"/>
        <v>0</v>
      </c>
      <c r="M16" s="21">
        <f t="shared" si="1"/>
        <v>0</v>
      </c>
      <c r="N16" s="21">
        <f t="shared" ca="1" si="1"/>
        <v>3743.1962519840981</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0.17000732310818895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7268.3183246393555</v>
      </c>
      <c r="C20" s="23">
        <f t="shared" ref="C20:P20" ca="1" si="2">C16*C18</f>
        <v>15.277310924369752</v>
      </c>
      <c r="D20" s="23">
        <f t="shared" ca="1" si="2"/>
        <v>5019.3358613525716</v>
      </c>
      <c r="E20" s="23">
        <f t="shared" si="2"/>
        <v>121.94537160670075</v>
      </c>
      <c r="F20" s="23">
        <f t="shared" ca="1" si="2"/>
        <v>2255.9736217117093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13050.896000000001</v>
      </c>
      <c r="C26" s="39">
        <f>IF(ISERROR(B26*3.6/1000000/'E Balans VL '!Z12*100),0,B26*3.6/1000000/'E Balans VL '!Z12*100)</f>
        <v>0.27720749561349534</v>
      </c>
      <c r="D26" s="239" t="s">
        <v>692</v>
      </c>
      <c r="F26" s="6"/>
    </row>
    <row r="27" spans="1:18">
      <c r="A27" s="233" t="s">
        <v>53</v>
      </c>
      <c r="B27" s="33">
        <f>IF(ISERROR(TER_horeca_ele_kWh/1000),0,TER_horeca_ele_kWh/1000)</f>
        <v>4014.1610000000001</v>
      </c>
      <c r="C27" s="39">
        <f>IF(ISERROR(B27*3.6/1000000/'E Balans VL '!Z9*100),0,B27*3.6/1000000/'E Balans VL '!Z9*100)</f>
        <v>0.31212546430478189</v>
      </c>
      <c r="D27" s="239" t="s">
        <v>692</v>
      </c>
      <c r="F27" s="6"/>
    </row>
    <row r="28" spans="1:18">
      <c r="A28" s="173" t="s">
        <v>52</v>
      </c>
      <c r="B28" s="33">
        <f>IF(ISERROR(TER_handel_ele_kWh/1000),0,TER_handel_ele_kWh/1000)</f>
        <v>16082.489</v>
      </c>
      <c r="C28" s="39">
        <f>IF(ISERROR(B28*3.6/1000000/'E Balans VL '!Z13*100),0,B28*3.6/1000000/'E Balans VL '!Z13*100)</f>
        <v>0.46013893748616935</v>
      </c>
      <c r="D28" s="239" t="s">
        <v>692</v>
      </c>
      <c r="F28" s="6"/>
    </row>
    <row r="29" spans="1:18">
      <c r="A29" s="233" t="s">
        <v>51</v>
      </c>
      <c r="B29" s="33">
        <f>IF(ISERROR(TER_gezond_ele_kWh/1000),0,TER_gezond_ele_kWh/1000)</f>
        <v>3054.03</v>
      </c>
      <c r="C29" s="39">
        <f>IF(ISERROR(B29*3.6/1000000/'E Balans VL '!Z10*100),0,B29*3.6/1000000/'E Balans VL '!Z10*100)</f>
        <v>0.33296023714598066</v>
      </c>
      <c r="D29" s="239" t="s">
        <v>692</v>
      </c>
      <c r="F29" s="6"/>
    </row>
    <row r="30" spans="1:18">
      <c r="A30" s="233" t="s">
        <v>50</v>
      </c>
      <c r="B30" s="33">
        <f>IF(ISERROR(TER_ander_ele_kWh/1000),0,TER_ander_ele_kWh/1000)</f>
        <v>5251.3280000000004</v>
      </c>
      <c r="C30" s="39">
        <f>IF(ISERROR(B30*3.6/1000000/'E Balans VL '!Z14*100),0,B30*3.6/1000000/'E Balans VL '!Z14*100)</f>
        <v>0.38428027068481968</v>
      </c>
      <c r="D30" s="239" t="s">
        <v>692</v>
      </c>
      <c r="F30" s="6"/>
    </row>
    <row r="31" spans="1:18">
      <c r="A31" s="233" t="s">
        <v>55</v>
      </c>
      <c r="B31" s="33">
        <f>IF(ISERROR(TER_onderwijs_ele_kWh/1000),0,TER_onderwijs_ele_kWh/1000)</f>
        <v>1255.068</v>
      </c>
      <c r="C31" s="39">
        <f>IF(ISERROR(B31*3.6/1000000/'E Balans VL '!Z11*100),0,B31*3.6/1000000/'E Balans VL '!Z11*100)</f>
        <v>0.25208133978779734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38606.417000000009</v>
      </c>
      <c r="C5" s="17">
        <f>IF(ISERROR('Eigen informatie GS &amp; warmtenet'!B59),0,'Eigen informatie GS &amp; warmtenet'!B59)</f>
        <v>0</v>
      </c>
      <c r="D5" s="30">
        <f>SUM(D6:D15)</f>
        <v>34971.347289999998</v>
      </c>
      <c r="E5" s="17">
        <f>SUM(E6:E15)</f>
        <v>1933.2086695795754</v>
      </c>
      <c r="F5" s="17">
        <f>SUM(F6:F15)</f>
        <v>15856.930471335625</v>
      </c>
      <c r="G5" s="18"/>
      <c r="H5" s="17"/>
      <c r="I5" s="17"/>
      <c r="J5" s="17">
        <f>SUM(J6:J15)</f>
        <v>7.1313096358335919</v>
      </c>
      <c r="K5" s="17"/>
      <c r="L5" s="17"/>
      <c r="M5" s="17"/>
      <c r="N5" s="17">
        <f>SUM(N6:N15)</f>
        <v>40004.61365569583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4083.7669999999998</v>
      </c>
      <c r="C8" s="33"/>
      <c r="D8" s="37">
        <f>IF( ISERROR(IND_metaal_Gas_kWH/1000),0,IND_metaal_Gas_kWH/1000)*0.902</f>
        <v>9774.2496940000001</v>
      </c>
      <c r="E8" s="33">
        <f>C30*'E Balans VL '!I18/100/3.6*1000000</f>
        <v>117.30111682082983</v>
      </c>
      <c r="F8" s="33">
        <f>C30*'E Balans VL '!L18/100/3.6*1000000+C30*'E Balans VL '!N18/100/3.6*1000000</f>
        <v>1047.4076933732001</v>
      </c>
      <c r="G8" s="34"/>
      <c r="H8" s="33"/>
      <c r="I8" s="33"/>
      <c r="J8" s="40">
        <f>C30*'E Balans VL '!D18/100/3.6*1000000+C30*'E Balans VL '!E18/100/3.6*1000000</f>
        <v>0</v>
      </c>
      <c r="K8" s="33"/>
      <c r="L8" s="33"/>
      <c r="M8" s="33"/>
      <c r="N8" s="33">
        <f>C30*'E Balans VL '!Y18/100/3.6*1000000</f>
        <v>110.88261019949367</v>
      </c>
      <c r="O8" s="33"/>
      <c r="P8" s="33"/>
      <c r="R8" s="32"/>
    </row>
    <row r="9" spans="1:18">
      <c r="A9" s="6" t="s">
        <v>33</v>
      </c>
      <c r="B9" s="37">
        <f t="shared" si="0"/>
        <v>3783.52</v>
      </c>
      <c r="C9" s="33"/>
      <c r="D9" s="37">
        <f>IF( ISERROR(IND_andere_gas_kWh/1000),0,IND_andere_gas_kWh/1000)*0.902</f>
        <v>3676.012604</v>
      </c>
      <c r="E9" s="33">
        <f>C31*'E Balans VL '!I19/100/3.6*1000000</f>
        <v>1024.1058384407327</v>
      </c>
      <c r="F9" s="33">
        <f>C31*'E Balans VL '!L19/100/3.6*1000000+C31*'E Balans VL '!N19/100/3.6*1000000</f>
        <v>2520.2247000514894</v>
      </c>
      <c r="G9" s="34"/>
      <c r="H9" s="33"/>
      <c r="I9" s="33"/>
      <c r="J9" s="40">
        <f>C31*'E Balans VL '!D19/100/3.6*1000000+C31*'E Balans VL '!E19/100/3.6*1000000</f>
        <v>0</v>
      </c>
      <c r="K9" s="33"/>
      <c r="L9" s="33"/>
      <c r="M9" s="33"/>
      <c r="N9" s="33">
        <f>C31*'E Balans VL '!Y19/100/3.6*1000000</f>
        <v>1235.2564303521788</v>
      </c>
      <c r="O9" s="33"/>
      <c r="P9" s="33"/>
      <c r="R9" s="32"/>
    </row>
    <row r="10" spans="1:18">
      <c r="A10" s="6" t="s">
        <v>41</v>
      </c>
      <c r="B10" s="37">
        <f t="shared" si="0"/>
        <v>6986.9459999999999</v>
      </c>
      <c r="C10" s="33"/>
      <c r="D10" s="37">
        <f>IF( ISERROR(IND_voed_gas_kWh/1000),0,IND_voed_gas_kWh/1000)*0.902</f>
        <v>5252.3306660000007</v>
      </c>
      <c r="E10" s="33">
        <f>C32*'E Balans VL '!I20/100/3.6*1000000</f>
        <v>569.8713678507379</v>
      </c>
      <c r="F10" s="33">
        <f>C32*'E Balans VL '!L20/100/3.6*1000000+C32*'E Balans VL '!N20/100/3.6*1000000</f>
        <v>10418.170397285243</v>
      </c>
      <c r="G10" s="34"/>
      <c r="H10" s="33"/>
      <c r="I10" s="33"/>
      <c r="J10" s="40">
        <f>C32*'E Balans VL '!D20/100/3.6*1000000+C32*'E Balans VL '!E20/100/3.6*1000000</f>
        <v>9.24288145652893E-2</v>
      </c>
      <c r="K10" s="33"/>
      <c r="L10" s="33"/>
      <c r="M10" s="33"/>
      <c r="N10" s="33">
        <f>C32*'E Balans VL '!Y20/100/3.6*1000000</f>
        <v>2052.5181920598361</v>
      </c>
      <c r="O10" s="33"/>
      <c r="P10" s="33"/>
      <c r="R10" s="32"/>
    </row>
    <row r="11" spans="1:18">
      <c r="A11" s="6" t="s">
        <v>40</v>
      </c>
      <c r="B11" s="37">
        <f t="shared" si="0"/>
        <v>266.32</v>
      </c>
      <c r="C11" s="33"/>
      <c r="D11" s="37">
        <f>IF( ISERROR(IND_textiel_gas_kWh/1000),0,IND_textiel_gas_kWh/1000)*0.902</f>
        <v>0</v>
      </c>
      <c r="E11" s="33">
        <f>C33*'E Balans VL '!I21/100/3.6*1000000</f>
        <v>5.2790072829899767E-2</v>
      </c>
      <c r="F11" s="33">
        <f>C33*'E Balans VL '!L21/100/3.6*1000000+C33*'E Balans VL '!N21/100/3.6*1000000</f>
        <v>9.8088869161057417</v>
      </c>
      <c r="G11" s="34"/>
      <c r="H11" s="33"/>
      <c r="I11" s="33"/>
      <c r="J11" s="40">
        <f>C33*'E Balans VL '!D21/100/3.6*1000000+C33*'E Balans VL '!E21/100/3.6*1000000</f>
        <v>0</v>
      </c>
      <c r="K11" s="33"/>
      <c r="L11" s="33"/>
      <c r="M11" s="33"/>
      <c r="N11" s="33">
        <f>C33*'E Balans VL '!Y21/100/3.6*1000000</f>
        <v>1.2383207696873966</v>
      </c>
      <c r="O11" s="33"/>
      <c r="P11" s="33"/>
      <c r="R11" s="32"/>
    </row>
    <row r="12" spans="1:18">
      <c r="A12" s="6" t="s">
        <v>37</v>
      </c>
      <c r="B12" s="37">
        <f t="shared" si="0"/>
        <v>1196.317</v>
      </c>
      <c r="C12" s="33"/>
      <c r="D12" s="37">
        <f>IF( ISERROR(IND_min_gas_kWh/1000),0,IND_min_gas_kWh/1000)*0.902</f>
        <v>280.91346800000002</v>
      </c>
      <c r="E12" s="33">
        <f>C34*'E Balans VL '!I22/100/3.6*1000000</f>
        <v>9.3190487636211063</v>
      </c>
      <c r="F12" s="33">
        <f>C34*'E Balans VL '!L22/100/3.6*1000000+C34*'E Balans VL '!N22/100/3.6*1000000</f>
        <v>451.17725647500868</v>
      </c>
      <c r="G12" s="34"/>
      <c r="H12" s="33"/>
      <c r="I12" s="33"/>
      <c r="J12" s="40">
        <f>C34*'E Balans VL '!D22/100/3.6*1000000+C34*'E Balans VL '!E22/100/3.6*1000000</f>
        <v>6.5796389025025501</v>
      </c>
      <c r="K12" s="33"/>
      <c r="L12" s="33"/>
      <c r="M12" s="33"/>
      <c r="N12" s="33">
        <f>C34*'E Balans VL '!Y22/100/3.6*1000000</f>
        <v>0</v>
      </c>
      <c r="O12" s="33"/>
      <c r="P12" s="33"/>
      <c r="R12" s="32"/>
    </row>
    <row r="13" spans="1:18">
      <c r="A13" s="6" t="s">
        <v>39</v>
      </c>
      <c r="B13" s="37">
        <f t="shared" si="0"/>
        <v>17051.945</v>
      </c>
      <c r="C13" s="33"/>
      <c r="D13" s="37">
        <f>IF( ISERROR(IND_papier_gas_kWh/1000),0,IND_papier_gas_kWh/1000)*0.902</f>
        <v>12910.457692000002</v>
      </c>
      <c r="E13" s="33">
        <f>C35*'E Balans VL '!I23/100/3.6*1000000</f>
        <v>178.65018872762749</v>
      </c>
      <c r="F13" s="33">
        <f>C35*'E Balans VL '!L23/100/3.6*1000000+C35*'E Balans VL '!N23/100/3.6*1000000</f>
        <v>1272.4191582896065</v>
      </c>
      <c r="G13" s="34"/>
      <c r="H13" s="33"/>
      <c r="I13" s="33"/>
      <c r="J13" s="40">
        <f>C35*'E Balans VL '!D23/100/3.6*1000000+C35*'E Balans VL '!E23/100/3.6*1000000</f>
        <v>0</v>
      </c>
      <c r="K13" s="33"/>
      <c r="L13" s="33"/>
      <c r="M13" s="33"/>
      <c r="N13" s="33">
        <f>C35*'E Balans VL '!Y23/100/3.6*1000000</f>
        <v>36446.752609559117</v>
      </c>
      <c r="O13" s="33"/>
      <c r="P13" s="33"/>
      <c r="R13" s="32"/>
    </row>
    <row r="14" spans="1:18">
      <c r="A14" s="6" t="s">
        <v>34</v>
      </c>
      <c r="B14" s="37">
        <f t="shared" si="0"/>
        <v>5058.4250000000002</v>
      </c>
      <c r="C14" s="33"/>
      <c r="D14" s="37">
        <f>IF( ISERROR(IND_chemie_gas_kWh/1000),0,IND_chemie_gas_kWh/1000)*0.902</f>
        <v>1097.0593039999999</v>
      </c>
      <c r="E14" s="33">
        <f>C36*'E Balans VL '!I24/100/3.6*1000000</f>
        <v>23.912362846098375</v>
      </c>
      <c r="F14" s="33">
        <f>C36*'E Balans VL '!L24/100/3.6*1000000+C36*'E Balans VL '!N24/100/3.6*1000000</f>
        <v>95.601517334463708</v>
      </c>
      <c r="G14" s="34"/>
      <c r="H14" s="33"/>
      <c r="I14" s="33"/>
      <c r="J14" s="40">
        <f>C36*'E Balans VL '!D24/100/3.6*1000000+C36*'E Balans VL '!E24/100/3.6*1000000</f>
        <v>0</v>
      </c>
      <c r="K14" s="33"/>
      <c r="L14" s="33"/>
      <c r="M14" s="33"/>
      <c r="N14" s="33">
        <f>C36*'E Balans VL '!Y24/100/3.6*1000000</f>
        <v>122.80144619062531</v>
      </c>
      <c r="O14" s="33"/>
      <c r="P14" s="33"/>
      <c r="R14" s="32"/>
    </row>
    <row r="15" spans="1:18">
      <c r="A15" s="6" t="s">
        <v>270</v>
      </c>
      <c r="B15" s="37">
        <f t="shared" si="0"/>
        <v>179.17699999999999</v>
      </c>
      <c r="C15" s="33"/>
      <c r="D15" s="37">
        <f>IF( ISERROR(IND_rest_gas_kWh/1000),0,IND_rest_gas_kWh/1000)*0.902</f>
        <v>1980.3238620000002</v>
      </c>
      <c r="E15" s="33">
        <f>C37*'E Balans VL '!I15/100/3.6*1000000</f>
        <v>9.9959560570981996</v>
      </c>
      <c r="F15" s="33">
        <f>C37*'E Balans VL '!L15/100/3.6*1000000+C37*'E Balans VL '!N15/100/3.6*1000000</f>
        <v>42.12086161050992</v>
      </c>
      <c r="G15" s="34"/>
      <c r="H15" s="33"/>
      <c r="I15" s="33"/>
      <c r="J15" s="40">
        <f>C37*'E Balans VL '!D15/100/3.6*1000000+C37*'E Balans VL '!E15/100/3.6*1000000</f>
        <v>0.45924191876575277</v>
      </c>
      <c r="K15" s="33"/>
      <c r="L15" s="33"/>
      <c r="M15" s="33"/>
      <c r="N15" s="33">
        <f>C37*'E Balans VL '!Y15/100/3.6*1000000</f>
        <v>35.16404656488973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38606.417000000009</v>
      </c>
      <c r="C18" s="21">
        <f>C5+C16</f>
        <v>0</v>
      </c>
      <c r="D18" s="21">
        <f>MAX((D5+D16),0)</f>
        <v>34971.347289999998</v>
      </c>
      <c r="E18" s="21">
        <f>MAX((E5+E16),0)</f>
        <v>1933.2086695795754</v>
      </c>
      <c r="F18" s="21">
        <f>MAX((F5+F16),0)</f>
        <v>15856.930471335625</v>
      </c>
      <c r="G18" s="21"/>
      <c r="H18" s="21"/>
      <c r="I18" s="21"/>
      <c r="J18" s="21">
        <f>MAX((J5+J16),0)</f>
        <v>7.1313096358335919</v>
      </c>
      <c r="K18" s="21"/>
      <c r="L18" s="21">
        <f>MAX((L5+L16),0)</f>
        <v>0</v>
      </c>
      <c r="M18" s="21"/>
      <c r="N18" s="21">
        <f>MAX((N5+N16),0)</f>
        <v>40004.61365569583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0.17000732310818895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6563.3736089684799</v>
      </c>
      <c r="C22" s="23">
        <f ca="1">C18*C20</f>
        <v>0</v>
      </c>
      <c r="D22" s="23">
        <f>D18*D20</f>
        <v>7064.2121525800003</v>
      </c>
      <c r="E22" s="23">
        <f>E18*E20</f>
        <v>438.83836799456361</v>
      </c>
      <c r="F22" s="23">
        <f>F18*F20</f>
        <v>4233.8004358466123</v>
      </c>
      <c r="G22" s="23"/>
      <c r="H22" s="23"/>
      <c r="I22" s="23"/>
      <c r="J22" s="23">
        <f>J18*J20</f>
        <v>2.5244836110850915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4083.7669999999998</v>
      </c>
      <c r="C30" s="39">
        <f>IF(ISERROR(B30*3.6/1000000/'E Balans VL '!Z18*100),0,B30*3.6/1000000/'E Balans VL '!Z18*100)</f>
        <v>0.40183224805334572</v>
      </c>
      <c r="D30" s="239" t="s">
        <v>692</v>
      </c>
    </row>
    <row r="31" spans="1:18">
      <c r="A31" s="6" t="s">
        <v>33</v>
      </c>
      <c r="B31" s="37">
        <f>IF( ISERROR(IND_ander_ele_kWh/1000),0,IND_ander_ele_kWh/1000)</f>
        <v>3783.52</v>
      </c>
      <c r="C31" s="39">
        <f>IF(ISERROR(B31*3.6/1000000/'E Balans VL '!Z19*100),0,B31*3.6/1000000/'E Balans VL '!Z19*100)</f>
        <v>0.1647692779158261</v>
      </c>
      <c r="D31" s="239" t="s">
        <v>692</v>
      </c>
    </row>
    <row r="32" spans="1:18">
      <c r="A32" s="173" t="s">
        <v>41</v>
      </c>
      <c r="B32" s="37">
        <f>IF( ISERROR(IND_voed_ele_kWh/1000),0,IND_voed_ele_kWh/1000)</f>
        <v>6986.9459999999999</v>
      </c>
      <c r="C32" s="39">
        <f>IF(ISERROR(B32*3.6/1000000/'E Balans VL '!Z20*100),0,B32*3.6/1000000/'E Balans VL '!Z20*100)</f>
        <v>1.3256722407770056</v>
      </c>
      <c r="D32" s="239" t="s">
        <v>692</v>
      </c>
    </row>
    <row r="33" spans="1:5">
      <c r="A33" s="173" t="s">
        <v>40</v>
      </c>
      <c r="B33" s="37">
        <f>IF( ISERROR(IND_textiel_ele_kWh/1000),0,IND_textiel_ele_kWh/1000)</f>
        <v>266.32</v>
      </c>
      <c r="C33" s="39">
        <f>IF(ISERROR(B33*3.6/1000000/'E Balans VL '!Z21*100),0,B33*3.6/1000000/'E Balans VL '!Z21*100)</f>
        <v>1.5205521423271124E-2</v>
      </c>
      <c r="D33" s="239" t="s">
        <v>692</v>
      </c>
    </row>
    <row r="34" spans="1:5">
      <c r="A34" s="173" t="s">
        <v>37</v>
      </c>
      <c r="B34" s="37">
        <f>IF( ISERROR(IND_min_ele_kWh/1000),0,IND_min_ele_kWh/1000)</f>
        <v>1196.317</v>
      </c>
      <c r="C34" s="39">
        <f>IF(ISERROR(B34*3.6/1000000/'E Balans VL '!Z22*100),0,B34*3.6/1000000/'E Balans VL '!Z22*100)</f>
        <v>0.16821418324087195</v>
      </c>
      <c r="D34" s="239" t="s">
        <v>692</v>
      </c>
    </row>
    <row r="35" spans="1:5">
      <c r="A35" s="173" t="s">
        <v>39</v>
      </c>
      <c r="B35" s="37">
        <f>IF( ISERROR(IND_papier_ele_kWh/1000),0,IND_papier_ele_kWh/1000)</f>
        <v>17051.945</v>
      </c>
      <c r="C35" s="39">
        <f>IF(ISERROR(B35*3.6/1000000/'E Balans VL '!Z22*100),0,B35*3.6/1000000/'E Balans VL '!Z22*100)</f>
        <v>2.3976746972945051</v>
      </c>
      <c r="D35" s="239" t="s">
        <v>692</v>
      </c>
    </row>
    <row r="36" spans="1:5">
      <c r="A36" s="173" t="s">
        <v>34</v>
      </c>
      <c r="B36" s="37">
        <f>IF( ISERROR(IND_chemie_ele_kWh/1000),0,IND_chemie_ele_kWh/1000)</f>
        <v>5058.4250000000002</v>
      </c>
      <c r="C36" s="39">
        <f>IF(ISERROR(B36*3.6/1000000/'E Balans VL '!Z24*100),0,B36*3.6/1000000/'E Balans VL '!Z24*100)</f>
        <v>0.14741745185467889</v>
      </c>
      <c r="D36" s="239" t="s">
        <v>692</v>
      </c>
    </row>
    <row r="37" spans="1:5">
      <c r="A37" s="173" t="s">
        <v>270</v>
      </c>
      <c r="B37" s="37">
        <f>IF( ISERROR(IND_rest_ele_kWh/1000),0,IND_rest_ele_kWh/1000)</f>
        <v>179.17699999999999</v>
      </c>
      <c r="C37" s="39">
        <f>IF(ISERROR(B37*3.6/1000000/'E Balans VL '!Z15*100),0,B37*3.6/1000000/'E Balans VL '!Z15*100)</f>
        <v>1.3807788597196822E-3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689.71199999999999</v>
      </c>
      <c r="C5" s="17">
        <f>'Eigen informatie GS &amp; warmtenet'!B60</f>
        <v>0</v>
      </c>
      <c r="D5" s="30">
        <f>IF(ISERROR(SUM(LB_lb_gas_kWh,LB_rest_gas_kWh,onbekend_gas_kWh)/1000),0,SUM(LB_lb_gas_kWh,LB_rest_gas_kWh,onbekend_gas_kWh)/1000)*0.902</f>
        <v>503.86622</v>
      </c>
      <c r="E5" s="17">
        <f>B17*'E Balans VL '!I25/3.6*1000000/100</f>
        <v>8.691259729712371</v>
      </c>
      <c r="F5" s="17">
        <f>B17*('E Balans VL '!L25/3.6*1000000+'E Balans VL '!N25/3.6*1000000)/100</f>
        <v>2379.6791831802179</v>
      </c>
      <c r="G5" s="18"/>
      <c r="H5" s="17"/>
      <c r="I5" s="17"/>
      <c r="J5" s="17">
        <f>('E Balans VL '!D25+'E Balans VL '!E25)/3.6*1000000*landbouw!B17/100</f>
        <v>103.72484443069638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689.71199999999999</v>
      </c>
      <c r="C8" s="21">
        <f>C5+C6</f>
        <v>0</v>
      </c>
      <c r="D8" s="21">
        <f>MAX((D5+D6),0)</f>
        <v>503.86622</v>
      </c>
      <c r="E8" s="21">
        <f>MAX((E5+E6),0)</f>
        <v>8.691259729712371</v>
      </c>
      <c r="F8" s="21">
        <f>MAX((F5+F6),0)</f>
        <v>2379.6791831802179</v>
      </c>
      <c r="G8" s="21"/>
      <c r="H8" s="21"/>
      <c r="I8" s="21"/>
      <c r="J8" s="21">
        <f>MAX((J5+J6),0)</f>
        <v>103.72484443069638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0.17000732310818895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117.25609083559522</v>
      </c>
      <c r="C12" s="23">
        <f ca="1">C8*C10</f>
        <v>0</v>
      </c>
      <c r="D12" s="23">
        <f>D8*D10</f>
        <v>101.78097644</v>
      </c>
      <c r="E12" s="23">
        <f>E8*E10</f>
        <v>1.9729159586447083</v>
      </c>
      <c r="F12" s="23">
        <f>F8*F10</f>
        <v>635.37434190911824</v>
      </c>
      <c r="G12" s="23"/>
      <c r="H12" s="23"/>
      <c r="I12" s="23"/>
      <c r="J12" s="23">
        <f>J8*J10</f>
        <v>36.718594928466516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9.6193085539597184E-2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64.629666758241399</v>
      </c>
      <c r="C26" s="249">
        <f>B26*'GWP N2O_CH4'!B5</f>
        <v>1357.2230019230694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26.084635496599901</v>
      </c>
      <c r="C27" s="249">
        <f>B27*'GWP N2O_CH4'!B5</f>
        <v>547.77734542859798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0.901330127075472</v>
      </c>
      <c r="C28" s="249">
        <f>B28*'GWP N2O_CH4'!B4</f>
        <v>279.41233939339634</v>
      </c>
      <c r="D28" s="50"/>
    </row>
    <row r="29" spans="1:4">
      <c r="A29" s="41" t="s">
        <v>277</v>
      </c>
      <c r="B29" s="249">
        <f>B34*'ha_N2O bodem landbouw'!B4</f>
        <v>12.074077163560295</v>
      </c>
      <c r="C29" s="249">
        <f>B29*'GWP N2O_CH4'!B4</f>
        <v>3742.9639207036917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3.0147764201946888E-3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5.1161054386922592E-5</v>
      </c>
      <c r="C5" s="448" t="s">
        <v>211</v>
      </c>
      <c r="D5" s="433">
        <f>SUM(D6:D11)</f>
        <v>9.1449978316382778E-5</v>
      </c>
      <c r="E5" s="433">
        <f>SUM(E6:E11)</f>
        <v>2.9708066293444822E-3</v>
      </c>
      <c r="F5" s="446" t="s">
        <v>211</v>
      </c>
      <c r="G5" s="433">
        <f>SUM(G6:G11)</f>
        <v>0.72400439663695826</v>
      </c>
      <c r="H5" s="433">
        <f>SUM(H6:H11)</f>
        <v>0.13787151193356906</v>
      </c>
      <c r="I5" s="448" t="s">
        <v>211</v>
      </c>
      <c r="J5" s="448" t="s">
        <v>211</v>
      </c>
      <c r="K5" s="448" t="s">
        <v>211</v>
      </c>
      <c r="L5" s="448" t="s">
        <v>211</v>
      </c>
      <c r="M5" s="433">
        <f>SUM(M6:M11)</f>
        <v>3.8966241100143212E-2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1.7684832215484712E-5</v>
      </c>
      <c r="C6" s="949"/>
      <c r="D6" s="949">
        <f>vkm_2011_GW_PW*SUMIFS(TableVerdeelsleutelVkm[CNG],TableVerdeelsleutelVkm[Voertuigtype],"Lichte voertuigen")*SUMIFS(TableECFTransport[EnergieConsumptieFactor (PJ per km)],TableECFTransport[Index],CONCATENATE($A6,"_CNG_CNG"))</f>
        <v>2.504518122747743E-5</v>
      </c>
      <c r="E6" s="949">
        <f>vkm_2011_GW_PW*SUMIFS(TableVerdeelsleutelVkm[LPG],TableVerdeelsleutelVkm[Voertuigtype],"Lichte voertuigen")*SUMIFS(TableECFTransport[EnergieConsumptieFactor (PJ per km)],TableECFTransport[Index],CONCATENATE($A6,"_LPG_LPG"))</f>
        <v>7.8658669144174417E-4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0.14137116679972919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3.7881541701573929E-2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8.1099652942336654E-3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3.9257466846559577E-2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1.3947770997747702E-5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1.7715652374721066E-3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1.6186698914200363E-5</v>
      </c>
      <c r="C8" s="949"/>
      <c r="D8" s="436">
        <f>vkm_2011_NGW_PW*SUMIFS(TableVerdeelsleutelVkm[CNG],TableVerdeelsleutelVkm[Voertuigtype],"Lichte voertuigen")*SUMIFS(TableECFTransport[EnergieConsumptieFactor (PJ per km)],TableECFTransport[Index],CONCATENATE($A8,"_CNG_CNG"))</f>
        <v>4.083866218036795E-5</v>
      </c>
      <c r="E8" s="436">
        <f>vkm_2011_NGW_PW*SUMIFS(TableVerdeelsleutelVkm[LPG],TableVerdeelsleutelVkm[Voertuigtype],"Lichte voertuigen")*SUMIFS(TableECFTransport[EnergieConsumptieFactor (PJ per km)],TableECFTransport[Index],CONCATENATE($A8,"_LPG_LPG"))</f>
        <v>1.181370671575932E-3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0.20025378457950238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5.9601613324747255E-2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1.1759629159695485E-2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2.4623456005504179E-2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8.2785875368331242E-6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1.1111571506589718E-3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1.7289523257237517E-5</v>
      </c>
      <c r="C10" s="949"/>
      <c r="D10" s="436">
        <f>vkm_2011_SW_PW*SUMIFS(TableVerdeelsleutelVkm[CNG],TableVerdeelsleutelVkm[Voertuigtype],"Lichte voertuigen")*SUMIFS(TableECFTransport[EnergieConsumptieFactor (PJ per km)],TableECFTransport[Index],CONCATENATE($A10,"_CNG_CNG"))</f>
        <v>2.5566134908537397E-5</v>
      </c>
      <c r="E10" s="436">
        <f>vkm_2011_SW_PW*SUMIFS(TableVerdeelsleutelVkm[LPG],TableVerdeelsleutelVkm[Voertuigtype],"Lichte voertuigen")*SUMIFS(TableECFTransport[EnergieConsumptieFactor (PJ per km)],TableECFTransport[Index],CONCATENATE($A10,"_LPG_LPG"))</f>
        <v>1.0028492663268062E-3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0.16323437859641818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4.030664203276639E-2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9.2071470181468093E-3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0.15526414380924475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5.9488515946901505E-5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7.0067772399361704E-3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14.211403996367387</v>
      </c>
      <c r="C14" s="21"/>
      <c r="D14" s="21">
        <f t="shared" ref="D14:M14" si="0">((D5)*10^9/3600)+D12</f>
        <v>25.402771754550773</v>
      </c>
      <c r="E14" s="21">
        <f t="shared" si="0"/>
        <v>825.22406370680073</v>
      </c>
      <c r="F14" s="21"/>
      <c r="G14" s="21">
        <f t="shared" si="0"/>
        <v>201112.33239915507</v>
      </c>
      <c r="H14" s="21">
        <f t="shared" si="0"/>
        <v>38297.642203769181</v>
      </c>
      <c r="I14" s="21"/>
      <c r="J14" s="21"/>
      <c r="K14" s="21"/>
      <c r="L14" s="21"/>
      <c r="M14" s="21">
        <f t="shared" si="0"/>
        <v>10823.955861150891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0.17000732310818895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2.416042751031438</v>
      </c>
      <c r="C18" s="23"/>
      <c r="D18" s="23">
        <f t="shared" ref="D18:M18" si="1">D14*D16</f>
        <v>5.1313598944192567</v>
      </c>
      <c r="E18" s="23">
        <f t="shared" si="1"/>
        <v>187.32586246144376</v>
      </c>
      <c r="F18" s="23"/>
      <c r="G18" s="23">
        <f t="shared" si="1"/>
        <v>53696.992750574405</v>
      </c>
      <c r="H18" s="23">
        <f t="shared" si="1"/>
        <v>9536.1129087385252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1.2958885434228828E-2</v>
      </c>
      <c r="H50" s="323">
        <f t="shared" si="2"/>
        <v>0</v>
      </c>
      <c r="I50" s="323">
        <f t="shared" si="2"/>
        <v>0</v>
      </c>
      <c r="J50" s="323">
        <f t="shared" si="2"/>
        <v>0</v>
      </c>
      <c r="K50" s="323">
        <f t="shared" si="2"/>
        <v>0</v>
      </c>
      <c r="L50" s="323">
        <f t="shared" si="2"/>
        <v>0</v>
      </c>
      <c r="M50" s="323">
        <f t="shared" si="2"/>
        <v>5.7631333161028519E-4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1.2958885434228828E-2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5.7631333161028519E-4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3599.6903983968969</v>
      </c>
      <c r="H54" s="21">
        <f t="shared" si="3"/>
        <v>0</v>
      </c>
      <c r="I54" s="21">
        <f t="shared" si="3"/>
        <v>0</v>
      </c>
      <c r="J54" s="21">
        <f t="shared" si="3"/>
        <v>0</v>
      </c>
      <c r="K54" s="21">
        <f t="shared" si="3"/>
        <v>0</v>
      </c>
      <c r="L54" s="21">
        <f t="shared" si="3"/>
        <v>0</v>
      </c>
      <c r="M54" s="21">
        <f t="shared" si="3"/>
        <v>160.08703655841256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0.17000732310818895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961.11733637197153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19781.661443559798</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16875.253743739919</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52.941176470588239</v>
      </c>
      <c r="D7" s="565"/>
      <c r="E7" s="565">
        <f>E100</f>
        <v>0</v>
      </c>
      <c r="F7" s="566"/>
      <c r="G7" s="567"/>
      <c r="H7" s="565">
        <f>I100</f>
        <v>0</v>
      </c>
      <c r="I7" s="565">
        <f>G100+F100</f>
        <v>0</v>
      </c>
      <c r="J7" s="565">
        <f>H100+D100+C100</f>
        <v>0</v>
      </c>
      <c r="K7" s="565"/>
      <c r="L7" s="568"/>
      <c r="M7" s="569">
        <f>C7*$C$11+D7*$D$11+E7*$E$11+F7*$F$11+G7*$G$11+H7*$H$11+I7*$I$11+J7*$J$11</f>
        <v>10.694117647058825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36701.915187299717</v>
      </c>
      <c r="C9" s="580">
        <f t="shared" ref="C9:L9" si="0">SUM(C7:C8)</f>
        <v>52.941176470588239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10.694117647058825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64.285714285714292</v>
      </c>
      <c r="C16" s="596">
        <f>B101</f>
        <v>75.630252100840352</v>
      </c>
      <c r="D16" s="597"/>
      <c r="E16" s="597">
        <f>E101</f>
        <v>0</v>
      </c>
      <c r="F16" s="598"/>
      <c r="G16" s="599"/>
      <c r="H16" s="596">
        <f>I101</f>
        <v>0</v>
      </c>
      <c r="I16" s="597">
        <f>G101+F101</f>
        <v>0</v>
      </c>
      <c r="J16" s="597">
        <f>H101+D101+C101</f>
        <v>0</v>
      </c>
      <c r="K16" s="597"/>
      <c r="L16" s="600"/>
      <c r="M16" s="601">
        <f>C16*$C$21+E16*$E$21+H16*$H$21+I16*$I$21+J16*$J$21+D16*$D$21+F16*$F$21+G16*$G$21+K16*$K$21+L16*$L$21</f>
        <v>15.277310924369752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64.285714285714292</v>
      </c>
      <c r="C19" s="579">
        <f>SUM(C16:C18)</f>
        <v>75.630252100840352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15.277310924369752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71004</v>
      </c>
      <c r="C27" s="839">
        <v>3583</v>
      </c>
      <c r="D27" s="658" t="s">
        <v>878</v>
      </c>
      <c r="E27" s="657" t="s">
        <v>879</v>
      </c>
      <c r="F27" s="657" t="s">
        <v>880</v>
      </c>
      <c r="G27" s="657" t="s">
        <v>881</v>
      </c>
      <c r="H27" s="657" t="s">
        <v>882</v>
      </c>
      <c r="I27" s="657" t="s">
        <v>879</v>
      </c>
      <c r="J27" s="838">
        <v>40118</v>
      </c>
      <c r="K27" s="838">
        <v>40148</v>
      </c>
      <c r="L27" s="657" t="s">
        <v>883</v>
      </c>
      <c r="M27" s="657">
        <v>10</v>
      </c>
      <c r="N27" s="657">
        <v>45</v>
      </c>
      <c r="O27" s="657">
        <v>64.285714285714292</v>
      </c>
      <c r="P27" s="657">
        <v>128.57142857142858</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v>
      </c>
      <c r="N57" s="615">
        <f>SUM(N27:N56)</f>
        <v>45</v>
      </c>
      <c r="O57" s="615">
        <f t="shared" ref="O57:W57" si="2">SUM(O27:O56)</f>
        <v>64.285714285714292</v>
      </c>
      <c r="P57" s="615">
        <f t="shared" si="2"/>
        <v>128.57142857142858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v>
      </c>
      <c r="N59" s="615">
        <f ca="1">SUMIF($Z$27:AB56,"tertiair",N27:N56)</f>
        <v>45</v>
      </c>
      <c r="O59" s="615">
        <f ca="1">SUMIF($Z$27:AC56,"tertiair",O27:O56)</f>
        <v>64.285714285714292</v>
      </c>
      <c r="P59" s="615">
        <f ca="1">SUMIF($Z$27:AD56,"tertiair",P27:P56)</f>
        <v>128.57142857142858</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52.941176470588239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75.630252100840352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44716.033000000003</v>
      </c>
      <c r="D10" s="704">
        <f ca="1">tertiair!C16</f>
        <v>64.285714285714292</v>
      </c>
      <c r="E10" s="704">
        <f ca="1">tertiair!D16</f>
        <v>24848.197333428572</v>
      </c>
      <c r="F10" s="704">
        <f>tertiair!E16</f>
        <v>537.20428020573013</v>
      </c>
      <c r="G10" s="704">
        <f ca="1">tertiair!F16</f>
        <v>8449.3394071599596</v>
      </c>
      <c r="H10" s="704">
        <f>tertiair!G16</f>
        <v>0</v>
      </c>
      <c r="I10" s="704">
        <f>tertiair!H16</f>
        <v>0</v>
      </c>
      <c r="J10" s="704">
        <f>tertiair!I16</f>
        <v>0</v>
      </c>
      <c r="K10" s="704">
        <f>tertiair!J16</f>
        <v>0</v>
      </c>
      <c r="L10" s="704">
        <f>tertiair!K16</f>
        <v>0</v>
      </c>
      <c r="M10" s="704">
        <f ca="1">tertiair!L16</f>
        <v>0</v>
      </c>
      <c r="N10" s="704">
        <f>tertiair!M16</f>
        <v>0</v>
      </c>
      <c r="O10" s="704">
        <f ca="1">tertiair!N16</f>
        <v>3743.1962519840981</v>
      </c>
      <c r="P10" s="704">
        <f>tertiair!O16</f>
        <v>4.6900000000000004</v>
      </c>
      <c r="Q10" s="705">
        <f>tertiair!P16</f>
        <v>38.133333333333333</v>
      </c>
      <c r="R10" s="707">
        <f ca="1">SUM(C10:Q10)</f>
        <v>82401.079320397417</v>
      </c>
      <c r="S10" s="67"/>
    </row>
    <row r="11" spans="1:19" s="459" customFormat="1">
      <c r="A11" s="858" t="s">
        <v>225</v>
      </c>
      <c r="B11" s="863"/>
      <c r="C11" s="704">
        <f>huishoudens!B8</f>
        <v>74828.380503756038</v>
      </c>
      <c r="D11" s="704">
        <f>huishoudens!C8</f>
        <v>0</v>
      </c>
      <c r="E11" s="704">
        <f>huishoudens!D8</f>
        <v>124250.484666</v>
      </c>
      <c r="F11" s="704">
        <f>huishoudens!E8</f>
        <v>5795.0333115654048</v>
      </c>
      <c r="G11" s="704">
        <f>huishoudens!F8</f>
        <v>137075.11537578207</v>
      </c>
      <c r="H11" s="704">
        <f>huishoudens!G8</f>
        <v>0</v>
      </c>
      <c r="I11" s="704">
        <f>huishoudens!H8</f>
        <v>0</v>
      </c>
      <c r="J11" s="704">
        <f>huishoudens!I8</f>
        <v>0</v>
      </c>
      <c r="K11" s="704">
        <f>huishoudens!J8</f>
        <v>0</v>
      </c>
      <c r="L11" s="704">
        <f>huishoudens!K8</f>
        <v>0</v>
      </c>
      <c r="M11" s="704">
        <f>huishoudens!L8</f>
        <v>0</v>
      </c>
      <c r="N11" s="704">
        <f>huishoudens!M8</f>
        <v>0</v>
      </c>
      <c r="O11" s="704">
        <f>huishoudens!N8</f>
        <v>46118.320002804605</v>
      </c>
      <c r="P11" s="704">
        <f>huishoudens!O8</f>
        <v>809.80666666666662</v>
      </c>
      <c r="Q11" s="705">
        <f>huishoudens!P8</f>
        <v>2078.2666666666664</v>
      </c>
      <c r="R11" s="707">
        <f>SUM(C11:Q11)</f>
        <v>390955.40719324147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38606.417000000009</v>
      </c>
      <c r="D13" s="704">
        <f>industrie!C18</f>
        <v>0</v>
      </c>
      <c r="E13" s="704">
        <f>industrie!D18</f>
        <v>34971.347289999998</v>
      </c>
      <c r="F13" s="704">
        <f>industrie!E18</f>
        <v>1933.2086695795754</v>
      </c>
      <c r="G13" s="704">
        <f>industrie!F18</f>
        <v>15856.930471335625</v>
      </c>
      <c r="H13" s="704">
        <f>industrie!G18</f>
        <v>0</v>
      </c>
      <c r="I13" s="704">
        <f>industrie!H18</f>
        <v>0</v>
      </c>
      <c r="J13" s="704">
        <f>industrie!I18</f>
        <v>0</v>
      </c>
      <c r="K13" s="704">
        <f>industrie!J18</f>
        <v>7.1313096358335919</v>
      </c>
      <c r="L13" s="704">
        <f>industrie!K18</f>
        <v>0</v>
      </c>
      <c r="M13" s="704">
        <f>industrie!L18</f>
        <v>0</v>
      </c>
      <c r="N13" s="704">
        <f>industrie!M18</f>
        <v>0</v>
      </c>
      <c r="O13" s="704">
        <f>industrie!N18</f>
        <v>40004.61365569583</v>
      </c>
      <c r="P13" s="704">
        <f>industrie!O18</f>
        <v>0</v>
      </c>
      <c r="Q13" s="705">
        <f>industrie!P18</f>
        <v>0</v>
      </c>
      <c r="R13" s="707">
        <f>SUM(C13:Q13)</f>
        <v>131379.64839624686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158150.83050375606</v>
      </c>
      <c r="D15" s="709">
        <f t="shared" ref="D15:Q15" ca="1" si="0">SUM(D9:D14)</f>
        <v>64.285714285714292</v>
      </c>
      <c r="E15" s="709">
        <f t="shared" ca="1" si="0"/>
        <v>184070.02928942858</v>
      </c>
      <c r="F15" s="709">
        <f t="shared" si="0"/>
        <v>8265.4462613507112</v>
      </c>
      <c r="G15" s="709">
        <f t="shared" ca="1" si="0"/>
        <v>161381.38525427764</v>
      </c>
      <c r="H15" s="709">
        <f t="shared" si="0"/>
        <v>0</v>
      </c>
      <c r="I15" s="709">
        <f t="shared" si="0"/>
        <v>0</v>
      </c>
      <c r="J15" s="709">
        <f t="shared" si="0"/>
        <v>0</v>
      </c>
      <c r="K15" s="709">
        <f t="shared" si="0"/>
        <v>7.1313096358335919</v>
      </c>
      <c r="L15" s="709">
        <f t="shared" si="0"/>
        <v>0</v>
      </c>
      <c r="M15" s="709">
        <f t="shared" ca="1" si="0"/>
        <v>0</v>
      </c>
      <c r="N15" s="709">
        <f t="shared" si="0"/>
        <v>0</v>
      </c>
      <c r="O15" s="709">
        <f t="shared" ca="1" si="0"/>
        <v>89866.129910484538</v>
      </c>
      <c r="P15" s="709">
        <f t="shared" si="0"/>
        <v>814.49666666666667</v>
      </c>
      <c r="Q15" s="710">
        <f t="shared" si="0"/>
        <v>2116.3999999999996</v>
      </c>
      <c r="R15" s="711">
        <f ca="1">SUM(R9:R14)</f>
        <v>604736.1349098857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3599.6903983968969</v>
      </c>
      <c r="I18" s="704">
        <f>transport!H54</f>
        <v>0</v>
      </c>
      <c r="J18" s="704">
        <f>transport!I54</f>
        <v>0</v>
      </c>
      <c r="K18" s="704">
        <f>transport!J54</f>
        <v>0</v>
      </c>
      <c r="L18" s="704">
        <f>transport!K54</f>
        <v>0</v>
      </c>
      <c r="M18" s="704">
        <f>transport!L54</f>
        <v>0</v>
      </c>
      <c r="N18" s="704">
        <f>transport!M54</f>
        <v>160.08703655841256</v>
      </c>
      <c r="O18" s="704">
        <f>transport!N54</f>
        <v>0</v>
      </c>
      <c r="P18" s="704">
        <f>transport!O54</f>
        <v>0</v>
      </c>
      <c r="Q18" s="705">
        <f>transport!P54</f>
        <v>0</v>
      </c>
      <c r="R18" s="707">
        <f>SUM(C18:Q18)</f>
        <v>3759.7774349553092</v>
      </c>
      <c r="S18" s="67"/>
    </row>
    <row r="19" spans="1:19" s="459" customFormat="1" ht="15" thickBot="1">
      <c r="A19" s="858" t="s">
        <v>307</v>
      </c>
      <c r="B19" s="863"/>
      <c r="C19" s="713">
        <f>transport!B14</f>
        <v>14.211403996367387</v>
      </c>
      <c r="D19" s="713">
        <f>transport!C14</f>
        <v>0</v>
      </c>
      <c r="E19" s="713">
        <f>transport!D14</f>
        <v>25.402771754550773</v>
      </c>
      <c r="F19" s="713">
        <f>transport!E14</f>
        <v>825.22406370680073</v>
      </c>
      <c r="G19" s="713">
        <f>transport!F14</f>
        <v>0</v>
      </c>
      <c r="H19" s="713">
        <f>transport!G14</f>
        <v>201112.33239915507</v>
      </c>
      <c r="I19" s="713">
        <f>transport!H14</f>
        <v>38297.642203769181</v>
      </c>
      <c r="J19" s="713">
        <f>transport!I14</f>
        <v>0</v>
      </c>
      <c r="K19" s="713">
        <f>transport!J14</f>
        <v>0</v>
      </c>
      <c r="L19" s="713">
        <f>transport!K14</f>
        <v>0</v>
      </c>
      <c r="M19" s="713">
        <f>transport!L14</f>
        <v>0</v>
      </c>
      <c r="N19" s="713">
        <f>transport!M14</f>
        <v>10823.955861150891</v>
      </c>
      <c r="O19" s="713">
        <f>transport!N14</f>
        <v>0</v>
      </c>
      <c r="P19" s="713">
        <f>transport!O14</f>
        <v>0</v>
      </c>
      <c r="Q19" s="714">
        <f>transport!P14</f>
        <v>0</v>
      </c>
      <c r="R19" s="715">
        <f>SUM(C19:Q19)</f>
        <v>251098.76870353287</v>
      </c>
      <c r="S19" s="67"/>
    </row>
    <row r="20" spans="1:19" s="459" customFormat="1" ht="15.75" thickBot="1">
      <c r="A20" s="716" t="s">
        <v>230</v>
      </c>
      <c r="B20" s="866"/>
      <c r="C20" s="861">
        <f>SUM(C17:C19)</f>
        <v>14.211403996367387</v>
      </c>
      <c r="D20" s="717">
        <f t="shared" ref="D20:R20" si="1">SUM(D17:D19)</f>
        <v>0</v>
      </c>
      <c r="E20" s="717">
        <f t="shared" si="1"/>
        <v>25.402771754550773</v>
      </c>
      <c r="F20" s="717">
        <f t="shared" si="1"/>
        <v>825.22406370680073</v>
      </c>
      <c r="G20" s="717">
        <f t="shared" si="1"/>
        <v>0</v>
      </c>
      <c r="H20" s="717">
        <f t="shared" si="1"/>
        <v>204712.02279755197</v>
      </c>
      <c r="I20" s="717">
        <f t="shared" si="1"/>
        <v>38297.642203769181</v>
      </c>
      <c r="J20" s="717">
        <f t="shared" si="1"/>
        <v>0</v>
      </c>
      <c r="K20" s="717">
        <f t="shared" si="1"/>
        <v>0</v>
      </c>
      <c r="L20" s="717">
        <f t="shared" si="1"/>
        <v>0</v>
      </c>
      <c r="M20" s="717">
        <f t="shared" si="1"/>
        <v>0</v>
      </c>
      <c r="N20" s="717">
        <f t="shared" si="1"/>
        <v>10984.042897709303</v>
      </c>
      <c r="O20" s="717">
        <f t="shared" si="1"/>
        <v>0</v>
      </c>
      <c r="P20" s="717">
        <f t="shared" si="1"/>
        <v>0</v>
      </c>
      <c r="Q20" s="718">
        <f t="shared" si="1"/>
        <v>0</v>
      </c>
      <c r="R20" s="719">
        <f t="shared" si="1"/>
        <v>254858.54613848819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689.71199999999999</v>
      </c>
      <c r="D22" s="713">
        <f>+landbouw!C8</f>
        <v>0</v>
      </c>
      <c r="E22" s="713">
        <f>+landbouw!D8</f>
        <v>503.86622</v>
      </c>
      <c r="F22" s="713">
        <f>+landbouw!E8</f>
        <v>8.691259729712371</v>
      </c>
      <c r="G22" s="713">
        <f>+landbouw!F8</f>
        <v>2379.6791831802179</v>
      </c>
      <c r="H22" s="713">
        <f>+landbouw!G8</f>
        <v>0</v>
      </c>
      <c r="I22" s="713">
        <f>+landbouw!H8</f>
        <v>0</v>
      </c>
      <c r="J22" s="713">
        <f>+landbouw!I8</f>
        <v>0</v>
      </c>
      <c r="K22" s="713">
        <f>+landbouw!J8</f>
        <v>103.72484443069638</v>
      </c>
      <c r="L22" s="713">
        <f>+landbouw!K8</f>
        <v>0</v>
      </c>
      <c r="M22" s="713">
        <f>+landbouw!L8</f>
        <v>0</v>
      </c>
      <c r="N22" s="713">
        <f>+landbouw!M8</f>
        <v>0</v>
      </c>
      <c r="O22" s="713">
        <f>+landbouw!N8</f>
        <v>0</v>
      </c>
      <c r="P22" s="713">
        <f>+landbouw!O8</f>
        <v>0</v>
      </c>
      <c r="Q22" s="714">
        <f>+landbouw!P8</f>
        <v>0</v>
      </c>
      <c r="R22" s="715">
        <f>SUM(C22:Q22)</f>
        <v>3685.6735073406267</v>
      </c>
      <c r="S22" s="67"/>
    </row>
    <row r="23" spans="1:19" s="459" customFormat="1" ht="17.25" thickTop="1" thickBot="1">
      <c r="A23" s="720" t="s">
        <v>116</v>
      </c>
      <c r="B23" s="852"/>
      <c r="C23" s="721">
        <f ca="1">C20+C15+C22</f>
        <v>158854.75390775243</v>
      </c>
      <c r="D23" s="721">
        <f t="shared" ref="D23:Q23" ca="1" si="2">D20+D15+D22</f>
        <v>64.285714285714292</v>
      </c>
      <c r="E23" s="721">
        <f t="shared" ca="1" si="2"/>
        <v>184599.29828118312</v>
      </c>
      <c r="F23" s="721">
        <f t="shared" si="2"/>
        <v>9099.3615847872243</v>
      </c>
      <c r="G23" s="721">
        <f t="shared" ca="1" si="2"/>
        <v>163761.06443745786</v>
      </c>
      <c r="H23" s="721">
        <f t="shared" si="2"/>
        <v>204712.02279755197</v>
      </c>
      <c r="I23" s="721">
        <f t="shared" si="2"/>
        <v>38297.642203769181</v>
      </c>
      <c r="J23" s="721">
        <f t="shared" si="2"/>
        <v>0</v>
      </c>
      <c r="K23" s="721">
        <f t="shared" si="2"/>
        <v>110.85615406652997</v>
      </c>
      <c r="L23" s="721">
        <f t="shared" si="2"/>
        <v>0</v>
      </c>
      <c r="M23" s="721">
        <f t="shared" ca="1" si="2"/>
        <v>0</v>
      </c>
      <c r="N23" s="721">
        <f t="shared" si="2"/>
        <v>10984.042897709303</v>
      </c>
      <c r="O23" s="721">
        <f t="shared" ca="1" si="2"/>
        <v>89866.129910484538</v>
      </c>
      <c r="P23" s="721">
        <f t="shared" si="2"/>
        <v>814.49666666666667</v>
      </c>
      <c r="Q23" s="722">
        <f t="shared" si="2"/>
        <v>2116.3999999999996</v>
      </c>
      <c r="R23" s="723">
        <f ca="1">R20+R15+R22</f>
        <v>863280.35455571453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7602.0530703474396</v>
      </c>
      <c r="D36" s="704">
        <f ca="1">tertiair!C20</f>
        <v>15.277310924369752</v>
      </c>
      <c r="E36" s="704">
        <f ca="1">tertiair!D20</f>
        <v>5019.3358613525716</v>
      </c>
      <c r="F36" s="704">
        <f>tertiair!E20</f>
        <v>121.94537160670075</v>
      </c>
      <c r="G36" s="704">
        <f ca="1">tertiair!F20</f>
        <v>2255.9736217117093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15014.585235942792</v>
      </c>
    </row>
    <row r="37" spans="1:18">
      <c r="A37" s="873" t="s">
        <v>225</v>
      </c>
      <c r="B37" s="880"/>
      <c r="C37" s="704">
        <f ca="1">huishoudens!B12</f>
        <v>12721.372661964559</v>
      </c>
      <c r="D37" s="704">
        <f ca="1">huishoudens!C12</f>
        <v>0</v>
      </c>
      <c r="E37" s="704">
        <f>huishoudens!D12</f>
        <v>25098.597902532001</v>
      </c>
      <c r="F37" s="704">
        <f>huishoudens!E12</f>
        <v>1315.4725617253468</v>
      </c>
      <c r="G37" s="704">
        <f>huishoudens!F12</f>
        <v>36599.055805333817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75734.498931555718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6563.3736089684799</v>
      </c>
      <c r="D39" s="704">
        <f ca="1">industrie!C22</f>
        <v>0</v>
      </c>
      <c r="E39" s="704">
        <f>industrie!D22</f>
        <v>7064.2121525800003</v>
      </c>
      <c r="F39" s="704">
        <f>industrie!E22</f>
        <v>438.83836799456361</v>
      </c>
      <c r="G39" s="704">
        <f>industrie!F22</f>
        <v>4233.8004358466123</v>
      </c>
      <c r="H39" s="704">
        <f>industrie!G22</f>
        <v>0</v>
      </c>
      <c r="I39" s="704">
        <f>industrie!H22</f>
        <v>0</v>
      </c>
      <c r="J39" s="704">
        <f>industrie!I22</f>
        <v>0</v>
      </c>
      <c r="K39" s="704">
        <f>industrie!J22</f>
        <v>2.5244836110850915</v>
      </c>
      <c r="L39" s="704">
        <f>industrie!K22</f>
        <v>0</v>
      </c>
      <c r="M39" s="704">
        <f>industrie!L22</f>
        <v>0</v>
      </c>
      <c r="N39" s="704">
        <f>industrie!M22</f>
        <v>0</v>
      </c>
      <c r="O39" s="704">
        <f>industrie!N22</f>
        <v>0</v>
      </c>
      <c r="P39" s="704">
        <f>industrie!O22</f>
        <v>0</v>
      </c>
      <c r="Q39" s="814">
        <f>industrie!P22</f>
        <v>0</v>
      </c>
      <c r="R39" s="906">
        <f ca="1">SUM(C39:Q39)</f>
        <v>18302.749049000744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26886.799341280475</v>
      </c>
      <c r="D41" s="749">
        <f t="shared" ref="D41:R41" ca="1" si="4">SUM(D35:D40)</f>
        <v>15.277310924369752</v>
      </c>
      <c r="E41" s="749">
        <f t="shared" ca="1" si="4"/>
        <v>37182.145916464571</v>
      </c>
      <c r="F41" s="749">
        <f t="shared" si="4"/>
        <v>1876.2563013266113</v>
      </c>
      <c r="G41" s="749">
        <f t="shared" ca="1" si="4"/>
        <v>43088.82986289214</v>
      </c>
      <c r="H41" s="749">
        <f t="shared" si="4"/>
        <v>0</v>
      </c>
      <c r="I41" s="749">
        <f t="shared" si="4"/>
        <v>0</v>
      </c>
      <c r="J41" s="749">
        <f t="shared" si="4"/>
        <v>0</v>
      </c>
      <c r="K41" s="749">
        <f t="shared" si="4"/>
        <v>2.5244836110850915</v>
      </c>
      <c r="L41" s="749">
        <f t="shared" si="4"/>
        <v>0</v>
      </c>
      <c r="M41" s="749">
        <f t="shared" ca="1" si="4"/>
        <v>0</v>
      </c>
      <c r="N41" s="749">
        <f t="shared" si="4"/>
        <v>0</v>
      </c>
      <c r="O41" s="749">
        <f t="shared" ca="1" si="4"/>
        <v>0</v>
      </c>
      <c r="P41" s="749">
        <f t="shared" si="4"/>
        <v>0</v>
      </c>
      <c r="Q41" s="750">
        <f t="shared" si="4"/>
        <v>0</v>
      </c>
      <c r="R41" s="751">
        <f t="shared" ca="1" si="4"/>
        <v>109051.83321649926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961.11733637197153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961.11733637197153</v>
      </c>
    </row>
    <row r="45" spans="1:18" ht="15" thickBot="1">
      <c r="A45" s="876" t="s">
        <v>307</v>
      </c>
      <c r="B45" s="886"/>
      <c r="C45" s="713">
        <f ca="1">transport!B18</f>
        <v>2.416042751031438</v>
      </c>
      <c r="D45" s="713">
        <f>transport!C18</f>
        <v>0</v>
      </c>
      <c r="E45" s="713">
        <f>transport!D18</f>
        <v>5.1313598944192567</v>
      </c>
      <c r="F45" s="713">
        <f>transport!E18</f>
        <v>187.32586246144376</v>
      </c>
      <c r="G45" s="713">
        <f>transport!F18</f>
        <v>0</v>
      </c>
      <c r="H45" s="713">
        <f>transport!G18</f>
        <v>53696.992750574405</v>
      </c>
      <c r="I45" s="713">
        <f>transport!H18</f>
        <v>9536.1129087385252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63427.978924419825</v>
      </c>
    </row>
    <row r="46" spans="1:18" ht="15.75" thickBot="1">
      <c r="A46" s="874" t="s">
        <v>230</v>
      </c>
      <c r="B46" s="887"/>
      <c r="C46" s="749">
        <f t="shared" ref="C46:R46" ca="1" si="5">SUM(C43:C45)</f>
        <v>2.416042751031438</v>
      </c>
      <c r="D46" s="749">
        <f t="shared" ca="1" si="5"/>
        <v>0</v>
      </c>
      <c r="E46" s="749">
        <f t="shared" si="5"/>
        <v>5.1313598944192567</v>
      </c>
      <c r="F46" s="749">
        <f t="shared" si="5"/>
        <v>187.32586246144376</v>
      </c>
      <c r="G46" s="749">
        <f t="shared" si="5"/>
        <v>0</v>
      </c>
      <c r="H46" s="749">
        <f t="shared" si="5"/>
        <v>54658.110086946377</v>
      </c>
      <c r="I46" s="749">
        <f t="shared" si="5"/>
        <v>9536.1129087385252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64389.096260791797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117.25609083559522</v>
      </c>
      <c r="D48" s="704">
        <f ca="1">+landbouw!C12</f>
        <v>0</v>
      </c>
      <c r="E48" s="704">
        <f>+landbouw!D12</f>
        <v>101.78097644</v>
      </c>
      <c r="F48" s="704">
        <f>+landbouw!E12</f>
        <v>1.9729159586447083</v>
      </c>
      <c r="G48" s="704">
        <f>+landbouw!F12</f>
        <v>635.37434190911824</v>
      </c>
      <c r="H48" s="704">
        <f>+landbouw!G12</f>
        <v>0</v>
      </c>
      <c r="I48" s="704">
        <f>+landbouw!H12</f>
        <v>0</v>
      </c>
      <c r="J48" s="704">
        <f>+landbouw!I12</f>
        <v>0</v>
      </c>
      <c r="K48" s="704">
        <f>+landbouw!J12</f>
        <v>36.718594928466516</v>
      </c>
      <c r="L48" s="704">
        <f>+landbouw!K12</f>
        <v>0</v>
      </c>
      <c r="M48" s="704">
        <f>+landbouw!L12</f>
        <v>0</v>
      </c>
      <c r="N48" s="704">
        <f>+landbouw!M12</f>
        <v>0</v>
      </c>
      <c r="O48" s="704">
        <f>+landbouw!N12</f>
        <v>0</v>
      </c>
      <c r="P48" s="704">
        <f>+landbouw!O12</f>
        <v>0</v>
      </c>
      <c r="Q48" s="705">
        <f>+landbouw!P12</f>
        <v>0</v>
      </c>
      <c r="R48" s="747">
        <f ca="1">SUM(C48:Q48)</f>
        <v>893.10292007182466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27006.471474867103</v>
      </c>
      <c r="D53" s="759">
        <f t="shared" ref="D53:Q53" ca="1" si="6">D41+D46+D48</f>
        <v>15.277310924369752</v>
      </c>
      <c r="E53" s="759">
        <f t="shared" ca="1" si="6"/>
        <v>37289.05825279899</v>
      </c>
      <c r="F53" s="759">
        <f t="shared" si="6"/>
        <v>2065.5550797466994</v>
      </c>
      <c r="G53" s="759">
        <f t="shared" ca="1" si="6"/>
        <v>43724.204204801259</v>
      </c>
      <c r="H53" s="759">
        <f t="shared" si="6"/>
        <v>54658.110086946377</v>
      </c>
      <c r="I53" s="759">
        <f t="shared" si="6"/>
        <v>9536.1129087385252</v>
      </c>
      <c r="J53" s="759">
        <f t="shared" si="6"/>
        <v>0</v>
      </c>
      <c r="K53" s="759">
        <f t="shared" si="6"/>
        <v>39.243078539551604</v>
      </c>
      <c r="L53" s="759">
        <f t="shared" si="6"/>
        <v>0</v>
      </c>
      <c r="M53" s="759">
        <f t="shared" ca="1" si="6"/>
        <v>0</v>
      </c>
      <c r="N53" s="759">
        <f t="shared" si="6"/>
        <v>0</v>
      </c>
      <c r="O53" s="759">
        <f t="shared" ca="1" si="6"/>
        <v>0</v>
      </c>
      <c r="P53" s="759">
        <f>P41+P46+P48</f>
        <v>0</v>
      </c>
      <c r="Q53" s="760">
        <f t="shared" si="6"/>
        <v>0</v>
      </c>
      <c r="R53" s="761">
        <f ca="1">R41+R46+R48</f>
        <v>174334.0323973629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0.17000732310818892</v>
      </c>
      <c r="D55" s="824">
        <f t="shared" ca="1" si="7"/>
        <v>0.23764705882352946</v>
      </c>
      <c r="E55" s="824">
        <f t="shared" ca="1" si="7"/>
        <v>0.20200000000000001</v>
      </c>
      <c r="F55" s="824">
        <f t="shared" si="7"/>
        <v>0.22699999999999995</v>
      </c>
      <c r="G55" s="824">
        <f t="shared" ca="1" si="7"/>
        <v>0.26700000000000007</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19781.661443559798</v>
      </c>
      <c r="C64" s="781">
        <f>'lokale energieproductie'!B4</f>
        <v>19781.661443559798</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16875.253743739919</v>
      </c>
      <c r="C66" s="781">
        <f>'lokale energieproductie'!B6</f>
        <v>16875.253743739919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52.941176470588239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10.694117647058825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36701.915187299717</v>
      </c>
      <c r="C69" s="789">
        <f>SUM(C64:C68)</f>
        <v>36656.915187299717</v>
      </c>
      <c r="D69" s="790">
        <f t="shared" ref="D69:M69" si="8">SUM(D67:D68)</f>
        <v>52.941176470588239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10.694117647058825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64.285714285714292</v>
      </c>
      <c r="C78" s="803">
        <f>B78*IFERROR(SUM(I78:L78)/SUM(D78:M78),0)</f>
        <v>0</v>
      </c>
      <c r="D78" s="818">
        <f>'lokale energieproductie'!C16</f>
        <v>75.630252100840352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15.277310924369752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64.285714285714292</v>
      </c>
      <c r="C81" s="789">
        <f>SUM(C78:C80)</f>
        <v>0</v>
      </c>
      <c r="D81" s="789">
        <f t="shared" ref="D81:P81" si="9">SUM(D78:D80)</f>
        <v>75.630252100840352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15.277310924369752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74828.380503756038</v>
      </c>
      <c r="C4" s="463">
        <f>huishoudens!C8</f>
        <v>0</v>
      </c>
      <c r="D4" s="463">
        <f>huishoudens!D8</f>
        <v>124250.484666</v>
      </c>
      <c r="E4" s="463">
        <f>huishoudens!E8</f>
        <v>5795.0333115654048</v>
      </c>
      <c r="F4" s="463">
        <f>huishoudens!F8</f>
        <v>137075.11537578207</v>
      </c>
      <c r="G4" s="463">
        <f>huishoudens!G8</f>
        <v>0</v>
      </c>
      <c r="H4" s="463">
        <f>huishoudens!H8</f>
        <v>0</v>
      </c>
      <c r="I4" s="463">
        <f>huishoudens!I8</f>
        <v>0</v>
      </c>
      <c r="J4" s="463">
        <f>huishoudens!J8</f>
        <v>0</v>
      </c>
      <c r="K4" s="463">
        <f>huishoudens!K8</f>
        <v>0</v>
      </c>
      <c r="L4" s="463">
        <f>huishoudens!L8</f>
        <v>0</v>
      </c>
      <c r="M4" s="463">
        <f>huishoudens!M8</f>
        <v>0</v>
      </c>
      <c r="N4" s="463">
        <f>huishoudens!N8</f>
        <v>46118.320002804605</v>
      </c>
      <c r="O4" s="463">
        <f>huishoudens!O8</f>
        <v>809.80666666666662</v>
      </c>
      <c r="P4" s="464">
        <f>huishoudens!P8</f>
        <v>2078.2666666666664</v>
      </c>
      <c r="Q4" s="465">
        <f>SUM(B4:P4)</f>
        <v>390955.40719324147</v>
      </c>
    </row>
    <row r="5" spans="1:17">
      <c r="A5" s="462" t="s">
        <v>156</v>
      </c>
      <c r="B5" s="463">
        <f ca="1">tertiair!B16</f>
        <v>42752.972000000002</v>
      </c>
      <c r="C5" s="463">
        <f ca="1">tertiair!C16</f>
        <v>64.285714285714292</v>
      </c>
      <c r="D5" s="463">
        <f ca="1">tertiair!D16</f>
        <v>24848.197333428572</v>
      </c>
      <c r="E5" s="463">
        <f>tertiair!E16</f>
        <v>537.20428020573013</v>
      </c>
      <c r="F5" s="463">
        <f ca="1">tertiair!F16</f>
        <v>8449.3394071599596</v>
      </c>
      <c r="G5" s="463">
        <f>tertiair!G16</f>
        <v>0</v>
      </c>
      <c r="H5" s="463">
        <f>tertiair!H16</f>
        <v>0</v>
      </c>
      <c r="I5" s="463">
        <f>tertiair!I16</f>
        <v>0</v>
      </c>
      <c r="J5" s="463">
        <f>tertiair!J16</f>
        <v>0</v>
      </c>
      <c r="K5" s="463">
        <f>tertiair!K16</f>
        <v>0</v>
      </c>
      <c r="L5" s="463">
        <f ca="1">tertiair!L16</f>
        <v>0</v>
      </c>
      <c r="M5" s="463">
        <f>tertiair!M16</f>
        <v>0</v>
      </c>
      <c r="N5" s="463">
        <f ca="1">tertiair!N16</f>
        <v>3743.1962519840981</v>
      </c>
      <c r="O5" s="463">
        <f>tertiair!O16</f>
        <v>4.6900000000000004</v>
      </c>
      <c r="P5" s="464">
        <f>tertiair!P16</f>
        <v>38.133333333333333</v>
      </c>
      <c r="Q5" s="462">
        <f t="shared" ref="Q5:Q13" ca="1" si="0">SUM(B5:P5)</f>
        <v>80438.018320397416</v>
      </c>
    </row>
    <row r="6" spans="1:17">
      <c r="A6" s="462" t="s">
        <v>194</v>
      </c>
      <c r="B6" s="463">
        <f>'openbare verlichting'!B8</f>
        <v>1963.0609999999999</v>
      </c>
      <c r="C6" s="463"/>
      <c r="D6" s="463"/>
      <c r="E6" s="463"/>
      <c r="F6" s="463"/>
      <c r="G6" s="463"/>
      <c r="H6" s="463"/>
      <c r="I6" s="463"/>
      <c r="J6" s="463"/>
      <c r="K6" s="463"/>
      <c r="L6" s="463"/>
      <c r="M6" s="463"/>
      <c r="N6" s="463"/>
      <c r="O6" s="463"/>
      <c r="P6" s="464"/>
      <c r="Q6" s="462">
        <f t="shared" si="0"/>
        <v>1963.0609999999999</v>
      </c>
    </row>
    <row r="7" spans="1:17">
      <c r="A7" s="462" t="s">
        <v>112</v>
      </c>
      <c r="B7" s="463">
        <f>landbouw!B8</f>
        <v>689.71199999999999</v>
      </c>
      <c r="C7" s="463">
        <f>landbouw!C8</f>
        <v>0</v>
      </c>
      <c r="D7" s="463">
        <f>landbouw!D8</f>
        <v>503.86622</v>
      </c>
      <c r="E7" s="463">
        <f>landbouw!E8</f>
        <v>8.691259729712371</v>
      </c>
      <c r="F7" s="463">
        <f>landbouw!F8</f>
        <v>2379.6791831802179</v>
      </c>
      <c r="G7" s="463">
        <f>landbouw!G8</f>
        <v>0</v>
      </c>
      <c r="H7" s="463">
        <f>landbouw!H8</f>
        <v>0</v>
      </c>
      <c r="I7" s="463">
        <f>landbouw!I8</f>
        <v>0</v>
      </c>
      <c r="J7" s="463">
        <f>landbouw!J8</f>
        <v>103.72484443069638</v>
      </c>
      <c r="K7" s="463">
        <f>landbouw!K8</f>
        <v>0</v>
      </c>
      <c r="L7" s="463">
        <f>landbouw!L8</f>
        <v>0</v>
      </c>
      <c r="M7" s="463">
        <f>landbouw!M8</f>
        <v>0</v>
      </c>
      <c r="N7" s="463">
        <f>landbouw!N8</f>
        <v>0</v>
      </c>
      <c r="O7" s="463">
        <f>landbouw!O8</f>
        <v>0</v>
      </c>
      <c r="P7" s="464">
        <f>landbouw!P8</f>
        <v>0</v>
      </c>
      <c r="Q7" s="462">
        <f t="shared" si="0"/>
        <v>3685.6735073406267</v>
      </c>
    </row>
    <row r="8" spans="1:17">
      <c r="A8" s="462" t="s">
        <v>657</v>
      </c>
      <c r="B8" s="463">
        <f>industrie!B18</f>
        <v>38606.417000000009</v>
      </c>
      <c r="C8" s="463">
        <f>industrie!C18</f>
        <v>0</v>
      </c>
      <c r="D8" s="463">
        <f>industrie!D18</f>
        <v>34971.347289999998</v>
      </c>
      <c r="E8" s="463">
        <f>industrie!E18</f>
        <v>1933.2086695795754</v>
      </c>
      <c r="F8" s="463">
        <f>industrie!F18</f>
        <v>15856.930471335625</v>
      </c>
      <c r="G8" s="463">
        <f>industrie!G18</f>
        <v>0</v>
      </c>
      <c r="H8" s="463">
        <f>industrie!H18</f>
        <v>0</v>
      </c>
      <c r="I8" s="463">
        <f>industrie!I18</f>
        <v>0</v>
      </c>
      <c r="J8" s="463">
        <f>industrie!J18</f>
        <v>7.1313096358335919</v>
      </c>
      <c r="K8" s="463">
        <f>industrie!K18</f>
        <v>0</v>
      </c>
      <c r="L8" s="463">
        <f>industrie!L18</f>
        <v>0</v>
      </c>
      <c r="M8" s="463">
        <f>industrie!M18</f>
        <v>0</v>
      </c>
      <c r="N8" s="463">
        <f>industrie!N18</f>
        <v>40004.61365569583</v>
      </c>
      <c r="O8" s="463">
        <f>industrie!O18</f>
        <v>0</v>
      </c>
      <c r="P8" s="464">
        <f>industrie!P18</f>
        <v>0</v>
      </c>
      <c r="Q8" s="462">
        <f t="shared" si="0"/>
        <v>131379.64839624686</v>
      </c>
    </row>
    <row r="9" spans="1:17" s="468" customFormat="1">
      <c r="A9" s="466" t="s">
        <v>574</v>
      </c>
      <c r="B9" s="467">
        <f>transport!B14</f>
        <v>14.211403996367387</v>
      </c>
      <c r="C9" s="467"/>
      <c r="D9" s="467">
        <f>transport!D14</f>
        <v>25.402771754550773</v>
      </c>
      <c r="E9" s="467">
        <f>transport!E14</f>
        <v>825.22406370680073</v>
      </c>
      <c r="F9" s="467"/>
      <c r="G9" s="467">
        <f>transport!G14</f>
        <v>201112.33239915507</v>
      </c>
      <c r="H9" s="467">
        <f>transport!H14</f>
        <v>38297.642203769181</v>
      </c>
      <c r="I9" s="467"/>
      <c r="J9" s="467"/>
      <c r="K9" s="467"/>
      <c r="L9" s="467"/>
      <c r="M9" s="467">
        <f>transport!M14</f>
        <v>10823.955861150891</v>
      </c>
      <c r="N9" s="467"/>
      <c r="O9" s="467"/>
      <c r="P9" s="467"/>
      <c r="Q9" s="466">
        <f>SUM(B9:P9)</f>
        <v>251098.76870353287</v>
      </c>
    </row>
    <row r="10" spans="1:17">
      <c r="A10" s="462" t="s">
        <v>564</v>
      </c>
      <c r="B10" s="463">
        <f>transport!B54</f>
        <v>0</v>
      </c>
      <c r="C10" s="463"/>
      <c r="D10" s="463">
        <f>transport!D54</f>
        <v>0</v>
      </c>
      <c r="E10" s="463"/>
      <c r="F10" s="463"/>
      <c r="G10" s="463">
        <f>transport!G54</f>
        <v>3599.6903983968969</v>
      </c>
      <c r="H10" s="463"/>
      <c r="I10" s="463"/>
      <c r="J10" s="463"/>
      <c r="K10" s="463"/>
      <c r="L10" s="463"/>
      <c r="M10" s="463">
        <f>transport!M54</f>
        <v>160.08703655841256</v>
      </c>
      <c r="N10" s="463"/>
      <c r="O10" s="463"/>
      <c r="P10" s="464"/>
      <c r="Q10" s="462">
        <f t="shared" si="0"/>
        <v>3759.7774349553092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158854.7539077524</v>
      </c>
      <c r="C14" s="473">
        <f t="shared" ref="C14:Q14" ca="1" si="1">SUM(C4:C13)</f>
        <v>64.285714285714292</v>
      </c>
      <c r="D14" s="473">
        <f t="shared" ca="1" si="1"/>
        <v>184599.29828118312</v>
      </c>
      <c r="E14" s="473">
        <f t="shared" si="1"/>
        <v>9099.3615847872243</v>
      </c>
      <c r="F14" s="473">
        <f t="shared" ca="1" si="1"/>
        <v>163761.06443745786</v>
      </c>
      <c r="G14" s="473">
        <f t="shared" si="1"/>
        <v>204712.02279755197</v>
      </c>
      <c r="H14" s="473">
        <f t="shared" si="1"/>
        <v>38297.642203769181</v>
      </c>
      <c r="I14" s="473">
        <f t="shared" si="1"/>
        <v>0</v>
      </c>
      <c r="J14" s="473">
        <f t="shared" si="1"/>
        <v>110.85615406652997</v>
      </c>
      <c r="K14" s="473">
        <f t="shared" si="1"/>
        <v>0</v>
      </c>
      <c r="L14" s="473">
        <f t="shared" ca="1" si="1"/>
        <v>0</v>
      </c>
      <c r="M14" s="473">
        <f t="shared" si="1"/>
        <v>10984.042897709303</v>
      </c>
      <c r="N14" s="473">
        <f t="shared" ca="1" si="1"/>
        <v>89866.129910484538</v>
      </c>
      <c r="O14" s="473">
        <f t="shared" si="1"/>
        <v>814.49666666666667</v>
      </c>
      <c r="P14" s="474">
        <f t="shared" si="1"/>
        <v>2116.3999999999996</v>
      </c>
      <c r="Q14" s="474">
        <f t="shared" ca="1" si="1"/>
        <v>863280.35455571453</v>
      </c>
    </row>
    <row r="16" spans="1:17">
      <c r="A16" s="476" t="s">
        <v>569</v>
      </c>
      <c r="B16" s="829">
        <f ca="1">huishoudens!B10</f>
        <v>0.17000732310818895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12721.372661964559</v>
      </c>
      <c r="C21" s="463">
        <f t="shared" ref="C21:C28" ca="1" si="3">C4*$C$16</f>
        <v>0</v>
      </c>
      <c r="D21" s="463">
        <f t="shared" ref="D21:D30" si="4">D4*$D$16</f>
        <v>25098.597902532001</v>
      </c>
      <c r="E21" s="463">
        <f t="shared" ref="E21:E30" si="5">E4*$E$16</f>
        <v>1315.4725617253468</v>
      </c>
      <c r="F21" s="463">
        <f t="shared" ref="F21:F28" si="6">F4*$F$16</f>
        <v>36599.055805333817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75734.498931555718</v>
      </c>
    </row>
    <row r="22" spans="1:17">
      <c r="A22" s="462" t="s">
        <v>156</v>
      </c>
      <c r="B22" s="463">
        <f t="shared" ca="1" si="2"/>
        <v>7268.3183246393555</v>
      </c>
      <c r="C22" s="463">
        <f t="shared" ca="1" si="3"/>
        <v>15.277310924369752</v>
      </c>
      <c r="D22" s="463">
        <f t="shared" ca="1" si="4"/>
        <v>5019.3358613525716</v>
      </c>
      <c r="E22" s="463">
        <f t="shared" si="5"/>
        <v>121.94537160670075</v>
      </c>
      <c r="F22" s="463">
        <f t="shared" ca="1" si="6"/>
        <v>2255.9736217117093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14680.850490234707</v>
      </c>
    </row>
    <row r="23" spans="1:17">
      <c r="A23" s="462" t="s">
        <v>194</v>
      </c>
      <c r="B23" s="463">
        <f t="shared" ca="1" si="2"/>
        <v>333.73474570808446</v>
      </c>
      <c r="C23" s="463"/>
      <c r="D23" s="463"/>
      <c r="E23" s="463"/>
      <c r="F23" s="463"/>
      <c r="G23" s="463"/>
      <c r="H23" s="463"/>
      <c r="I23" s="463"/>
      <c r="J23" s="463"/>
      <c r="K23" s="463"/>
      <c r="L23" s="463"/>
      <c r="M23" s="463"/>
      <c r="N23" s="463"/>
      <c r="O23" s="463"/>
      <c r="P23" s="464"/>
      <c r="Q23" s="462">
        <f t="shared" ca="1" si="17"/>
        <v>333.73474570808446</v>
      </c>
    </row>
    <row r="24" spans="1:17">
      <c r="A24" s="462" t="s">
        <v>112</v>
      </c>
      <c r="B24" s="463">
        <f t="shared" ca="1" si="2"/>
        <v>117.25609083559522</v>
      </c>
      <c r="C24" s="463">
        <f t="shared" ca="1" si="3"/>
        <v>0</v>
      </c>
      <c r="D24" s="463">
        <f t="shared" si="4"/>
        <v>101.78097644</v>
      </c>
      <c r="E24" s="463">
        <f t="shared" si="5"/>
        <v>1.9729159586447083</v>
      </c>
      <c r="F24" s="463">
        <f t="shared" si="6"/>
        <v>635.37434190911824</v>
      </c>
      <c r="G24" s="463">
        <f t="shared" si="7"/>
        <v>0</v>
      </c>
      <c r="H24" s="463">
        <f t="shared" si="8"/>
        <v>0</v>
      </c>
      <c r="I24" s="463">
        <f t="shared" si="9"/>
        <v>0</v>
      </c>
      <c r="J24" s="463">
        <f t="shared" si="10"/>
        <v>36.718594928466516</v>
      </c>
      <c r="K24" s="463">
        <f t="shared" si="11"/>
        <v>0</v>
      </c>
      <c r="L24" s="463">
        <f t="shared" si="12"/>
        <v>0</v>
      </c>
      <c r="M24" s="463">
        <f t="shared" si="13"/>
        <v>0</v>
      </c>
      <c r="N24" s="463">
        <f t="shared" si="14"/>
        <v>0</v>
      </c>
      <c r="O24" s="463">
        <f t="shared" si="15"/>
        <v>0</v>
      </c>
      <c r="P24" s="464">
        <f t="shared" si="16"/>
        <v>0</v>
      </c>
      <c r="Q24" s="462">
        <f t="shared" ca="1" si="17"/>
        <v>893.10292007182466</v>
      </c>
    </row>
    <row r="25" spans="1:17">
      <c r="A25" s="462" t="s">
        <v>657</v>
      </c>
      <c r="B25" s="463">
        <f t="shared" ca="1" si="2"/>
        <v>6563.3736089684799</v>
      </c>
      <c r="C25" s="463">
        <f t="shared" ca="1" si="3"/>
        <v>0</v>
      </c>
      <c r="D25" s="463">
        <f t="shared" si="4"/>
        <v>7064.2121525800003</v>
      </c>
      <c r="E25" s="463">
        <f t="shared" si="5"/>
        <v>438.83836799456361</v>
      </c>
      <c r="F25" s="463">
        <f t="shared" si="6"/>
        <v>4233.8004358466123</v>
      </c>
      <c r="G25" s="463">
        <f t="shared" si="7"/>
        <v>0</v>
      </c>
      <c r="H25" s="463">
        <f t="shared" si="8"/>
        <v>0</v>
      </c>
      <c r="I25" s="463">
        <f t="shared" si="9"/>
        <v>0</v>
      </c>
      <c r="J25" s="463">
        <f t="shared" si="10"/>
        <v>2.5244836110850915</v>
      </c>
      <c r="K25" s="463">
        <f t="shared" si="11"/>
        <v>0</v>
      </c>
      <c r="L25" s="463">
        <f t="shared" si="12"/>
        <v>0</v>
      </c>
      <c r="M25" s="463">
        <f t="shared" si="13"/>
        <v>0</v>
      </c>
      <c r="N25" s="463">
        <f t="shared" si="14"/>
        <v>0</v>
      </c>
      <c r="O25" s="463">
        <f t="shared" si="15"/>
        <v>0</v>
      </c>
      <c r="P25" s="464">
        <f t="shared" si="16"/>
        <v>0</v>
      </c>
      <c r="Q25" s="462">
        <f t="shared" ca="1" si="17"/>
        <v>18302.749049000744</v>
      </c>
    </row>
    <row r="26" spans="1:17" s="468" customFormat="1">
      <c r="A26" s="466" t="s">
        <v>574</v>
      </c>
      <c r="B26" s="823">
        <f t="shared" ca="1" si="2"/>
        <v>2.416042751031438</v>
      </c>
      <c r="C26" s="467"/>
      <c r="D26" s="467">
        <f t="shared" si="4"/>
        <v>5.1313598944192567</v>
      </c>
      <c r="E26" s="467">
        <f t="shared" si="5"/>
        <v>187.32586246144376</v>
      </c>
      <c r="F26" s="467"/>
      <c r="G26" s="467">
        <f t="shared" si="7"/>
        <v>53696.992750574405</v>
      </c>
      <c r="H26" s="467">
        <f t="shared" si="8"/>
        <v>9536.1129087385252</v>
      </c>
      <c r="I26" s="467"/>
      <c r="J26" s="467"/>
      <c r="K26" s="467"/>
      <c r="L26" s="467"/>
      <c r="M26" s="467">
        <f t="shared" si="13"/>
        <v>0</v>
      </c>
      <c r="N26" s="467"/>
      <c r="O26" s="467"/>
      <c r="P26" s="478"/>
      <c r="Q26" s="466">
        <f t="shared" ca="1" si="17"/>
        <v>63427.978924419825</v>
      </c>
    </row>
    <row r="27" spans="1:17">
      <c r="A27" s="462" t="s">
        <v>564</v>
      </c>
      <c r="B27" s="463">
        <f t="shared" ca="1" si="2"/>
        <v>0</v>
      </c>
      <c r="C27" s="463"/>
      <c r="D27" s="467">
        <f t="shared" si="4"/>
        <v>0</v>
      </c>
      <c r="E27" s="463"/>
      <c r="F27" s="463"/>
      <c r="G27" s="463">
        <f t="shared" si="7"/>
        <v>961.11733637197153</v>
      </c>
      <c r="H27" s="463"/>
      <c r="I27" s="463"/>
      <c r="J27" s="463"/>
      <c r="K27" s="463"/>
      <c r="L27" s="463"/>
      <c r="M27" s="463">
        <f t="shared" si="13"/>
        <v>0</v>
      </c>
      <c r="N27" s="463"/>
      <c r="O27" s="463"/>
      <c r="P27" s="464"/>
      <c r="Q27" s="462">
        <f t="shared" ca="1" si="17"/>
        <v>961.11733637197153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27006.471474867103</v>
      </c>
      <c r="C31" s="473">
        <f t="shared" ca="1" si="18"/>
        <v>15.277310924369752</v>
      </c>
      <c r="D31" s="473">
        <f t="shared" ca="1" si="18"/>
        <v>37289.05825279899</v>
      </c>
      <c r="E31" s="473">
        <f t="shared" si="18"/>
        <v>2065.5550797466999</v>
      </c>
      <c r="F31" s="473">
        <f t="shared" ca="1" si="18"/>
        <v>43724.204204801259</v>
      </c>
      <c r="G31" s="473">
        <f t="shared" si="18"/>
        <v>54658.110086946377</v>
      </c>
      <c r="H31" s="473">
        <f t="shared" si="18"/>
        <v>9536.1129087385252</v>
      </c>
      <c r="I31" s="473">
        <f t="shared" si="18"/>
        <v>0</v>
      </c>
      <c r="J31" s="473">
        <f t="shared" si="18"/>
        <v>39.243078539551604</v>
      </c>
      <c r="K31" s="473">
        <f t="shared" si="18"/>
        <v>0</v>
      </c>
      <c r="L31" s="473">
        <f t="shared" ca="1" si="18"/>
        <v>0</v>
      </c>
      <c r="M31" s="473">
        <f t="shared" si="18"/>
        <v>0</v>
      </c>
      <c r="N31" s="473">
        <f t="shared" ca="1" si="18"/>
        <v>0</v>
      </c>
      <c r="O31" s="473">
        <f t="shared" si="18"/>
        <v>0</v>
      </c>
      <c r="P31" s="474">
        <f t="shared" si="18"/>
        <v>0</v>
      </c>
      <c r="Q31" s="474">
        <f t="shared" ca="1" si="18"/>
        <v>174334.03239736287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0.17000732310818895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0.17000732310818895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0.17000732310818895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2019-01-02T18:05:30Z</dcterms:modified>
</cp:coreProperties>
</file>