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<sst xmlns="http://schemas.openxmlformats.org/spreadsheetml/2006/main" count="2178" uniqueCount="890">
  <si>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</si>
  <si>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</si>
  <si>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</si>
  <si>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</si>
  <si>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</si>
  <si>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</si>
  <si>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</si>
  <si>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</si>
  <si>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</si>
  <si>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</si>
  <si>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</si>
  <si>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</si>
  <si>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</si>
  <si>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</si>
  <si>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</si>
  <si>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</si>
  <si>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</si>
  <si>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</si>
  <si>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</si>
  <si>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</si>
  <si>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</si>
  <si>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</si>
  <si>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</si>
  <si>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</si>
  <si>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</si>
  <si>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</si>
  <si>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</si>
  <si>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</si>
  <si>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</si>
  <si>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</si>
  <si>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</si>
  <si>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</si>
  <si>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</si>
  <si>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</si>
  <si>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</si>
  <si>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</si>
  <si>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</si>
  <si>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</si>
  <si>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</si>
  <si>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</si>
  <si>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</si>
  <si>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</si>
  <si>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</si>
  <si>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</si>
  <si>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</si>
  <si>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</si>
  <si>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</si>
  <si>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</si>
  <si>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</si>
  <si>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</si>
  <si>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</si>
  <si>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</si>
  <si>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</si>
  <si>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</si>
  <si>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</si>
  <si>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</si>
  <si>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</si>
  <si>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</si>
  <si>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</si>
  <si>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</si>
  <si>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</si>
  <si>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</si>
  <si>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</si>
  <si>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</si>
  <si>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</si>
  <si>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</si>
  <si>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</si>
  <si>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</si>
  <si>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</si>
  <si>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</si>
  <si>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</si>
  <si>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</si>
  <si>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</si>
  <si>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</si>
  <si>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</si>
  <si>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</si>
  <si>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</si>
  <si>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</si>
  <si>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</si>
  <si>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</si>
  <si>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</si>
  <si>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</si>
  <si>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</si>
  <si>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</si>
  <si>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</si>
  <si>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</si>
  <si>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</si>
  <si>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</si>
  <si>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</si>
  <si>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</si>
  <si>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</si>
  <si>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</si>
  <si>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</si>
  <si>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</si>
  <si>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</si>
  <si>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</si>
  <si>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</si>
  <si>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</si>
  <si>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</si>
  <si>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</si>
  <si>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</si>
  <si>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</si>
  <si>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</si>
  <si>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</si>
  <si>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</si>
  <si>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</si>
  <si>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</si>
  <si>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</si>
  <si>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</si>
  <si>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</si>
  <si>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</si>
  <si>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</si>
  <si>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</si>
  <si>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</si>
  <si>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</si>
  <si>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</si>
  <si>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</si>
  <si>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</si>
  <si>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</si>
  <si>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</si>
  <si>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</si>
  <si>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</si>
  <si>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</si>
  <si>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</si>
  <si>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</si>
  <si>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</si>
  <si>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</si>
  <si>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</si>
  <si>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</si>
  <si>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</si>
  <si>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</si>
  <si>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</si>
  <si>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</si>
  <si>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</si>
  <si>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</si>
  <si>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</si>
  <si>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</si>
  <si>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</si>
  <si>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</si>
  <si>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</si>
  <si>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</si>
  <si>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</si>
  <si>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</si>
  <si>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</si>
  <si>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</si>
  <si>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</si>
  <si>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</si>
  <si>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</si>
  <si>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</si>
  <si>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</si>
  <si>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</si>
  <si>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</si>
  <si>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</si>
  <si>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</si>
  <si>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</si>
  <si>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</si>
  <si>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</si>
  <si>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</si>
  <si>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</si>
  <si>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</si>
  <si>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</si>
  <si>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</si>
  <si>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</si>
  <si>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</si>
  <si>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</si>
  <si>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</si>
  <si>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</si>
  <si>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</si>
  <si>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</si>
  <si>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</si>
  <si>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</si>
  <si>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</si>
  <si>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</si>
  <si>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</si>
  <si>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</si>
  <si>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</si>
  <si>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</si>
  <si>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</si>
  <si>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</si>
  <si>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</si>
  <si>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</si>
  <si>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</si>
  <si>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</si>
  <si>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</si>
  <si>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</si>
  <si>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</si>
  <si>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</si>
  <si>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</si>
  <si>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</si>
  <si>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</si>
  <si>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</si>
  <si>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</si>
  <si>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</si>
  <si>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</si>
  <si>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</si>
  <si>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</si>
  <si>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</si>
  <si>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</si>
  <si>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</si>
  <si>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</si>
  <si>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</si>
  <si>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</si>
  <si>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</si>
  <si>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</si>
  <si>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</si>
  <si>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</si>
  <si>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</si>
  <si>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</si>
  <si>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</si>
  <si>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</si>
  <si>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</si>
  <si>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</si>
  <si>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</si>
  <si>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</si>
  <si>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</si>
  <si>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</si>
  <si>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</si>
  <si>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</si>
  <si>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</si>
  <si>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</si>
  <si>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</si>
  <si>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</si>
  <si>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</si>
  <si>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</si>
  <si>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</si>
  <si>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</si>
  <si>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</si>
  <si>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</si>
  <si>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</si>
  <si>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</si>
  <si>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</si>
  <si>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</si>
  <si>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</si>
  <si>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</si>
  <si>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</si>
  <si>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</si>
  <si>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</si>
  <si>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</si>
  <si>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</si>
  <si>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</si>
  <si>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</si>
  <si>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</si>
  <si>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</si>
  <si>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</si>
  <si>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</si>
  <si>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</si>
  <si>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</si>
  <si>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</si>
  <si>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</si>
  <si>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</si>
  <si>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</si>
  <si>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</si>
  <si>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</si>
  <si>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</si>
  <si>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</si>
  <si>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</si>
  <si>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</si>
  <si>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</si>
  <si>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</si>
  <si>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</si>
  <si>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</si>
  <si>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</si>
  <si>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</si>
  <si>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</si>
  <si>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</si>
  <si>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</si>
  <si>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</si>
  <si>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</si>
  <si>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</si>
  <si>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</si>
  <si>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</si>
  <si>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</si>
  <si>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</si>
  <si>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</si>
  <si>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</si>
  <si>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</si>
  <si>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</si>
  <si>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</si>
  <si>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</si>
  <si>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</si>
  <si>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</si>
  <si>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</si>
  <si>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</si>
  <si>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</si>
  <si>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</si>
  <si>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</si>
  <si>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</si>
  <si>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</si>
  <si>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</si>
  <si>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</si>
  <si>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</si>
  <si>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</si>
  <si>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</si>
  <si>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</si>
  <si>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</si>
  <si>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</si>
  <si>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</si>
  <si>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</si>
  <si>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</si>
  <si>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</si>
  <si>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</si>
  <si>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</si>
  <si>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</si>
  <si>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</si>
  <si>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</si>
  <si>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</si>
  <si>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</si>
  <si>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</si>
  <si>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</si>
  <si>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</si>
  <si>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</si>
  <si>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</si>
  <si>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</si>
  <si>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</si>
  <si>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</si>
  <si>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</si>
  <si>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</si>
  <si>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</si>
  <si>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</si>
  <si>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</si>
  <si>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</si>
  <si>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</si>
  <si>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</si>
  <si>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</si>
  <si>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</si>
  <si>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</si>
  <si>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</si>
  <si>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</si>
  <si>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</si>
  <si>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</si>
  <si>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</si>
  <si>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</si>
  <si>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</si>
  <si>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</si>
  <si>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</si>
  <si>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</si>
  <si>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</si>
  <si>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</si>
  <si>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</si>
  <si>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</si>
  <si>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</si>
  <si>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</si>
  <si>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</si>
  <si>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</si>
  <si>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</si>
  <si>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</si>
  <si>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</si>
  <si>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</si>
  <si>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</si>
  <si>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</si>
  <si>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</si>
  <si>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</si>
  <si>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</si>
  <si>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</si>
  <si>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</si>
  <si>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</si>
  <si>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</si>
  <si>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</si>
  <si>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</si>
  <si>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</si>
  <si>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</si>
  <si>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</si>
  <si>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</si>
  <si>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</si>
  <si>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</si>
  <si>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</si>
  <si>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</si>
  <si>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</si>
  <si>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</si>
  <si>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</si>
  <si>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</si>
  <si>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</si>
  <si>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</si>
  <si>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</si>
  <si>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</si>
  <si>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</si>
  <si>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</si>
  <si>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</si>
  <si>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</si>
  <si>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</si>
  <si>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</si>
  <si>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</si>
  <si>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</si>
  <si>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</si>
  <si>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</si>
  <si>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</si>
  <si>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</si>
  <si>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</si>
  <si>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</si>
  <si>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</si>
  <si>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</si>
  <si>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</si>
  <si>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</si>
  <si>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</si>
  <si>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</si>
  <si>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</si>
  <si>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</si>
  <si>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</si>
  <si>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</si>
  <si>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</si>
  <si>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</si>
  <si>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</si>
  <si>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</si>
  <si>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</si>
  <si>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</si>
  <si>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</si>
  <si>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</si>
  <si>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</si>
  <si>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</si>
  <si>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</si>
  <si>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</si>
  <si>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</si>
  <si>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</si>
  <si>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</si>
  <si>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</si>
  <si>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</si>
  <si>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</si>
  <si>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</si>
  <si>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</si>
  <si>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</si>
  <si>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</si>
  <si>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</si>
  <si>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</si>
  <si>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</si>
  <si>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</si>
  <si>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</si>
  <si>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</si>
  <si>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</si>
  <si>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</si>
  <si>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</si>
  <si>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</si>
  <si>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</si>
  <si>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</si>
  <si>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</si>
  <si>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</si>
  <si>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</si>
  <si>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</si>
  <si>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</si>
  <si>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</si>
  <si>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</si>
  <si>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</si>
  <si>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</si>
  <si>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</si>
  <si>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</si>
  <si>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</si>
  <si>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</si>
  <si>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</si>
  <si>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</si>
  <si>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</si>
  <si>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</si>
  <si>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</si>
  <si>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</si>
  <si>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</si>
  <si>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</si>
  <si>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</si>
  <si>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</si>
  <si>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</si>
  <si>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</si>
  <si>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</si>
  <si>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</si>
  <si>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</si>
  <si>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</si>
  <si>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</si>
  <si>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</si>
  <si>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</si>
  <si>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</si>
  <si>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</si>
  <si>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</si>
  <si>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</si>
  <si>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</si>
  <si>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</si>
  <si>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</si>
  <si>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</si>
  <si>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</si>
  <si>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</si>
  <si>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</si>
  <si>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</si>
  <si>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</si>
  <si>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</si>
  <si>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</si>
  <si>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</si>
  <si>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</si>
  <si>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</si>
  <si>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</si>
  <si>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</si>
  <si>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</si>
  <si>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</si>
  <si>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</si>
  <si>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</si>
  <si>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</si>
  <si>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</si>
  <si>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</si>
  <si>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</si>
  <si>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</si>
  <si>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</si>
  <si>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</si>
  <si>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</si>
  <si>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</si>
  <si>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</si>
  <si>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</si>
  <si>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</si>
  <si>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</si>
  <si>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</si>
  <si>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</si>
  <si>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</si>
  <si>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</si>
  <si>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</si>
  <si>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</si>
  <si>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</si>
  <si>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</si>
  <si>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</si>
  <si>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</si>
  <si>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</si>
  <si>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</si>
  <si>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</si>
  <si>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</si>
  <si>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</si>
  <si>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</si>
  <si>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</si>
  <si>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</si>
  <si>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</si>
  <si>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</si>
  <si>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</si>
  <si>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</si>
  <si>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</si>
  <si>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</si>
  <si>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</si>
  <si>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</si>
  <si>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</si>
  <si>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</si>
  <si>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</si>
  <si>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</si>
  <si>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</si>
  <si>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</si>
  <si>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</si>
  <si>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</si>
  <si>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</si>
  <si>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</si>
  <si>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</si>
  <si>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</si>
  <si>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</si>
  <si>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</si>
  <si>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</si>
  <si>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</si>
  <si>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</si>
  <si>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</si>
  <si>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</si>
  <si>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</si>
  <si>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</si>
  <si>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</si>
  <si>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</si>
  <si>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</si>
  <si>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</si>
  <si>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</si>
  <si>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</si>
  <si>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</si>
  <si>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</si>
  <si>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</si>
  <si>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</si>
  <si>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</si>
  <si>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</si>
  <si>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</si>
  <si>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</si>
  <si>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</si>
  <si>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</si>
  <si>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</si>
  <si>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</si>
  <si>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</si>
  <si>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</si>
  <si>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</si>
  <si>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</si>
  <si>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</si>
  <si>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</si>
  <si>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</si>
  <si>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</si>
  <si>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</si>
  <si>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</si>
  <si>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</si>
  <si>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</si>
  <si>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</si>
  <si>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</si>
  <si>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</si>
  <si>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</si>
  <si>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</si>
  <si>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</si>
  <si>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</si>
  <si>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</si>
  <si>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</si>
  <si>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</si>
  <si>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</si>
  <si>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</si>
  <si>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</si>
  <si>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</si>
  <si>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</si>
  <si>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</si>
  <si>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</si>
  <si>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</si>
  <si>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</si>
  <si>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</si>
  <si>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</si>
  <si>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</si>
  <si>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</si>
  <si>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</si>
  <si>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</si>
  <si>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</si>
  <si>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</si>
  <si>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</si>
  <si>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</si>
  <si>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</si>
  <si>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</si>
  <si>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</si>
  <si>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</si>
  <si>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</si>
  <si>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</si>
  <si>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</si>
  <si>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</si>
  <si>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</si>
  <si>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</si>
  <si>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</si>
  <si>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</si>
  <si>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</si>
  <si>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</si>
  <si>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</si>
  <si>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</si>
  <si>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</si>
  <si>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</si>
  <si>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</si>
  <si>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</si>
  <si>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</si>
  <si>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</si>
  <si>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</si>
  <si>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</si>
  <si>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</si>
  <si>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</si>
  <si>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</si>
  <si>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</si>
  <si>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</si>
  <si>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</si>
  <si>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</si>
  <si>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</si>
  <si>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</si>
  <si>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</si>
  <si>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</si>
  <si>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</si>
  <si>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</si>
  <si>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</si>
  <si>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</si>
  <si>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</si>
  <si>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</si>
  <si>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</si>
  <si>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</si>
  <si>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</si>
  <si>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</si>
  <si>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</si>
  <si>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</si>
  <si>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</si>
  <si>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</si>
  <si>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</si>
  <si>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</si>
  <si>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</si>
  <si>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</si>
  <si>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</si>
  <si>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</si>
  <si>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</si>
  <si>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</si>
  <si>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</si>
  <si>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</si>
  <si>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</si>
  <si>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</si>
  <si>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</si>
  <si>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</si>
  <si>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</si>
  <si>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</si>
  <si>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</si>
  <si>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</si>
  <si>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</si>
  <si>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</si>
  <si>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</si>
  <si>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</si>
  <si>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</si>
  <si>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</si>
  <si>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</si>
  <si>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</si>
  <si>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</si>
  <si>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</si>
  <si>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</si>
  <si>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</si>
  <si>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</si>
  <si>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</si>
  <si>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</si>
  <si>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</si>
  <si>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</si>
  <si>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</si>
  <si>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</si>
  <si>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</si>
  <si>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</si>
  <si>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</si>
  <si>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</si>
  <si>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</si>
  <si>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</si>
  <si>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</si>
  <si>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</si>
  <si>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</si>
  <si>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</si>
  <si>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</si>
  <si>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</si>
  <si>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</si>
  <si>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</si>
  <si>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</si>
  <si>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</si>
  <si>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</si>
  <si>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</si>
  <si>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</si>
  <si>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</si>
  <si>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</si>
  <si>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</si>
  <si>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</si>
  <si>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</si>
  <si>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</si>
  <si>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</si>
  <si>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</si>
  <si>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</si>
  <si>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</si>
  <si>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</si>
  <si>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</si>
  <si>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</si>
  <si>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</si>
  <si>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</si>
  <si>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</si>
  <si>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</si>
  <si>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</si>
  <si>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</si>
  <si>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</si>
  <si>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</si>
  <si>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</si>
  <si>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</si>
  <si>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</si>
  <si>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</si>
  <si>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</si>
  <si>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</si>
  <si>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</si>
  <si>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</si>
  <si>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</si>
  <si>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</si>
  <si>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</si>
  <si>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</si>
  <si>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</si>
  <si>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</si>
  <si>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</si>
  <si>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</si>
  <si>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</si>
  <si>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</si>
  <si>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</si>
  <si>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</si>
  <si>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</si>
  <si>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</si>
  <si>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</si>
  <si>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</si>
  <si>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</si>
  <si>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</si>
  <si>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</si>
  <si>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</si>
  <si>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</si>
  <si>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</si>
  <si>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</si>
  <si>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</si>
  <si>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</si>
  <si>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</si>
  <si>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</si>
  <si>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</si>
  <si>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</si>
  <si>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</si>
  <si>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</si>
  <si>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</si>
  <si>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</si>
  <si>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</si>
  <si>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</si>
  <si>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</si>
  <si>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</si>
  <si>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</si>
  <si>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</si>
  <si>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</si>
  <si>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</si>
  <si>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</si>
  <si>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</si>
  <si>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</si>
  <si>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</si>
  <si>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</si>
  <si>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</si>
  <si>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</si>
  <si>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</si>
  <si>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</si>
  <si>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</si>
  <si>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</si>
  <si>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</si>
  <si>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</si>
  <si>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</si>
  <si>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</si>
  <si>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</si>
  <si>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</si>
  <si>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</si>
  <si>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</si>
  <si>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</si>
  <si>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</si>
  <si>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</si>
  <si>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</si>
  <si>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</si>
  <si>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</si>
  <si>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</si>
  <si>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</si>
  <si>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</si>
  <si>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</si>
  <si>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</si>
  <si>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</si>
  <si>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</si>
  <si>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</si>
  <si>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</si>
  <si>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</si>
  <si>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</si>
  <si>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</si>
  <si>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</si>
  <si>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</si>
  <si>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</si>
  <si>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</si>
  <si>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</si>
  <si>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</si>
  <si>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</si>
  <si>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</si>
  <si>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</si>
  <si>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</si>
  <si>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</si>
  <si>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</si>
  <si>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</si>
  <si>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</si>
  <si>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</si>
  <si>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</si>
  <si>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</si>
  <si>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</si>
  <si>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</si>
  <si>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</si>
  <si>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</si>
  <si>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</si>
  <si>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</si>
  <si>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</si>
  <si>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</si>
  <si>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</si>
  <si>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</si>
  <si>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</si>
  <si>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</si>
  <si>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</si>
  <si>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</si>
  <si>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</si>
  <si>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</si>
  <si>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</si>
  <si>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</si>
  <si>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</si>
  <si>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</si>
  <si>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</si>
  <si>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</si>
  <si>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</si>
  <si>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</si>
  <si>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</si>
  <si>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</si>
  <si>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</si>
  <si>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</si>
  <si>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</si>
  <si>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</si>
  <si>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</si>
  <si>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</si>
  <si>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</si>
  <si>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</si>
  <si>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46021</t>
  </si>
  <si>
    <t>SINT-NIKLAAS</t>
  </si>
  <si>
    <t>Cultuurgrond (ha)</t>
  </si>
  <si>
    <t>Paarden&amp;pony's 200 - 600 kg</t>
  </si>
  <si>
    <t>Paarden&amp;pony's &lt; 200 kg</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</si>
  <si>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</si>
  <si>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</si>
  <si>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</si>
  <si>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</si>
  <si>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</si>
  <si>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</si>
  <si>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</si>
  <si>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</si>
  <si>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</si>
  <si>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</si>
  <si>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</si>
  <si>
    <t>Vleeswarenfabriek De Cock NV</t>
  </si>
  <si>
    <t>Industriepark-Noord 14 , 9100 Sint-Niklaas</t>
  </si>
  <si>
    <t>WKK-0473 Vleeswarenfabriek De Cock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</si>
</sst>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568771.17123158392</c:v>
                </c:pt>
                <c:pt idx="1">
                  <c:v>349797.65290964354</c:v>
                </c:pt>
                <c:pt idx="2">
                  <c:v>3617.5590000000002</c:v>
                </c:pt>
                <c:pt idx="3">
                  <c:v>35041.132618568306</c:v>
                </c:pt>
                <c:pt idx="4">
                  <c:v>190851.76426983526</c:v>
                </c:pt>
                <c:pt idx="5">
                  <c:v>497610.13854606875</c:v>
                </c:pt>
                <c:pt idx="6">
                  <c:v>10485.510699248362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6944"/>
        <c:axId val="162632832"/>
      </c:barChart>
      <c:catAx>
        <c:axId val="162626944"/>
        <c:scaling>
          <c:orientation val="minMax"/>
        </c:scaling>
        <c:axPos val="b"/>
        <c:numFmt formatCode="General" sourceLinked="0"/>
        <c:tickLblPos val="nextTo"/>
        <c:crossAx val="162632832"/>
        <c:crosses val="autoZero"/>
        <c:auto val="1"/>
        <c:lblAlgn val="ctr"/>
        <c:lblOffset val="100"/>
      </c:catAx>
      <c:valAx>
        <c:axId val="162632832"/>
        <c:scaling>
          <c:orientation val="minMax"/>
        </c:scaling>
        <c:axPos val="l"/>
        <c:majorGridlines/>
        <c:numFmt formatCode="#,##0" sourceLinked="1"/>
        <c:tickLblPos val="nextTo"/>
        <c:crossAx val="1626269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568771.17123158392</c:v>
                </c:pt>
                <c:pt idx="1">
                  <c:v>349797.65290964354</c:v>
                </c:pt>
                <c:pt idx="2">
                  <c:v>3617.5590000000002</c:v>
                </c:pt>
                <c:pt idx="3">
                  <c:v>35041.132618568306</c:v>
                </c:pt>
                <c:pt idx="4">
                  <c:v>190851.76426983526</c:v>
                </c:pt>
                <c:pt idx="5">
                  <c:v>497610.13854606875</c:v>
                </c:pt>
                <c:pt idx="6">
                  <c:v>10485.510699248362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107850.12674869559</c:v>
                </c:pt>
                <c:pt idx="1">
                  <c:v>70891.297482588998</c:v>
                </c:pt>
                <c:pt idx="2">
                  <c:v>748.90658846987856</c:v>
                </c:pt>
                <c:pt idx="3">
                  <c:v>8085.5776317308528</c:v>
                </c:pt>
                <c:pt idx="4">
                  <c:v>37933.761895338037</c:v>
                </c:pt>
                <c:pt idx="5">
                  <c:v>125850.57416439371</c:v>
                </c:pt>
                <c:pt idx="6">
                  <c:v>2680.4262454650279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97056"/>
        <c:axId val="181231616"/>
      </c:barChart>
      <c:catAx>
        <c:axId val="181197056"/>
        <c:scaling>
          <c:orientation val="minMax"/>
        </c:scaling>
        <c:axPos val="b"/>
        <c:numFmt formatCode="General" sourceLinked="0"/>
        <c:tickLblPos val="nextTo"/>
        <c:crossAx val="181231616"/>
        <c:crosses val="autoZero"/>
        <c:auto val="1"/>
        <c:lblAlgn val="ctr"/>
        <c:lblOffset val="100"/>
      </c:catAx>
      <c:valAx>
        <c:axId val="181231616"/>
        <c:scaling>
          <c:orientation val="minMax"/>
        </c:scaling>
        <c:axPos val="l"/>
        <c:majorGridlines/>
        <c:numFmt formatCode="#,##0" sourceLinked="1"/>
        <c:tickLblPos val="nextTo"/>
        <c:crossAx val="1811970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107850.12674869559</c:v>
                </c:pt>
                <c:pt idx="1">
                  <c:v>70891.297482588998</c:v>
                </c:pt>
                <c:pt idx="2">
                  <c:v>748.90658846987856</c:v>
                </c:pt>
                <c:pt idx="3">
                  <c:v>8085.5776317308528</c:v>
                </c:pt>
                <c:pt idx="4">
                  <c:v>37933.761895338037</c:v>
                </c:pt>
                <c:pt idx="5">
                  <c:v>125850.57416439371</c:v>
                </c:pt>
                <c:pt idx="6">
                  <c:v>2680.4262454650279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46021</v>
      </c>
      <c r="B6" s="398"/>
      <c r="C6" s="399"/>
    </row>
    <row r="7" spans="1:7" s="396" customFormat="1" ht="15.75" customHeight="1">
      <c r="A7" s="400" t="str">
        <f>txtMunicipality</f>
        <v>SINT-NIKLAAS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30872</v>
      </c>
      <c r="C9" s="338">
        <v>32708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3819</v>
      </c>
    </row>
    <row r="15" spans="1:6">
      <c r="A15" s="1269" t="s">
        <v>184</v>
      </c>
      <c r="B15" s="335">
        <v>44</v>
      </c>
    </row>
    <row r="16" spans="1:6">
      <c r="A16" s="1269" t="s">
        <v>6</v>
      </c>
      <c r="B16" s="335">
        <v>1992</v>
      </c>
    </row>
    <row r="17" spans="1:6">
      <c r="A17" s="1269" t="s">
        <v>7</v>
      </c>
      <c r="B17" s="335">
        <v>865</v>
      </c>
    </row>
    <row r="18" spans="1:6">
      <c r="A18" s="1269" t="s">
        <v>8</v>
      </c>
      <c r="B18" s="335">
        <v>1945</v>
      </c>
    </row>
    <row r="19" spans="1:6">
      <c r="A19" s="1269" t="s">
        <v>9</v>
      </c>
      <c r="B19" s="335">
        <v>1777</v>
      </c>
    </row>
    <row r="20" spans="1:6">
      <c r="A20" s="1269" t="s">
        <v>10</v>
      </c>
      <c r="B20" s="335">
        <v>965</v>
      </c>
    </row>
    <row r="21" spans="1:6">
      <c r="A21" s="1269" t="s">
        <v>11</v>
      </c>
      <c r="B21" s="335">
        <v>15524</v>
      </c>
    </row>
    <row r="22" spans="1:6">
      <c r="A22" s="1269" t="s">
        <v>12</v>
      </c>
      <c r="B22" s="335">
        <v>29611</v>
      </c>
    </row>
    <row r="23" spans="1:6">
      <c r="A23" s="1269" t="s">
        <v>13</v>
      </c>
      <c r="B23" s="335">
        <v>1021</v>
      </c>
    </row>
    <row r="24" spans="1:6">
      <c r="A24" s="1269" t="s">
        <v>14</v>
      </c>
      <c r="B24" s="335">
        <v>44</v>
      </c>
    </row>
    <row r="25" spans="1:6">
      <c r="A25" s="1269" t="s">
        <v>15</v>
      </c>
      <c r="B25" s="335">
        <v>4589</v>
      </c>
    </row>
    <row r="26" spans="1:6">
      <c r="A26" s="1269" t="s">
        <v>16</v>
      </c>
      <c r="B26" s="335">
        <v>327</v>
      </c>
    </row>
    <row r="27" spans="1:6">
      <c r="A27" s="1269" t="s">
        <v>17</v>
      </c>
      <c r="B27" s="335">
        <v>729</v>
      </c>
    </row>
    <row r="28" spans="1:6" s="341" customFormat="1">
      <c r="A28" s="1270" t="s">
        <v>18</v>
      </c>
      <c r="B28" s="1270">
        <v>145801</v>
      </c>
    </row>
    <row r="29" spans="1:6">
      <c r="A29" s="1270" t="s">
        <v>874</v>
      </c>
      <c r="B29" s="1270">
        <v>390</v>
      </c>
      <c r="C29" s="341"/>
      <c r="D29" s="341"/>
      <c r="E29" s="341"/>
      <c r="F29" s="341"/>
    </row>
    <row r="30" spans="1:6">
      <c r="A30" s="1265" t="s">
        <v>875</v>
      </c>
      <c r="B30" s="1265">
        <v>142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10</v>
      </c>
      <c r="D36" s="335">
        <v>1194162.20360646</v>
      </c>
      <c r="E36" s="335">
        <v>14</v>
      </c>
      <c r="F36" s="335">
        <v>372232.84334237099</v>
      </c>
    </row>
    <row r="37" spans="1:6">
      <c r="A37" s="1269" t="s">
        <v>25</v>
      </c>
      <c r="B37" s="1269" t="s">
        <v>28</v>
      </c>
      <c r="C37" s="335">
        <v>0</v>
      </c>
      <c r="D37" s="335">
        <v>0</v>
      </c>
      <c r="E37" s="335">
        <v>0</v>
      </c>
      <c r="F37" s="335">
        <v>0</v>
      </c>
    </row>
    <row r="38" spans="1:6">
      <c r="A38" s="1269" t="s">
        <v>25</v>
      </c>
      <c r="B38" s="1269" t="s">
        <v>29</v>
      </c>
      <c r="C38" s="335">
        <v>3</v>
      </c>
      <c r="D38" s="335">
        <v>289624.295865505</v>
      </c>
      <c r="E38" s="335">
        <v>6</v>
      </c>
      <c r="F38" s="335">
        <v>69700.916613563706</v>
      </c>
    </row>
    <row r="39" spans="1:6">
      <c r="A39" s="1269" t="s">
        <v>30</v>
      </c>
      <c r="B39" s="1269" t="s">
        <v>31</v>
      </c>
      <c r="C39" s="335">
        <v>22672</v>
      </c>
      <c r="D39" s="335">
        <v>369997689.65969503</v>
      </c>
      <c r="E39" s="335">
        <v>30559</v>
      </c>
      <c r="F39" s="335">
        <v>109834355.34568401</v>
      </c>
    </row>
    <row r="40" spans="1:6">
      <c r="A40" s="1269" t="s">
        <v>30</v>
      </c>
      <c r="B40" s="1269" t="s">
        <v>29</v>
      </c>
      <c r="C40" s="335">
        <v>1</v>
      </c>
      <c r="D40" s="335">
        <v>52623.797098992</v>
      </c>
      <c r="E40" s="335">
        <v>2</v>
      </c>
      <c r="F40" s="335">
        <v>37541.525342794703</v>
      </c>
    </row>
    <row r="41" spans="1:6">
      <c r="A41" s="1269" t="s">
        <v>32</v>
      </c>
      <c r="B41" s="1269" t="s">
        <v>33</v>
      </c>
      <c r="C41" s="335">
        <v>251</v>
      </c>
      <c r="D41" s="335">
        <v>8249215.4268012503</v>
      </c>
      <c r="E41" s="335">
        <v>538</v>
      </c>
      <c r="F41" s="335">
        <v>6167822.5866937498</v>
      </c>
    </row>
    <row r="42" spans="1:6">
      <c r="A42" s="1269" t="s">
        <v>32</v>
      </c>
      <c r="B42" s="1269" t="s">
        <v>34</v>
      </c>
      <c r="C42" s="335">
        <v>4</v>
      </c>
      <c r="D42" s="335">
        <v>4363128.2316867895</v>
      </c>
      <c r="E42" s="335">
        <v>4</v>
      </c>
      <c r="F42" s="335">
        <v>2279343.1442229301</v>
      </c>
    </row>
    <row r="43" spans="1:6">
      <c r="A43" s="1269" t="s">
        <v>32</v>
      </c>
      <c r="B43" s="1269" t="s">
        <v>35</v>
      </c>
      <c r="C43" s="335">
        <v>0</v>
      </c>
      <c r="D43" s="335">
        <v>0</v>
      </c>
      <c r="E43" s="335">
        <v>3</v>
      </c>
      <c r="F43" s="335">
        <v>18476.1063439504</v>
      </c>
    </row>
    <row r="44" spans="1:6">
      <c r="A44" s="1269" t="s">
        <v>32</v>
      </c>
      <c r="B44" s="1269" t="s">
        <v>36</v>
      </c>
      <c r="C44" s="335">
        <v>26</v>
      </c>
      <c r="D44" s="335">
        <v>10431254.2040038</v>
      </c>
      <c r="E44" s="335">
        <v>71</v>
      </c>
      <c r="F44" s="335">
        <v>11810610.8981164</v>
      </c>
    </row>
    <row r="45" spans="1:6">
      <c r="A45" s="1269" t="s">
        <v>32</v>
      </c>
      <c r="B45" s="1269" t="s">
        <v>37</v>
      </c>
      <c r="C45" s="335">
        <v>0</v>
      </c>
      <c r="D45" s="335">
        <v>0</v>
      </c>
      <c r="E45" s="335">
        <v>12</v>
      </c>
      <c r="F45" s="335">
        <v>264670.01680437202</v>
      </c>
    </row>
    <row r="46" spans="1:6">
      <c r="A46" s="1269" t="s">
        <v>32</v>
      </c>
      <c r="B46" s="1269" t="s">
        <v>38</v>
      </c>
      <c r="C46" s="335">
        <v>0</v>
      </c>
      <c r="D46" s="335">
        <v>0</v>
      </c>
      <c r="E46" s="335">
        <v>0</v>
      </c>
      <c r="F46" s="335">
        <v>0</v>
      </c>
    </row>
    <row r="47" spans="1:6">
      <c r="A47" s="1269" t="s">
        <v>32</v>
      </c>
      <c r="B47" s="1269" t="s">
        <v>39</v>
      </c>
      <c r="C47" s="335">
        <v>19</v>
      </c>
      <c r="D47" s="335">
        <v>1993919.07248431</v>
      </c>
      <c r="E47" s="335">
        <v>22</v>
      </c>
      <c r="F47" s="335">
        <v>2205726.3627236802</v>
      </c>
    </row>
    <row r="48" spans="1:6">
      <c r="A48" s="1269" t="s">
        <v>32</v>
      </c>
      <c r="B48" s="1269" t="s">
        <v>29</v>
      </c>
      <c r="C48" s="335">
        <v>80</v>
      </c>
      <c r="D48" s="335">
        <v>29840256.8055319</v>
      </c>
      <c r="E48" s="335">
        <v>101</v>
      </c>
      <c r="F48" s="335">
        <v>28948801.1784175</v>
      </c>
    </row>
    <row r="49" spans="1:6">
      <c r="A49" s="1269" t="s">
        <v>32</v>
      </c>
      <c r="B49" s="1269" t="s">
        <v>40</v>
      </c>
      <c r="C49" s="335">
        <v>11</v>
      </c>
      <c r="D49" s="335">
        <v>8609359.6559890695</v>
      </c>
      <c r="E49" s="335">
        <v>28</v>
      </c>
      <c r="F49" s="335">
        <v>3612613.6541108801</v>
      </c>
    </row>
    <row r="50" spans="1:6">
      <c r="A50" s="1269" t="s">
        <v>32</v>
      </c>
      <c r="B50" s="1269" t="s">
        <v>41</v>
      </c>
      <c r="C50" s="335">
        <v>37</v>
      </c>
      <c r="D50" s="335">
        <v>8464222.0636538193</v>
      </c>
      <c r="E50" s="335">
        <v>60</v>
      </c>
      <c r="F50" s="335">
        <v>13937756.5652373</v>
      </c>
    </row>
    <row r="51" spans="1:6">
      <c r="A51" s="1269" t="s">
        <v>42</v>
      </c>
      <c r="B51" s="1269" t="s">
        <v>43</v>
      </c>
      <c r="C51" s="335">
        <v>20</v>
      </c>
      <c r="D51" s="335">
        <v>468839.49637156702</v>
      </c>
      <c r="E51" s="335">
        <v>171</v>
      </c>
      <c r="F51" s="335">
        <v>3256830.3383430098</v>
      </c>
    </row>
    <row r="52" spans="1:6">
      <c r="A52" s="1269" t="s">
        <v>42</v>
      </c>
      <c r="B52" s="1269" t="s">
        <v>29</v>
      </c>
      <c r="C52" s="335">
        <v>18</v>
      </c>
      <c r="D52" s="335">
        <v>2078458.1908241699</v>
      </c>
      <c r="E52" s="335">
        <v>22</v>
      </c>
      <c r="F52" s="335">
        <v>732981.19684909796</v>
      </c>
    </row>
    <row r="53" spans="1:6">
      <c r="A53" s="1269" t="s">
        <v>44</v>
      </c>
      <c r="B53" s="1269" t="s">
        <v>45</v>
      </c>
      <c r="C53" s="335">
        <v>615</v>
      </c>
      <c r="D53" s="335">
        <v>15895244.124189001</v>
      </c>
      <c r="E53" s="335">
        <v>1128</v>
      </c>
      <c r="F53" s="335">
        <v>4879207.52103398</v>
      </c>
    </row>
    <row r="54" spans="1:6">
      <c r="A54" s="1269" t="s">
        <v>46</v>
      </c>
      <c r="B54" s="1269" t="s">
        <v>47</v>
      </c>
      <c r="C54" s="335">
        <v>0</v>
      </c>
      <c r="D54" s="335">
        <v>0</v>
      </c>
      <c r="E54" s="335">
        <v>1</v>
      </c>
      <c r="F54" s="335">
        <v>3617559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289</v>
      </c>
      <c r="D57" s="335">
        <v>22569779.335669801</v>
      </c>
      <c r="E57" s="335">
        <v>484</v>
      </c>
      <c r="F57" s="335">
        <v>12950763.2771955</v>
      </c>
    </row>
    <row r="58" spans="1:6">
      <c r="A58" s="1269" t="s">
        <v>49</v>
      </c>
      <c r="B58" s="1269" t="s">
        <v>51</v>
      </c>
      <c r="C58" s="335">
        <v>195</v>
      </c>
      <c r="D58" s="335">
        <v>42361565.471851103</v>
      </c>
      <c r="E58" s="335">
        <v>259</v>
      </c>
      <c r="F58" s="335">
        <v>17892417.4043051</v>
      </c>
    </row>
    <row r="59" spans="1:6">
      <c r="A59" s="1269" t="s">
        <v>49</v>
      </c>
      <c r="B59" s="1269" t="s">
        <v>52</v>
      </c>
      <c r="C59" s="335">
        <v>632</v>
      </c>
      <c r="D59" s="335">
        <v>40048525.381554604</v>
      </c>
      <c r="E59" s="335">
        <v>1104</v>
      </c>
      <c r="F59" s="335">
        <v>45011825.942549601</v>
      </c>
    </row>
    <row r="60" spans="1:6">
      <c r="A60" s="1269" t="s">
        <v>49</v>
      </c>
      <c r="B60" s="1269" t="s">
        <v>53</v>
      </c>
      <c r="C60" s="335">
        <v>248</v>
      </c>
      <c r="D60" s="335">
        <v>13219071.1173508</v>
      </c>
      <c r="E60" s="335">
        <v>319</v>
      </c>
      <c r="F60" s="335">
        <v>9750338.4458601698</v>
      </c>
    </row>
    <row r="61" spans="1:6">
      <c r="A61" s="1269" t="s">
        <v>49</v>
      </c>
      <c r="B61" s="1269" t="s">
        <v>54</v>
      </c>
      <c r="C61" s="335">
        <v>687</v>
      </c>
      <c r="D61" s="335">
        <v>59186445.8421712</v>
      </c>
      <c r="E61" s="335">
        <v>1529</v>
      </c>
      <c r="F61" s="335">
        <v>29349781.656636801</v>
      </c>
    </row>
    <row r="62" spans="1:6">
      <c r="A62" s="1269" t="s">
        <v>49</v>
      </c>
      <c r="B62" s="1269" t="s">
        <v>55</v>
      </c>
      <c r="C62" s="335">
        <v>69</v>
      </c>
      <c r="D62" s="335">
        <v>12020323.0319192</v>
      </c>
      <c r="E62" s="335">
        <v>76</v>
      </c>
      <c r="F62" s="335">
        <v>3699687.7770256801</v>
      </c>
    </row>
    <row r="63" spans="1:6">
      <c r="A63" s="1269" t="s">
        <v>49</v>
      </c>
      <c r="B63" s="1269" t="s">
        <v>29</v>
      </c>
      <c r="C63" s="335">
        <v>208</v>
      </c>
      <c r="D63" s="335">
        <v>14439597.354627401</v>
      </c>
      <c r="E63" s="335">
        <v>263</v>
      </c>
      <c r="F63" s="335">
        <v>10197228.775901901</v>
      </c>
    </row>
    <row r="64" spans="1:6">
      <c r="A64" s="1269" t="s">
        <v>56</v>
      </c>
      <c r="B64" s="1269" t="s">
        <v>57</v>
      </c>
      <c r="C64" s="335">
        <v>0</v>
      </c>
      <c r="D64" s="335">
        <v>0</v>
      </c>
      <c r="E64" s="335">
        <v>0</v>
      </c>
      <c r="F64" s="335">
        <v>0</v>
      </c>
    </row>
    <row r="65" spans="1:6">
      <c r="A65" s="1269" t="s">
        <v>56</v>
      </c>
      <c r="B65" s="1269" t="s">
        <v>29</v>
      </c>
      <c r="C65" s="335">
        <v>5</v>
      </c>
      <c r="D65" s="335">
        <v>103927.823973158</v>
      </c>
      <c r="E65" s="335">
        <v>6</v>
      </c>
      <c r="F65" s="335">
        <v>41077.719648040598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10</v>
      </c>
      <c r="D68" s="335">
        <v>185666.65318679</v>
      </c>
      <c r="E68" s="335">
        <v>40</v>
      </c>
      <c r="F68" s="335">
        <v>357300.15029189602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164857679</v>
      </c>
      <c r="E73" s="335">
        <v>171800236.35742125</v>
      </c>
    </row>
    <row r="74" spans="1:6">
      <c r="A74" s="1269" t="s">
        <v>64</v>
      </c>
      <c r="B74" s="1269" t="s">
        <v>727</v>
      </c>
      <c r="C74" s="1269" t="s">
        <v>728</v>
      </c>
      <c r="D74" s="335">
        <v>18709403.555861872</v>
      </c>
      <c r="E74" s="335">
        <v>19914514.495293826</v>
      </c>
    </row>
    <row r="75" spans="1:6">
      <c r="A75" s="1269" t="s">
        <v>65</v>
      </c>
      <c r="B75" s="1269" t="s">
        <v>725</v>
      </c>
      <c r="C75" s="1269" t="s">
        <v>729</v>
      </c>
      <c r="D75" s="335">
        <v>159395001</v>
      </c>
      <c r="E75" s="335">
        <v>168387097.71443754</v>
      </c>
    </row>
    <row r="76" spans="1:6">
      <c r="A76" s="1269" t="s">
        <v>65</v>
      </c>
      <c r="B76" s="1269" t="s">
        <v>727</v>
      </c>
      <c r="C76" s="1269" t="s">
        <v>730</v>
      </c>
      <c r="D76" s="335">
        <v>10050589.555861874</v>
      </c>
      <c r="E76" s="335">
        <v>10766657.859276945</v>
      </c>
    </row>
    <row r="77" spans="1:6">
      <c r="A77" s="1269" t="s">
        <v>66</v>
      </c>
      <c r="B77" s="1269" t="s">
        <v>725</v>
      </c>
      <c r="C77" s="1269" t="s">
        <v>731</v>
      </c>
      <c r="D77" s="335">
        <v>129152130</v>
      </c>
      <c r="E77" s="335">
        <v>142943238.68607464</v>
      </c>
    </row>
    <row r="78" spans="1:6">
      <c r="A78" s="1265" t="s">
        <v>66</v>
      </c>
      <c r="B78" s="1265" t="s">
        <v>727</v>
      </c>
      <c r="C78" s="1265" t="s">
        <v>732</v>
      </c>
      <c r="D78" s="1265">
        <v>31135741</v>
      </c>
      <c r="E78" s="1265">
        <v>33691105.249666251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2770146.8882762534</v>
      </c>
      <c r="C83" s="335">
        <v>2764532.4320269227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9471.5314263612818</v>
      </c>
    </row>
    <row r="92" spans="1:6">
      <c r="A92" s="1265" t="s">
        <v>69</v>
      </c>
      <c r="B92" s="338">
        <v>11172.994043472179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16810</v>
      </c>
    </row>
    <row r="98" spans="1:6">
      <c r="A98" s="1269" t="s">
        <v>72</v>
      </c>
      <c r="B98" s="335">
        <v>15</v>
      </c>
    </row>
    <row r="99" spans="1:6">
      <c r="A99" s="1269" t="s">
        <v>73</v>
      </c>
      <c r="B99" s="335">
        <v>215</v>
      </c>
    </row>
    <row r="100" spans="1:6">
      <c r="A100" s="1269" t="s">
        <v>74</v>
      </c>
      <c r="B100" s="335">
        <v>2077</v>
      </c>
    </row>
    <row r="101" spans="1:6">
      <c r="A101" s="1269" t="s">
        <v>75</v>
      </c>
      <c r="B101" s="335">
        <v>290</v>
      </c>
    </row>
    <row r="102" spans="1:6">
      <c r="A102" s="1269" t="s">
        <v>76</v>
      </c>
      <c r="B102" s="335">
        <v>856</v>
      </c>
    </row>
    <row r="103" spans="1:6">
      <c r="A103" s="1269" t="s">
        <v>77</v>
      </c>
      <c r="B103" s="335">
        <v>965</v>
      </c>
    </row>
    <row r="104" spans="1:6">
      <c r="A104" s="1269" t="s">
        <v>78</v>
      </c>
      <c r="B104" s="335">
        <v>6412</v>
      </c>
    </row>
    <row r="105" spans="1:6">
      <c r="A105" s="1265" t="s">
        <v>79</v>
      </c>
      <c r="B105" s="1265">
        <v>32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46</v>
      </c>
      <c r="C123" s="335">
        <v>46</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305</v>
      </c>
    </row>
    <row r="130" spans="1:6">
      <c r="A130" s="1269" t="s">
        <v>295</v>
      </c>
      <c r="B130" s="335">
        <v>9</v>
      </c>
    </row>
    <row r="131" spans="1:6">
      <c r="A131" s="1269" t="s">
        <v>296</v>
      </c>
      <c r="B131" s="335">
        <v>10</v>
      </c>
    </row>
    <row r="132" spans="1:6">
      <c r="A132" s="1265" t="s">
        <v>297</v>
      </c>
      <c r="B132" s="338">
        <v>34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325656.92031648417</v>
      </c>
      <c r="C3" s="43" t="s">
        <v>170</v>
      </c>
      <c r="D3" s="43"/>
      <c r="E3" s="156"/>
      <c r="F3" s="43"/>
      <c r="G3" s="43"/>
      <c r="H3" s="43"/>
      <c r="I3" s="43"/>
      <c r="J3" s="43"/>
      <c r="K3" s="96"/>
    </row>
    <row r="4" spans="1:11">
      <c r="A4" s="366" t="s">
        <v>171</v>
      </c>
      <c r="B4" s="49">
        <f>IF(ISERROR('SEAP template'!B69),0,'SEAP template'!B69)</f>
        <v>21228.025469833461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138.66705882352946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0.20701986849969234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198.09579831932777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833.57142857142856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3617.5590000000002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3617.5590000000002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0.20701986849969234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748.90658846987856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109871.89687102679</v>
      </c>
      <c r="C5" s="17">
        <f>IF(ISERROR('Eigen informatie GS &amp; warmtenet'!B57),0,'Eigen informatie GS &amp; warmtenet'!B57)</f>
        <v>0</v>
      </c>
      <c r="D5" s="30">
        <f>(SUM(HH_hh_gas_kWh,HH_rest_gas_kWh)/1000)*0.902</f>
        <v>333785.38273802819</v>
      </c>
      <c r="E5" s="17">
        <f>B46*B57</f>
        <v>11453.594473804469</v>
      </c>
      <c r="F5" s="17">
        <f>B51*B62</f>
        <v>28708.194083184291</v>
      </c>
      <c r="G5" s="18"/>
      <c r="H5" s="17"/>
      <c r="I5" s="17"/>
      <c r="J5" s="17">
        <f>B50*B61+C50*C61</f>
        <v>15406.680331701502</v>
      </c>
      <c r="K5" s="17"/>
      <c r="L5" s="17"/>
      <c r="M5" s="17"/>
      <c r="N5" s="17">
        <f>B48*B59+C48*C59</f>
        <v>57917.307974144111</v>
      </c>
      <c r="O5" s="17">
        <f>B69*B70*B71</f>
        <v>554.98333333333335</v>
      </c>
      <c r="P5" s="17">
        <f>B77*B78*B79/1000-B77*B78*B79/1000/B80</f>
        <v>1601.6</v>
      </c>
    </row>
    <row r="6" spans="1:16">
      <c r="A6" s="16" t="s">
        <v>634</v>
      </c>
      <c r="B6" s="831">
        <f>kWh_PV_kleiner_dan_10kW</f>
        <v>9471.5314263612818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119343.42829738808</v>
      </c>
      <c r="C8" s="21">
        <f>C5</f>
        <v>0</v>
      </c>
      <c r="D8" s="21">
        <f>D5</f>
        <v>333785.38273802819</v>
      </c>
      <c r="E8" s="21">
        <f>E5</f>
        <v>11453.594473804469</v>
      </c>
      <c r="F8" s="21">
        <f>F5</f>
        <v>28708.194083184291</v>
      </c>
      <c r="G8" s="21"/>
      <c r="H8" s="21"/>
      <c r="I8" s="21"/>
      <c r="J8" s="21">
        <f>J5</f>
        <v>15406.680331701502</v>
      </c>
      <c r="K8" s="21"/>
      <c r="L8" s="21">
        <f>L5</f>
        <v>0</v>
      </c>
      <c r="M8" s="21">
        <f>M5</f>
        <v>0</v>
      </c>
      <c r="N8" s="21">
        <f>N5</f>
        <v>57917.307974144111</v>
      </c>
      <c r="O8" s="21">
        <f>O5</f>
        <v>554.98333333333335</v>
      </c>
      <c r="P8" s="21">
        <f>P5</f>
        <v>1601.6</v>
      </c>
    </row>
    <row r="9" spans="1:16">
      <c r="B9" s="19"/>
      <c r="C9" s="19"/>
      <c r="D9" s="261"/>
      <c r="E9" s="19"/>
      <c r="F9" s="19"/>
      <c r="G9" s="19"/>
      <c r="H9" s="19"/>
      <c r="I9" s="19"/>
      <c r="J9" s="19"/>
      <c r="K9" s="19"/>
      <c r="L9" s="19"/>
      <c r="M9" s="19"/>
      <c r="N9" s="19"/>
      <c r="O9" s="19"/>
      <c r="P9" s="19"/>
    </row>
    <row r="10" spans="1:16">
      <c r="A10" s="24" t="s">
        <v>214</v>
      </c>
      <c r="B10" s="25">
        <f ca="1">'EF ele_warmte'!B12</f>
        <v>0.20701986849969234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24706.46083242774</v>
      </c>
      <c r="C12" s="23">
        <f ca="1">C10*C8</f>
        <v>0</v>
      </c>
      <c r="D12" s="23">
        <f>D8*D10</f>
        <v>67424.647313081703</v>
      </c>
      <c r="E12" s="23">
        <f>E10*E8</f>
        <v>2599.9659455536143</v>
      </c>
      <c r="F12" s="23">
        <f>F10*F8</f>
        <v>7665.0878202102058</v>
      </c>
      <c r="G12" s="23"/>
      <c r="H12" s="23"/>
      <c r="I12" s="23"/>
      <c r="J12" s="23">
        <f>J10*J8</f>
        <v>5453.9648374223316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16810</v>
      </c>
      <c r="C18" s="168" t="s">
        <v>111</v>
      </c>
      <c r="D18" s="230"/>
      <c r="E18" s="15"/>
    </row>
    <row r="19" spans="1:7">
      <c r="A19" s="173" t="s">
        <v>72</v>
      </c>
      <c r="B19" s="37">
        <f>aantalw2001_ander</f>
        <v>15</v>
      </c>
      <c r="C19" s="168" t="s">
        <v>111</v>
      </c>
      <c r="D19" s="231"/>
      <c r="E19" s="15"/>
    </row>
    <row r="20" spans="1:7">
      <c r="A20" s="173" t="s">
        <v>73</v>
      </c>
      <c r="B20" s="37">
        <f>aantalw2001_propaan</f>
        <v>215</v>
      </c>
      <c r="C20" s="169">
        <f>IF(ISERROR(B20/SUM($B$20,$B$21,$B$22)*100),0,B20/SUM($B$20,$B$21,$B$22)*100)</f>
        <v>8.3268783888458557</v>
      </c>
      <c r="D20" s="231"/>
      <c r="E20" s="15"/>
    </row>
    <row r="21" spans="1:7">
      <c r="A21" s="173" t="s">
        <v>74</v>
      </c>
      <c r="B21" s="37">
        <f>aantalw2001_elektriciteit</f>
        <v>2077</v>
      </c>
      <c r="C21" s="169">
        <f>IF(ISERROR(B21/SUM($B$20,$B$21,$B$22)*100),0,B21/SUM($B$20,$B$21,$B$22)*100)</f>
        <v>80.441518202943456</v>
      </c>
      <c r="D21" s="231"/>
      <c r="E21" s="15"/>
    </row>
    <row r="22" spans="1:7">
      <c r="A22" s="173" t="s">
        <v>75</v>
      </c>
      <c r="B22" s="37">
        <f>aantalw2001_hout</f>
        <v>290</v>
      </c>
      <c r="C22" s="169">
        <f>IF(ISERROR(B22/SUM($B$20,$B$21,$B$22)*100),0,B22/SUM($B$20,$B$21,$B$22)*100)</f>
        <v>11.23160340821069</v>
      </c>
      <c r="D22" s="231"/>
      <c r="E22" s="15"/>
    </row>
    <row r="23" spans="1:7">
      <c r="A23" s="173" t="s">
        <v>76</v>
      </c>
      <c r="B23" s="37">
        <f>aantalw2001_niet_gespec</f>
        <v>856</v>
      </c>
      <c r="C23" s="168" t="s">
        <v>111</v>
      </c>
      <c r="D23" s="230"/>
      <c r="E23" s="15"/>
    </row>
    <row r="24" spans="1:7">
      <c r="A24" s="173" t="s">
        <v>77</v>
      </c>
      <c r="B24" s="37">
        <f>aantalw2001_steenkool</f>
        <v>965</v>
      </c>
      <c r="C24" s="168" t="s">
        <v>111</v>
      </c>
      <c r="D24" s="231"/>
      <c r="E24" s="15"/>
    </row>
    <row r="25" spans="1:7">
      <c r="A25" s="173" t="s">
        <v>78</v>
      </c>
      <c r="B25" s="37">
        <f>aantalw2001_stookolie</f>
        <v>6412</v>
      </c>
      <c r="C25" s="168" t="s">
        <v>111</v>
      </c>
      <c r="D25" s="230"/>
      <c r="E25" s="52"/>
    </row>
    <row r="26" spans="1:7">
      <c r="A26" s="173" t="s">
        <v>79</v>
      </c>
      <c r="B26" s="37">
        <f>aantalw2001_WP</f>
        <v>32</v>
      </c>
      <c r="C26" s="168" t="s">
        <v>111</v>
      </c>
      <c r="D26" s="230"/>
      <c r="E26" s="15"/>
    </row>
    <row r="27" spans="1:7" s="15" customFormat="1">
      <c r="A27" s="173"/>
      <c r="B27" s="29"/>
      <c r="C27" s="36"/>
      <c r="D27" s="230"/>
    </row>
    <row r="28" spans="1:7" s="15" customFormat="1">
      <c r="A28" s="232" t="s">
        <v>745</v>
      </c>
      <c r="B28" s="37">
        <f>aantalHuishoudens2011</f>
        <v>30872</v>
      </c>
      <c r="C28" s="36"/>
      <c r="D28" s="230"/>
    </row>
    <row r="29" spans="1:7" s="15" customFormat="1">
      <c r="A29" s="232" t="s">
        <v>746</v>
      </c>
      <c r="B29" s="37">
        <f>SUM(HH_hh_gas_aantal,HH_rest_gas_aantal)</f>
        <v>22673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22673</v>
      </c>
      <c r="C32" s="169">
        <f>IF(ISERROR(B32/SUM($B$32,$B$34,$B$35,$B$36,$B$38,$B$39)*100),0,B32/SUM($B$32,$B$34,$B$35,$B$36,$B$38,$B$39)*100)</f>
        <v>73.642328179810306</v>
      </c>
      <c r="D32" s="235"/>
      <c r="G32" s="15"/>
    </row>
    <row r="33" spans="1:7">
      <c r="A33" s="173" t="s">
        <v>72</v>
      </c>
      <c r="B33" s="34" t="s">
        <v>111</v>
      </c>
      <c r="C33" s="169"/>
      <c r="D33" s="235"/>
      <c r="G33" s="15"/>
    </row>
    <row r="34" spans="1:7">
      <c r="A34" s="173" t="s">
        <v>73</v>
      </c>
      <c r="B34" s="33">
        <f>IF((($B$28-$B$32-$B$39-$B$77-$B$38)*C20/100)&lt;0,0,($B$28-$B$32-$B$39-$B$77-$B$38)*C20/100)</f>
        <v>549.65724244771491</v>
      </c>
      <c r="C34" s="169">
        <f>IF(ISERROR(B34/SUM($B$32,$B$34,$B$35,$B$36,$B$38,$B$39)*100),0,B34/SUM($B$32,$B$34,$B$35,$B$36,$B$38,$B$39)*100)</f>
        <v>1.7852970067809373</v>
      </c>
      <c r="D34" s="235"/>
      <c r="G34" s="15"/>
    </row>
    <row r="35" spans="1:7">
      <c r="A35" s="173" t="s">
        <v>74</v>
      </c>
      <c r="B35" s="33">
        <f>IF((($B$28-$B$32-$B$39-$B$77-$B$38)*C21/100)&lt;0,0,($B$28-$B$32-$B$39-$B$77-$B$38)*C21/100)</f>
        <v>5309.9446165762965</v>
      </c>
      <c r="C35" s="169">
        <f>IF(ISERROR(B35/SUM($B$32,$B$34,$B$35,$B$36,$B$38,$B$39)*100),0,B35/SUM($B$32,$B$34,$B$35,$B$36,$B$38,$B$39)*100)</f>
        <v>17.246799456204677</v>
      </c>
      <c r="D35" s="235"/>
      <c r="G35" s="15"/>
    </row>
    <row r="36" spans="1:7">
      <c r="A36" s="173" t="s">
        <v>75</v>
      </c>
      <c r="B36" s="33">
        <f>IF((($B$28-$B$32-$B$39-$B$77-$B$38)*C22/100)&lt;0,0,($B$28-$B$32-$B$39-$B$77-$B$38)*C22/100)</f>
        <v>741.39814097598764</v>
      </c>
      <c r="C36" s="169">
        <f>IF(ISERROR(B36/SUM($B$32,$B$34,$B$35,$B$36,$B$38,$B$39)*100),0,B36/SUM($B$32,$B$34,$B$35,$B$36,$B$38,$B$39)*100)</f>
        <v>2.4080750324021944</v>
      </c>
      <c r="D36" s="235"/>
      <c r="G36" s="15"/>
    </row>
    <row r="37" spans="1:7">
      <c r="A37" s="173" t="s">
        <v>76</v>
      </c>
      <c r="B37" s="34" t="s">
        <v>111</v>
      </c>
      <c r="C37" s="169"/>
      <c r="D37" s="175"/>
      <c r="G37" s="15"/>
    </row>
    <row r="38" spans="1:7">
      <c r="A38" s="173" t="s">
        <v>77</v>
      </c>
      <c r="B38" s="33">
        <f>IF((B24-(B29-B18)*0.1)&lt;0,0,B24-(B29-B18)*0.1)</f>
        <v>378.69999999999993</v>
      </c>
      <c r="C38" s="169">
        <f>IF(ISERROR(B38/SUM($B$32,$B$34,$B$35,$B$36,$B$38,$B$39)*100),0,B38/SUM($B$32,$B$34,$B$35,$B$36,$B$38,$B$39)*100)</f>
        <v>1.230024684942185</v>
      </c>
      <c r="D38" s="236"/>
      <c r="G38" s="15"/>
    </row>
    <row r="39" spans="1:7">
      <c r="A39" s="173" t="s">
        <v>78</v>
      </c>
      <c r="B39" s="33">
        <f>IF((B25-(B29-B18))&lt;0,0,B25-(B29-B18)*0.9)</f>
        <v>1135.3000000000002</v>
      </c>
      <c r="C39" s="169">
        <f>IF(ISERROR(B39/SUM($B$32,$B$34,$B$35,$B$36,$B$38,$B$39)*100),0,B39/SUM($B$32,$B$34,$B$35,$B$36,$B$38,$B$39)*100)</f>
        <v>3.6874756398596857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22673</v>
      </c>
      <c r="C44" s="34" t="s">
        <v>111</v>
      </c>
      <c r="D44" s="176"/>
    </row>
    <row r="45" spans="1:7">
      <c r="A45" s="173" t="s">
        <v>72</v>
      </c>
      <c r="B45" s="33" t="str">
        <f t="shared" si="0"/>
        <v>-</v>
      </c>
      <c r="C45" s="34" t="s">
        <v>111</v>
      </c>
      <c r="D45" s="176"/>
    </row>
    <row r="46" spans="1:7">
      <c r="A46" s="173" t="s">
        <v>73</v>
      </c>
      <c r="B46" s="33">
        <f t="shared" si="0"/>
        <v>549.65724244771491</v>
      </c>
      <c r="C46" s="34" t="s">
        <v>111</v>
      </c>
      <c r="D46" s="176"/>
    </row>
    <row r="47" spans="1:7">
      <c r="A47" s="173" t="s">
        <v>74</v>
      </c>
      <c r="B47" s="33">
        <f t="shared" si="0"/>
        <v>5309.9446165762965</v>
      </c>
      <c r="C47" s="34" t="s">
        <v>111</v>
      </c>
      <c r="D47" s="176"/>
    </row>
    <row r="48" spans="1:7">
      <c r="A48" s="173" t="s">
        <v>75</v>
      </c>
      <c r="B48" s="33">
        <f t="shared" si="0"/>
        <v>741.39814097598764</v>
      </c>
      <c r="C48" s="33">
        <f>B48*10</f>
        <v>7413.9814097598764</v>
      </c>
      <c r="D48" s="236"/>
    </row>
    <row r="49" spans="1:6">
      <c r="A49" s="173" t="s">
        <v>76</v>
      </c>
      <c r="B49" s="33" t="str">
        <f t="shared" si="0"/>
        <v>-</v>
      </c>
      <c r="C49" s="34" t="s">
        <v>111</v>
      </c>
      <c r="D49" s="236"/>
    </row>
    <row r="50" spans="1:6">
      <c r="A50" s="173" t="s">
        <v>77</v>
      </c>
      <c r="B50" s="33">
        <f t="shared" si="0"/>
        <v>378.69999999999993</v>
      </c>
      <c r="C50" s="33">
        <f>B50*2</f>
        <v>757.39999999999986</v>
      </c>
      <c r="D50" s="236"/>
    </row>
    <row r="51" spans="1:6">
      <c r="A51" s="173" t="s">
        <v>78</v>
      </c>
      <c r="B51" s="33">
        <f t="shared" si="0"/>
        <v>1135.3000000000002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128852.04327947475</v>
      </c>
      <c r="C5" s="17">
        <f>IF(ISERROR('Eigen informatie GS &amp; warmtenet'!B58),0,'Eigen informatie GS &amp; warmtenet'!B58)</f>
        <v>0</v>
      </c>
      <c r="D5" s="30">
        <f>SUM(D6:D12)</f>
        <v>183868.46739670003</v>
      </c>
      <c r="E5" s="17">
        <f>SUM(E6:E12)</f>
        <v>1517.834000867028</v>
      </c>
      <c r="F5" s="17">
        <f>SUM(F6:F12)</f>
        <v>25212.857038831611</v>
      </c>
      <c r="G5" s="18"/>
      <c r="H5" s="17"/>
      <c r="I5" s="17"/>
      <c r="J5" s="17">
        <f>SUM(J6:J12)</f>
        <v>0</v>
      </c>
      <c r="K5" s="17"/>
      <c r="L5" s="17"/>
      <c r="M5" s="17"/>
      <c r="N5" s="17">
        <f>SUM(N6:N12)</f>
        <v>10161.96452710341</v>
      </c>
      <c r="O5" s="17">
        <f>B38*B39*B40</f>
        <v>14.070000000000002</v>
      </c>
      <c r="P5" s="17">
        <f>B46*B47*B48/1000-B46*B47*B48/1000/B49</f>
        <v>190.66666666666669</v>
      </c>
      <c r="R5" s="32"/>
    </row>
    <row r="6" spans="1:18">
      <c r="A6" s="32" t="s">
        <v>54</v>
      </c>
      <c r="B6" s="37">
        <f>B26</f>
        <v>29349.781656636802</v>
      </c>
      <c r="C6" s="33"/>
      <c r="D6" s="37">
        <f>IF(ISERROR(TER_kantoor_gas_kWh/1000),0,TER_kantoor_gas_kWh/1000)*0.902</f>
        <v>53386.17414963842</v>
      </c>
      <c r="E6" s="33">
        <f>$C$26*'E Balans VL '!I12/100/3.6*1000000</f>
        <v>114.03011544685157</v>
      </c>
      <c r="F6" s="33">
        <f>$C$26*('E Balans VL '!L12+'E Balans VL '!N12)/100/3.6*1000000</f>
        <v>4463.8347282533896</v>
      </c>
      <c r="G6" s="34"/>
      <c r="H6" s="33"/>
      <c r="I6" s="33"/>
      <c r="J6" s="33">
        <f>$C$26*('E Balans VL '!D12+'E Balans VL '!E12)/100/3.6*1000000</f>
        <v>0</v>
      </c>
      <c r="K6" s="33"/>
      <c r="L6" s="33"/>
      <c r="M6" s="33"/>
      <c r="N6" s="33">
        <f>$C$26*'E Balans VL '!Y12/100/3.6*1000000</f>
        <v>16.175245710060587</v>
      </c>
      <c r="O6" s="33"/>
      <c r="P6" s="33"/>
      <c r="R6" s="32"/>
    </row>
    <row r="7" spans="1:18">
      <c r="A7" s="32" t="s">
        <v>53</v>
      </c>
      <c r="B7" s="37">
        <f t="shared" ref="B7:B12" si="0">B27</f>
        <v>9750.3384458601704</v>
      </c>
      <c r="C7" s="33"/>
      <c r="D7" s="37">
        <f>IF(ISERROR(TER_horeca_gas_kWh/1000),0,TER_horeca_gas_kWh/1000)*0.902</f>
        <v>11923.602147850423</v>
      </c>
      <c r="E7" s="33">
        <f>$C$27*'E Balans VL '!I9/100/3.6*1000000</f>
        <v>549.23917146390136</v>
      </c>
      <c r="F7" s="33">
        <f>$C$27*('E Balans VL '!L9+'E Balans VL '!N9)/100/3.6*1000000</f>
        <v>2811.4138669398035</v>
      </c>
      <c r="G7" s="34"/>
      <c r="H7" s="33"/>
      <c r="I7" s="33"/>
      <c r="J7" s="33">
        <f>$C$27*('E Balans VL '!D9+'E Balans VL '!E9)/100/3.6*1000000</f>
        <v>0</v>
      </c>
      <c r="K7" s="33"/>
      <c r="L7" s="33"/>
      <c r="M7" s="33"/>
      <c r="N7" s="33">
        <f>$C$27*'E Balans VL '!Y9/100/3.6*1000000</f>
        <v>2.692017777376277</v>
      </c>
      <c r="O7" s="33"/>
      <c r="P7" s="33"/>
      <c r="R7" s="32"/>
    </row>
    <row r="8" spans="1:18">
      <c r="A8" s="6" t="s">
        <v>52</v>
      </c>
      <c r="B8" s="37">
        <f t="shared" si="0"/>
        <v>45011.8259425496</v>
      </c>
      <c r="C8" s="33"/>
      <c r="D8" s="37">
        <f>IF(ISERROR(TER_handel_gas_kWh/1000),0,TER_handel_gas_kWh/1000)*0.902</f>
        <v>36123.769894162251</v>
      </c>
      <c r="E8" s="33">
        <f>$C$28*'E Balans VL '!I13/100/3.6*1000000</f>
        <v>648.77312176663884</v>
      </c>
      <c r="F8" s="33">
        <f>$C$28*('E Balans VL '!L13+'E Balans VL '!N13)/100/3.6*1000000</f>
        <v>7819.6024209120451</v>
      </c>
      <c r="G8" s="34"/>
      <c r="H8" s="33"/>
      <c r="I8" s="33"/>
      <c r="J8" s="33">
        <f>$C$28*('E Balans VL '!D13+'E Balans VL '!E13)/100/3.6*1000000</f>
        <v>0</v>
      </c>
      <c r="K8" s="33"/>
      <c r="L8" s="33"/>
      <c r="M8" s="33"/>
      <c r="N8" s="33">
        <f>$C$28*'E Balans VL '!Y13/100/3.6*1000000</f>
        <v>134.86044134356618</v>
      </c>
      <c r="O8" s="33"/>
      <c r="P8" s="33"/>
      <c r="R8" s="32"/>
    </row>
    <row r="9" spans="1:18">
      <c r="A9" s="32" t="s">
        <v>51</v>
      </c>
      <c r="B9" s="37">
        <f t="shared" si="0"/>
        <v>17892.417404305099</v>
      </c>
      <c r="C9" s="33"/>
      <c r="D9" s="37">
        <f>IF(ISERROR(TER_gezond_gas_kWh/1000),0,TER_gezond_gas_kWh/1000)*0.902</f>
        <v>38210.132055609691</v>
      </c>
      <c r="E9" s="33">
        <f>$C$29*'E Balans VL '!I10/100/3.6*1000000</f>
        <v>19.11373933208063</v>
      </c>
      <c r="F9" s="33">
        <f>$C$29*('E Balans VL '!L10+'E Balans VL '!N10)/100/3.6*1000000</f>
        <v>2918.7970496122148</v>
      </c>
      <c r="G9" s="34"/>
      <c r="H9" s="33"/>
      <c r="I9" s="33"/>
      <c r="J9" s="33">
        <f>$C$29*('E Balans VL '!D10+'E Balans VL '!E10)/100/3.6*1000000</f>
        <v>0</v>
      </c>
      <c r="K9" s="33"/>
      <c r="L9" s="33"/>
      <c r="M9" s="33"/>
      <c r="N9" s="33">
        <f>$C$29*'E Balans VL '!Y10/100/3.6*1000000</f>
        <v>184.19222796762702</v>
      </c>
      <c r="O9" s="33"/>
      <c r="P9" s="33"/>
      <c r="R9" s="32"/>
    </row>
    <row r="10" spans="1:18">
      <c r="A10" s="32" t="s">
        <v>50</v>
      </c>
      <c r="B10" s="37">
        <f t="shared" si="0"/>
        <v>12950.7632771955</v>
      </c>
      <c r="C10" s="33"/>
      <c r="D10" s="37">
        <f>IF(ISERROR(TER_ander_gas_kWh/1000),0,TER_ander_gas_kWh/1000)*0.902</f>
        <v>20357.940960774162</v>
      </c>
      <c r="E10" s="33">
        <f>$C$30*'E Balans VL '!I14/100/3.6*1000000</f>
        <v>59.558590354490555</v>
      </c>
      <c r="F10" s="33">
        <f>$C$30*('E Balans VL '!L14+'E Balans VL '!N14)/100/3.6*1000000</f>
        <v>3881.7522579648789</v>
      </c>
      <c r="G10" s="34"/>
      <c r="H10" s="33"/>
      <c r="I10" s="33"/>
      <c r="J10" s="33">
        <f>$C$30*('E Balans VL '!D14+'E Balans VL '!E14)/100/3.6*1000000</f>
        <v>0</v>
      </c>
      <c r="K10" s="33"/>
      <c r="L10" s="33"/>
      <c r="M10" s="33"/>
      <c r="N10" s="33">
        <f>$C$30*'E Balans VL '!Y14/100/3.6*1000000</f>
        <v>9014.5861307670621</v>
      </c>
      <c r="O10" s="33"/>
      <c r="P10" s="33"/>
      <c r="R10" s="32"/>
    </row>
    <row r="11" spans="1:18">
      <c r="A11" s="32" t="s">
        <v>55</v>
      </c>
      <c r="B11" s="37">
        <f t="shared" si="0"/>
        <v>3699.6877770256801</v>
      </c>
      <c r="C11" s="33"/>
      <c r="D11" s="37">
        <f>IF(ISERROR(TER_onderwijs_gas_kWh/1000),0,TER_onderwijs_gas_kWh/1000)*0.902</f>
        <v>10842.33137479112</v>
      </c>
      <c r="E11" s="33">
        <f>$C$31*'E Balans VL '!I11/100/3.6*1000000</f>
        <v>3.4319469546106833</v>
      </c>
      <c r="F11" s="33">
        <f>$C$31*('E Balans VL '!L11+'E Balans VL '!N11)/100/3.6*1000000</f>
        <v>1299.6152848589882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10197.2287759019</v>
      </c>
      <c r="C12" s="33"/>
      <c r="D12" s="37">
        <f>IF(ISERROR(TER_rest_gas_kWh/1000),0,TER_rest_gas_kWh/1000)*0.902</f>
        <v>13024.516813873915</v>
      </c>
      <c r="E12" s="33">
        <f>$C$32*'E Balans VL '!I8/100/3.6*1000000</f>
        <v>123.68731554845381</v>
      </c>
      <c r="F12" s="33">
        <f>$C$32*('E Balans VL '!L8+'E Balans VL '!N8)/100/3.6*1000000</f>
        <v>2017.8414302902884</v>
      </c>
      <c r="G12" s="34"/>
      <c r="H12" s="33"/>
      <c r="I12" s="33"/>
      <c r="J12" s="33">
        <f>$C$32*('E Balans VL '!D8+'E Balans VL '!E8)/100/3.6*1000000</f>
        <v>0</v>
      </c>
      <c r="K12" s="33"/>
      <c r="L12" s="33"/>
      <c r="M12" s="33"/>
      <c r="N12" s="33">
        <f>$C$32*'E Balans VL '!Y8/100/3.6*1000000</f>
        <v>809.45846353771833</v>
      </c>
      <c r="O12" s="33"/>
      <c r="P12" s="33"/>
      <c r="R12" s="32"/>
    </row>
    <row r="13" spans="1:18">
      <c r="A13" s="16" t="s">
        <v>497</v>
      </c>
      <c r="B13" s="249">
        <f ca="1">'lokale energieproductie'!N90+'lokale energieproductie'!N59</f>
        <v>47.25</v>
      </c>
      <c r="C13" s="249">
        <f ca="1">'lokale energieproductie'!O90+'lokale energieproductie'!O59</f>
        <v>67.5</v>
      </c>
      <c r="D13" s="312">
        <f ca="1">('lokale energieproductie'!P59+'lokale energieproductie'!P90)*(-1)</f>
        <v>-135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128899.29327947475</v>
      </c>
      <c r="C16" s="21">
        <f t="shared" ca="1" si="1"/>
        <v>67.5</v>
      </c>
      <c r="D16" s="21">
        <f t="shared" ca="1" si="1"/>
        <v>183733.46739670003</v>
      </c>
      <c r="E16" s="21">
        <f t="shared" si="1"/>
        <v>1517.834000867028</v>
      </c>
      <c r="F16" s="21">
        <f t="shared" ca="1" si="1"/>
        <v>25212.857038831611</v>
      </c>
      <c r="G16" s="21">
        <f t="shared" si="1"/>
        <v>0</v>
      </c>
      <c r="H16" s="21">
        <f t="shared" si="1"/>
        <v>0</v>
      </c>
      <c r="I16" s="21">
        <f t="shared" si="1"/>
        <v>0</v>
      </c>
      <c r="J16" s="21">
        <f t="shared" si="1"/>
        <v>0</v>
      </c>
      <c r="K16" s="21">
        <f t="shared" si="1"/>
        <v>0</v>
      </c>
      <c r="L16" s="21">
        <f t="shared" ca="1" si="1"/>
        <v>0</v>
      </c>
      <c r="M16" s="21">
        <f t="shared" si="1"/>
        <v>0</v>
      </c>
      <c r="N16" s="21">
        <f t="shared" ca="1" si="1"/>
        <v>10161.96452710341</v>
      </c>
      <c r="O16" s="21">
        <f>O5</f>
        <v>14.070000000000002</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0.20701986849969234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26684.71474442014</v>
      </c>
      <c r="C20" s="23">
        <f t="shared" ref="C20:P20" ca="1" si="2">C16*C18</f>
        <v>16.041176470588237</v>
      </c>
      <c r="D20" s="23">
        <f t="shared" ca="1" si="2"/>
        <v>37114.16041413341</v>
      </c>
      <c r="E20" s="23">
        <f t="shared" si="2"/>
        <v>344.54831819681533</v>
      </c>
      <c r="F20" s="23">
        <f t="shared" ca="1" si="2"/>
        <v>6731.8328293680406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29349.781656636802</v>
      </c>
      <c r="C26" s="39">
        <f>IF(ISERROR(B26*3.6/1000000/'E Balans VL '!Z12*100),0,B26*3.6/1000000/'E Balans VL '!Z12*100)</f>
        <v>0.62340390037888527</v>
      </c>
      <c r="D26" s="239" t="s">
        <v>692</v>
      </c>
      <c r="F26" s="6"/>
    </row>
    <row r="27" spans="1:18">
      <c r="A27" s="233" t="s">
        <v>53</v>
      </c>
      <c r="B27" s="33">
        <f>IF(ISERROR(TER_horeca_ele_kWh/1000),0,TER_horeca_ele_kWh/1000)</f>
        <v>9750.3384458601704</v>
      </c>
      <c r="C27" s="39">
        <f>IF(ISERROR(B27*3.6/1000000/'E Balans VL '!Z9*100),0,B27*3.6/1000000/'E Balans VL '!Z9*100)</f>
        <v>0.75814819449017401</v>
      </c>
      <c r="D27" s="239" t="s">
        <v>692</v>
      </c>
      <c r="F27" s="6"/>
    </row>
    <row r="28" spans="1:18">
      <c r="A28" s="173" t="s">
        <v>52</v>
      </c>
      <c r="B28" s="33">
        <f>IF(ISERROR(TER_handel_ele_kWh/1000),0,TER_handel_ele_kWh/1000)</f>
        <v>45011.8259425496</v>
      </c>
      <c r="C28" s="39">
        <f>IF(ISERROR(B28*3.6/1000000/'E Balans VL '!Z13*100),0,B28*3.6/1000000/'E Balans VL '!Z13*100)</f>
        <v>1.2878413138362581</v>
      </c>
      <c r="D28" s="239" t="s">
        <v>692</v>
      </c>
      <c r="F28" s="6"/>
    </row>
    <row r="29" spans="1:18">
      <c r="A29" s="233" t="s">
        <v>51</v>
      </c>
      <c r="B29" s="33">
        <f>IF(ISERROR(TER_gezond_ele_kWh/1000),0,TER_gezond_ele_kWh/1000)</f>
        <v>17892.417404305099</v>
      </c>
      <c r="C29" s="39">
        <f>IF(ISERROR(B29*3.6/1000000/'E Balans VL '!Z10*100),0,B29*3.6/1000000/'E Balans VL '!Z10*100)</f>
        <v>1.950689266985687</v>
      </c>
      <c r="D29" s="239" t="s">
        <v>692</v>
      </c>
      <c r="F29" s="6"/>
    </row>
    <row r="30" spans="1:18">
      <c r="A30" s="233" t="s">
        <v>50</v>
      </c>
      <c r="B30" s="33">
        <f>IF(ISERROR(TER_ander_ele_kWh/1000),0,TER_ander_ele_kWh/1000)</f>
        <v>12950.7632771955</v>
      </c>
      <c r="C30" s="39">
        <f>IF(ISERROR(B30*3.6/1000000/'E Balans VL '!Z14*100),0,B30*3.6/1000000/'E Balans VL '!Z14*100)</f>
        <v>0.94770747851509363</v>
      </c>
      <c r="D30" s="239" t="s">
        <v>692</v>
      </c>
      <c r="F30" s="6"/>
    </row>
    <row r="31" spans="1:18">
      <c r="A31" s="233" t="s">
        <v>55</v>
      </c>
      <c r="B31" s="33">
        <f>IF(ISERROR(TER_onderwijs_ele_kWh/1000),0,TER_onderwijs_ele_kWh/1000)</f>
        <v>3699.6877770256801</v>
      </c>
      <c r="C31" s="39">
        <f>IF(ISERROR(B31*3.6/1000000/'E Balans VL '!Z11*100),0,B31*3.6/1000000/'E Balans VL '!Z11*100)</f>
        <v>0.74308503732799414</v>
      </c>
      <c r="D31" s="239" t="s">
        <v>692</v>
      </c>
    </row>
    <row r="32" spans="1:18">
      <c r="A32" s="233" t="s">
        <v>260</v>
      </c>
      <c r="B32" s="33">
        <f>IF(ISERROR(TER_rest_ele_kWh/1000),0,TER_rest_ele_kWh/1000)</f>
        <v>10197.2287759019</v>
      </c>
      <c r="C32" s="39">
        <f>IF(ISERROR(B32*3.6/1000000/'E Balans VL '!Z8*100),0,B32*3.6/1000000/'E Balans VL '!Z8*100)</f>
        <v>8.3101226139883175E-2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9</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69245.820512670776</v>
      </c>
      <c r="C5" s="17">
        <f>IF(ISERROR('Eigen informatie GS &amp; warmtenet'!B59),0,'Eigen informatie GS &amp; warmtenet'!B59)</f>
        <v>0</v>
      </c>
      <c r="D5" s="30">
        <f>SUM(D6:D15)</f>
        <v>64900.122625056145</v>
      </c>
      <c r="E5" s="17">
        <f>SUM(E6:E15)</f>
        <v>4797.1807563446237</v>
      </c>
      <c r="F5" s="17">
        <f>SUM(F6:F15)</f>
        <v>35165.894169080595</v>
      </c>
      <c r="G5" s="18"/>
      <c r="H5" s="17"/>
      <c r="I5" s="17"/>
      <c r="J5" s="17">
        <f>SUM(J6:J15)</f>
        <v>75.837639453948796</v>
      </c>
      <c r="K5" s="17"/>
      <c r="L5" s="17"/>
      <c r="M5" s="17"/>
      <c r="N5" s="17">
        <f>SUM(N6:N15)</f>
        <v>16896.72999580059</v>
      </c>
      <c r="O5" s="17">
        <f>B43*B44*B45</f>
        <v>0</v>
      </c>
      <c r="P5" s="17">
        <f>B51*B52*B53/1000-B51*B52*B53/1000/B54</f>
        <v>0</v>
      </c>
      <c r="R5" s="32"/>
    </row>
    <row r="6" spans="1:18">
      <c r="A6" s="6" t="s">
        <v>35</v>
      </c>
      <c r="B6" s="37">
        <f>IF( ISERROR(IND_ijzer_ele_kWh/1000),0,IND_ijzer_ele_kWh/1000)</f>
        <v>18.476106343950399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11810.6108981164</v>
      </c>
      <c r="C8" s="33"/>
      <c r="D8" s="37">
        <f>IF( ISERROR(IND_metaal_Gas_kWH/1000),0,IND_metaal_Gas_kWH/1000)*0.902</f>
        <v>9408.9912920114275</v>
      </c>
      <c r="E8" s="33">
        <f>C30*'E Balans VL '!I18/100/3.6*1000000</f>
        <v>339.2450765886785</v>
      </c>
      <c r="F8" s="33">
        <f>C30*'E Balans VL '!L18/100/3.6*1000000+C30*'E Balans VL '!N18/100/3.6*1000000</f>
        <v>3029.1945446751683</v>
      </c>
      <c r="G8" s="34"/>
      <c r="H8" s="33"/>
      <c r="I8" s="33"/>
      <c r="J8" s="40">
        <f>C30*'E Balans VL '!D18/100/3.6*1000000+C30*'E Balans VL '!E18/100/3.6*1000000</f>
        <v>0</v>
      </c>
      <c r="K8" s="33"/>
      <c r="L8" s="33"/>
      <c r="M8" s="33"/>
      <c r="N8" s="33">
        <f>C30*'E Balans VL '!Y18/100/3.6*1000000</f>
        <v>320.68219475639347</v>
      </c>
      <c r="O8" s="33"/>
      <c r="P8" s="33"/>
      <c r="R8" s="32"/>
    </row>
    <row r="9" spans="1:18">
      <c r="A9" s="6" t="s">
        <v>33</v>
      </c>
      <c r="B9" s="37">
        <f t="shared" si="0"/>
        <v>6167.8225866937501</v>
      </c>
      <c r="C9" s="33"/>
      <c r="D9" s="37">
        <f>IF( ISERROR(IND_andere_gas_kWh/1000),0,IND_andere_gas_kWh/1000)*0.902</f>
        <v>7440.7923149747285</v>
      </c>
      <c r="E9" s="33">
        <f>C31*'E Balans VL '!I19/100/3.6*1000000</f>
        <v>1669.4779257145969</v>
      </c>
      <c r="F9" s="33">
        <f>C31*'E Balans VL '!L19/100/3.6*1000000+C31*'E Balans VL '!N19/100/3.6*1000000</f>
        <v>4108.4225347086995</v>
      </c>
      <c r="G9" s="34"/>
      <c r="H9" s="33"/>
      <c r="I9" s="33"/>
      <c r="J9" s="40">
        <f>C31*'E Balans VL '!D19/100/3.6*1000000+C31*'E Balans VL '!E19/100/3.6*1000000</f>
        <v>0</v>
      </c>
      <c r="K9" s="33"/>
      <c r="L9" s="33"/>
      <c r="M9" s="33"/>
      <c r="N9" s="33">
        <f>C31*'E Balans VL '!Y19/100/3.6*1000000</f>
        <v>2013.6916182509572</v>
      </c>
      <c r="O9" s="33"/>
      <c r="P9" s="33"/>
      <c r="R9" s="32"/>
    </row>
    <row r="10" spans="1:18">
      <c r="A10" s="6" t="s">
        <v>41</v>
      </c>
      <c r="B10" s="37">
        <f t="shared" si="0"/>
        <v>13937.7565652373</v>
      </c>
      <c r="C10" s="33"/>
      <c r="D10" s="37">
        <f>IF( ISERROR(IND_voed_gas_kWh/1000),0,IND_voed_gas_kWh/1000)*0.902</f>
        <v>7634.7283014157447</v>
      </c>
      <c r="E10" s="33">
        <f>C32*'E Balans VL '!I20/100/3.6*1000000</f>
        <v>1136.7954466232288</v>
      </c>
      <c r="F10" s="33">
        <f>C32*'E Balans VL '!L20/100/3.6*1000000+C32*'E Balans VL '!N20/100/3.6*1000000</f>
        <v>20782.459582845397</v>
      </c>
      <c r="G10" s="34"/>
      <c r="H10" s="33"/>
      <c r="I10" s="33"/>
      <c r="J10" s="40">
        <f>C32*'E Balans VL '!D20/100/3.6*1000000+C32*'E Balans VL '!E20/100/3.6*1000000</f>
        <v>0.1843796011912017</v>
      </c>
      <c r="K10" s="33"/>
      <c r="L10" s="33"/>
      <c r="M10" s="33"/>
      <c r="N10" s="33">
        <f>C32*'E Balans VL '!Y20/100/3.6*1000000</f>
        <v>4094.4210684683931</v>
      </c>
      <c r="O10" s="33"/>
      <c r="P10" s="33"/>
      <c r="R10" s="32"/>
    </row>
    <row r="11" spans="1:18">
      <c r="A11" s="6" t="s">
        <v>40</v>
      </c>
      <c r="B11" s="37">
        <f t="shared" si="0"/>
        <v>3612.6136541108799</v>
      </c>
      <c r="C11" s="33"/>
      <c r="D11" s="37">
        <f>IF( ISERROR(IND_textiel_gas_kWh/1000),0,IND_textiel_gas_kWh/1000)*0.902</f>
        <v>7765.6424097021418</v>
      </c>
      <c r="E11" s="33">
        <f>C33*'E Balans VL '!I21/100/3.6*1000000</f>
        <v>0.71609393927156695</v>
      </c>
      <c r="F11" s="33">
        <f>C33*'E Balans VL '!L21/100/3.6*1000000+C33*'E Balans VL '!N21/100/3.6*1000000</f>
        <v>133.05691951319153</v>
      </c>
      <c r="G11" s="34"/>
      <c r="H11" s="33"/>
      <c r="I11" s="33"/>
      <c r="J11" s="40">
        <f>C33*'E Balans VL '!D21/100/3.6*1000000+C33*'E Balans VL '!E21/100/3.6*1000000</f>
        <v>0</v>
      </c>
      <c r="K11" s="33"/>
      <c r="L11" s="33"/>
      <c r="M11" s="33"/>
      <c r="N11" s="33">
        <f>C33*'E Balans VL '!Y21/100/3.6*1000000</f>
        <v>16.797741516753472</v>
      </c>
      <c r="O11" s="33"/>
      <c r="P11" s="33"/>
      <c r="R11" s="32"/>
    </row>
    <row r="12" spans="1:18">
      <c r="A12" s="6" t="s">
        <v>37</v>
      </c>
      <c r="B12" s="37">
        <f t="shared" si="0"/>
        <v>264.67001680437204</v>
      </c>
      <c r="C12" s="33"/>
      <c r="D12" s="37">
        <f>IF( ISERROR(IND_min_gas_kWh/1000),0,IND_min_gas_kWh/1000)*0.902</f>
        <v>0</v>
      </c>
      <c r="E12" s="33">
        <f>C34*'E Balans VL '!I22/100/3.6*1000000</f>
        <v>2.0617217617641148</v>
      </c>
      <c r="F12" s="33">
        <f>C34*'E Balans VL '!L22/100/3.6*1000000+C34*'E Balans VL '!N22/100/3.6*1000000</f>
        <v>99.817265869323109</v>
      </c>
      <c r="G12" s="34"/>
      <c r="H12" s="33"/>
      <c r="I12" s="33"/>
      <c r="J12" s="40">
        <f>C34*'E Balans VL '!D22/100/3.6*1000000+C34*'E Balans VL '!E22/100/3.6*1000000</f>
        <v>1.4556619515496729</v>
      </c>
      <c r="K12" s="33"/>
      <c r="L12" s="33"/>
      <c r="M12" s="33"/>
      <c r="N12" s="33">
        <f>C34*'E Balans VL '!Y22/100/3.6*1000000</f>
        <v>0</v>
      </c>
      <c r="O12" s="33"/>
      <c r="P12" s="33"/>
      <c r="R12" s="32"/>
    </row>
    <row r="13" spans="1:18">
      <c r="A13" s="6" t="s">
        <v>39</v>
      </c>
      <c r="B13" s="37">
        <f t="shared" si="0"/>
        <v>2205.7263627236803</v>
      </c>
      <c r="C13" s="33"/>
      <c r="D13" s="37">
        <f>IF( ISERROR(IND_papier_gas_kWh/1000),0,IND_papier_gas_kWh/1000)*0.902</f>
        <v>1798.5150033808477</v>
      </c>
      <c r="E13" s="33">
        <f>C35*'E Balans VL '!I23/100/3.6*1000000</f>
        <v>23.109001992563822</v>
      </c>
      <c r="F13" s="33">
        <f>C35*'E Balans VL '!L23/100/3.6*1000000+C35*'E Balans VL '!N23/100/3.6*1000000</f>
        <v>164.59169214268869</v>
      </c>
      <c r="G13" s="34"/>
      <c r="H13" s="33"/>
      <c r="I13" s="33"/>
      <c r="J13" s="40">
        <f>C35*'E Balans VL '!D23/100/3.6*1000000+C35*'E Balans VL '!E23/100/3.6*1000000</f>
        <v>0</v>
      </c>
      <c r="K13" s="33"/>
      <c r="L13" s="33"/>
      <c r="M13" s="33"/>
      <c r="N13" s="33">
        <f>C35*'E Balans VL '!Y23/100/3.6*1000000</f>
        <v>4714.5098735993233</v>
      </c>
      <c r="O13" s="33"/>
      <c r="P13" s="33"/>
      <c r="R13" s="32"/>
    </row>
    <row r="14" spans="1:18">
      <c r="A14" s="6" t="s">
        <v>34</v>
      </c>
      <c r="B14" s="37">
        <f t="shared" si="0"/>
        <v>2279.3431442229303</v>
      </c>
      <c r="C14" s="33"/>
      <c r="D14" s="37">
        <f>IF( ISERROR(IND_chemie_gas_kWh/1000),0,IND_chemie_gas_kWh/1000)*0.902</f>
        <v>3935.5416649814838</v>
      </c>
      <c r="E14" s="33">
        <f>C36*'E Balans VL '!I24/100/3.6*1000000</f>
        <v>10.774990301413078</v>
      </c>
      <c r="F14" s="33">
        <f>C36*'E Balans VL '!L24/100/3.6*1000000+C36*'E Balans VL '!N24/100/3.6*1000000</f>
        <v>43.078361963184079</v>
      </c>
      <c r="G14" s="34"/>
      <c r="H14" s="33"/>
      <c r="I14" s="33"/>
      <c r="J14" s="40">
        <f>C36*'E Balans VL '!D24/100/3.6*1000000+C36*'E Balans VL '!E24/100/3.6*1000000</f>
        <v>0</v>
      </c>
      <c r="K14" s="33"/>
      <c r="L14" s="33"/>
      <c r="M14" s="33"/>
      <c r="N14" s="33">
        <f>C36*'E Balans VL '!Y24/100/3.6*1000000</f>
        <v>55.334740452860892</v>
      </c>
      <c r="O14" s="33"/>
      <c r="P14" s="33"/>
      <c r="R14" s="32"/>
    </row>
    <row r="15" spans="1:18">
      <c r="A15" s="6" t="s">
        <v>270</v>
      </c>
      <c r="B15" s="37">
        <f t="shared" si="0"/>
        <v>28948.8011784175</v>
      </c>
      <c r="C15" s="33"/>
      <c r="D15" s="37">
        <f>IF( ISERROR(IND_rest_gas_kWh/1000),0,IND_rest_gas_kWh/1000)*0.902</f>
        <v>26915.911638589772</v>
      </c>
      <c r="E15" s="33">
        <f>C37*'E Balans VL '!I15/100/3.6*1000000</f>
        <v>1615.0004994231062</v>
      </c>
      <c r="F15" s="33">
        <f>C37*'E Balans VL '!L15/100/3.6*1000000+C37*'E Balans VL '!N15/100/3.6*1000000</f>
        <v>6805.2732673629434</v>
      </c>
      <c r="G15" s="34"/>
      <c r="H15" s="33"/>
      <c r="I15" s="33"/>
      <c r="J15" s="40">
        <f>C37*'E Balans VL '!D15/100/3.6*1000000+C37*'E Balans VL '!E15/100/3.6*1000000</f>
        <v>74.197597901207928</v>
      </c>
      <c r="K15" s="33"/>
      <c r="L15" s="33"/>
      <c r="M15" s="33"/>
      <c r="N15" s="33">
        <f>C37*'E Balans VL '!Y15/100/3.6*1000000</f>
        <v>5681.2927587559097</v>
      </c>
      <c r="O15" s="33"/>
      <c r="P15" s="33"/>
      <c r="R15" s="32"/>
    </row>
    <row r="16" spans="1:18">
      <c r="A16" s="16" t="s">
        <v>497</v>
      </c>
      <c r="B16" s="249">
        <f>'lokale energieproductie'!N89+'lokale energieproductie'!N58</f>
        <v>536.25</v>
      </c>
      <c r="C16" s="249">
        <f>'lokale energieproductie'!O89+'lokale energieproductie'!O58</f>
        <v>766.07142857142856</v>
      </c>
      <c r="D16" s="312">
        <f>('lokale energieproductie'!P58+'lokale energieproductie'!P89)*(-1)</f>
        <v>-1532.1428571428573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69782.070512670776</v>
      </c>
      <c r="C18" s="21">
        <f>C5+C16</f>
        <v>766.07142857142856</v>
      </c>
      <c r="D18" s="21">
        <f>MAX((D5+D16),0)</f>
        <v>63367.97976791329</v>
      </c>
      <c r="E18" s="21">
        <f>MAX((E5+E16),0)</f>
        <v>4797.1807563446237</v>
      </c>
      <c r="F18" s="21">
        <f>MAX((F5+F16),0)</f>
        <v>35165.894169080595</v>
      </c>
      <c r="G18" s="21"/>
      <c r="H18" s="21"/>
      <c r="I18" s="21"/>
      <c r="J18" s="21">
        <f>MAX((J5+J16),0)</f>
        <v>75.837639453948796</v>
      </c>
      <c r="K18" s="21"/>
      <c r="L18" s="21">
        <f>MAX((L5+L16),0)</f>
        <v>0</v>
      </c>
      <c r="M18" s="21"/>
      <c r="N18" s="21">
        <f>MAX((N5+N16),0)</f>
        <v>16896.72999580059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0.20701986849969234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14446.275061169363</v>
      </c>
      <c r="C22" s="23">
        <f ca="1">C18*C20</f>
        <v>182.05462184873954</v>
      </c>
      <c r="D22" s="23">
        <f>D18*D20</f>
        <v>12800.331913118485</v>
      </c>
      <c r="E22" s="23">
        <f>E18*E20</f>
        <v>1088.9600316902297</v>
      </c>
      <c r="F22" s="23">
        <f>F18*F20</f>
        <v>9389.2937431445189</v>
      </c>
      <c r="G22" s="23"/>
      <c r="H22" s="23"/>
      <c r="I22" s="23"/>
      <c r="J22" s="23">
        <f>J18*J20</f>
        <v>26.846524366697871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11810.6108981164</v>
      </c>
      <c r="C30" s="39">
        <f>IF(ISERROR(B30*3.6/1000000/'E Balans VL '!Z18*100),0,B30*3.6/1000000/'E Balans VL '!Z18*100)</f>
        <v>1.1621339630966845</v>
      </c>
      <c r="D30" s="239" t="s">
        <v>692</v>
      </c>
    </row>
    <row r="31" spans="1:18">
      <c r="A31" s="6" t="s">
        <v>33</v>
      </c>
      <c r="B31" s="37">
        <f>IF( ISERROR(IND_ander_ele_kWh/1000),0,IND_ander_ele_kWh/1000)</f>
        <v>6167.8225866937501</v>
      </c>
      <c r="C31" s="39">
        <f>IF(ISERROR(B31*3.6/1000000/'E Balans VL '!Z19*100),0,B31*3.6/1000000/'E Balans VL '!Z19*100)</f>
        <v>0.26860375362690087</v>
      </c>
      <c r="D31" s="239" t="s">
        <v>692</v>
      </c>
    </row>
    <row r="32" spans="1:18">
      <c r="A32" s="173" t="s">
        <v>41</v>
      </c>
      <c r="B32" s="37">
        <f>IF( ISERROR(IND_voed_ele_kWh/1000),0,IND_voed_ele_kWh/1000)</f>
        <v>13937.7565652373</v>
      </c>
      <c r="C32" s="39">
        <f>IF(ISERROR(B32*3.6/1000000/'E Balans VL '!Z20*100),0,B32*3.6/1000000/'E Balans VL '!Z20*100)</f>
        <v>2.6444883039374498</v>
      </c>
      <c r="D32" s="239" t="s">
        <v>692</v>
      </c>
    </row>
    <row r="33" spans="1:5">
      <c r="A33" s="173" t="s">
        <v>40</v>
      </c>
      <c r="B33" s="37">
        <f>IF( ISERROR(IND_textiel_ele_kWh/1000),0,IND_textiel_ele_kWh/1000)</f>
        <v>3612.6136541108799</v>
      </c>
      <c r="C33" s="39">
        <f>IF(ISERROR(B33*3.6/1000000/'E Balans VL '!Z21*100),0,B33*3.6/1000000/'E Balans VL '!Z21*100)</f>
        <v>0.20626191916335526</v>
      </c>
      <c r="D33" s="239" t="s">
        <v>692</v>
      </c>
    </row>
    <row r="34" spans="1:5">
      <c r="A34" s="173" t="s">
        <v>37</v>
      </c>
      <c r="B34" s="37">
        <f>IF( ISERROR(IND_min_ele_kWh/1000),0,IND_min_ele_kWh/1000)</f>
        <v>264.67001680437204</v>
      </c>
      <c r="C34" s="39">
        <f>IF(ISERROR(B34*3.6/1000000/'E Balans VL '!Z22*100),0,B34*3.6/1000000/'E Balans VL '!Z22*100)</f>
        <v>3.7215262096162889E-2</v>
      </c>
      <c r="D34" s="239" t="s">
        <v>692</v>
      </c>
    </row>
    <row r="35" spans="1:5">
      <c r="A35" s="173" t="s">
        <v>39</v>
      </c>
      <c r="B35" s="37">
        <f>IF( ISERROR(IND_papier_ele_kWh/1000),0,IND_papier_ele_kWh/1000)</f>
        <v>2205.7263627236803</v>
      </c>
      <c r="C35" s="39">
        <f>IF(ISERROR(B35*3.6/1000000/'E Balans VL '!Z22*100),0,B35*3.6/1000000/'E Balans VL '!Z22*100)</f>
        <v>0.31014727581270107</v>
      </c>
      <c r="D35" s="239" t="s">
        <v>692</v>
      </c>
    </row>
    <row r="36" spans="1:5">
      <c r="A36" s="173" t="s">
        <v>34</v>
      </c>
      <c r="B36" s="37">
        <f>IF( ISERROR(IND_chemie_ele_kWh/1000),0,IND_chemie_ele_kWh/1000)</f>
        <v>2279.3431442229303</v>
      </c>
      <c r="C36" s="39">
        <f>IF(ISERROR(B36*3.6/1000000/'E Balans VL '!Z24*100),0,B36*3.6/1000000/'E Balans VL '!Z24*100)</f>
        <v>6.6426794550433418E-2</v>
      </c>
      <c r="D36" s="239" t="s">
        <v>692</v>
      </c>
    </row>
    <row r="37" spans="1:5">
      <c r="A37" s="173" t="s">
        <v>270</v>
      </c>
      <c r="B37" s="37">
        <f>IF( ISERROR(IND_rest_ele_kWh/1000),0,IND_rest_ele_kWh/1000)</f>
        <v>28948.8011784175</v>
      </c>
      <c r="C37" s="39">
        <f>IF(ISERROR(B37*3.6/1000000/'E Balans VL '!Z15*100),0,B37*3.6/1000000/'E Balans VL '!Z15*100)</f>
        <v>0.22308606953675472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3989.8115351921078</v>
      </c>
      <c r="C5" s="17">
        <f>'Eigen informatie GS &amp; warmtenet'!B60</f>
        <v>0</v>
      </c>
      <c r="D5" s="30">
        <f>IF(ISERROR(SUM(LB_lb_gas_kWh,LB_rest_gas_kWh,onbekend_gas_kWh)/1000),0,SUM(LB_lb_gas_kWh,LB_rest_gas_kWh,onbekend_gas_kWh)/1000)*0.902</f>
        <v>16635.172713869033</v>
      </c>
      <c r="E5" s="17">
        <f>B17*'E Balans VL '!I25/3.6*1000000/100</f>
        <v>50.276765265729843</v>
      </c>
      <c r="F5" s="17">
        <f>B17*('E Balans VL '!L25/3.6*1000000+'E Balans VL '!N25/3.6*1000000)/100</f>
        <v>13765.849303925361</v>
      </c>
      <c r="G5" s="18"/>
      <c r="H5" s="17"/>
      <c r="I5" s="17"/>
      <c r="J5" s="17">
        <f>('E Balans VL '!D25+'E Balans VL '!E25)/3.6*1000000*landbouw!B17/100</f>
        <v>600.02230031607303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3989.8115351921078</v>
      </c>
      <c r="C8" s="21">
        <f>C5+C6</f>
        <v>0</v>
      </c>
      <c r="D8" s="21">
        <f>MAX((D5+D6),0)</f>
        <v>16635.172713869033</v>
      </c>
      <c r="E8" s="21">
        <f>MAX((E5+E6),0)</f>
        <v>50.276765265729843</v>
      </c>
      <c r="F8" s="21">
        <f>MAX((F5+F6),0)</f>
        <v>13765.849303925361</v>
      </c>
      <c r="G8" s="21"/>
      <c r="H8" s="21"/>
      <c r="I8" s="21"/>
      <c r="J8" s="21">
        <f>MAX((J5+J6),0)</f>
        <v>600.02230031607303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0.20701986849969234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825.97025935402576</v>
      </c>
      <c r="C12" s="23">
        <f ca="1">C8*C10</f>
        <v>0</v>
      </c>
      <c r="D12" s="23">
        <f>D8*D10</f>
        <v>3360.3048882015451</v>
      </c>
      <c r="E12" s="23">
        <f>E8*E10</f>
        <v>11.412825715320675</v>
      </c>
      <c r="F12" s="23">
        <f>F8*F10</f>
        <v>3675.4817641480718</v>
      </c>
      <c r="G12" s="23"/>
      <c r="H12" s="23"/>
      <c r="I12" s="23"/>
      <c r="J12" s="23">
        <f>J8*J10</f>
        <v>212.40789431188983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0.55645295759912261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650.04072794074148</v>
      </c>
      <c r="C26" s="249">
        <f>B26*'GWP N2O_CH4'!B5</f>
        <v>13650.855286755572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333.80179242902921</v>
      </c>
      <c r="C27" s="249">
        <f>B27*'GWP N2O_CH4'!B5</f>
        <v>7009.8376410096134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8.9083109995161465</v>
      </c>
      <c r="C28" s="249">
        <f>B28*'GWP N2O_CH4'!B4</f>
        <v>2761.5764098500053</v>
      </c>
      <c r="D28" s="50"/>
    </row>
    <row r="29" spans="1:4">
      <c r="A29" s="41" t="s">
        <v>277</v>
      </c>
      <c r="B29" s="249">
        <f>B34*'ha_N2O bodem landbouw'!B4</f>
        <v>22.748347650536147</v>
      </c>
      <c r="C29" s="249">
        <f>B29*'GWP N2O_CH4'!B4</f>
        <v>7051.9877716662058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5.680035100504942E-3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8.9127690330472828E-5</v>
      </c>
      <c r="C5" s="448" t="s">
        <v>211</v>
      </c>
      <c r="D5" s="433">
        <f>SUM(D6:D11)</f>
        <v>1.6248798232931143E-4</v>
      </c>
      <c r="E5" s="433">
        <f>SUM(E6:E11)</f>
        <v>5.2007807299448792E-3</v>
      </c>
      <c r="F5" s="446" t="s">
        <v>211</v>
      </c>
      <c r="G5" s="433">
        <f>SUM(G6:G11)</f>
        <v>1.4645240960486952</v>
      </c>
      <c r="H5" s="433">
        <f>SUM(H6:H11)</f>
        <v>0.24418587287532462</v>
      </c>
      <c r="I5" s="448" t="s">
        <v>211</v>
      </c>
      <c r="J5" s="448" t="s">
        <v>211</v>
      </c>
      <c r="K5" s="448" t="s">
        <v>211</v>
      </c>
      <c r="L5" s="448" t="s">
        <v>211</v>
      </c>
      <c r="M5" s="433">
        <f>SUM(M6:M11)</f>
        <v>7.7234133439223154E-2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3.2406767282668426E-5</v>
      </c>
      <c r="C6" s="949"/>
      <c r="D6" s="949">
        <f>vkm_2011_GW_PW*SUMIFS(TableVerdeelsleutelVkm[CNG],TableVerdeelsleutelVkm[Voertuigtype],"Lichte voertuigen")*SUMIFS(TableECFTransport[EnergieConsumptieFactor (PJ per km)],TableECFTransport[Index],CONCATENATE($A6,"_CNG_CNG"))</f>
        <v>4.5894320607715843E-5</v>
      </c>
      <c r="E6" s="949">
        <f>vkm_2011_GW_PW*SUMIFS(TableVerdeelsleutelVkm[LPG],TableVerdeelsleutelVkm[Voertuigtype],"Lichte voertuigen")*SUMIFS(TableECFTransport[EnergieConsumptieFactor (PJ per km)],TableECFTransport[Index],CONCATENATE($A6,"_LPG_LPG"))</f>
        <v>1.4413895221961574E-3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0.25905716532310102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6.9416451978363214E-2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1.4861196010139506E-2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0.17661206165642562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6.2748434611231243E-5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7.9699434039316765E-3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3.1332945694496289E-5</v>
      </c>
      <c r="C8" s="949"/>
      <c r="D8" s="436">
        <f>vkm_2011_NGW_PW*SUMIFS(TableVerdeelsleutelVkm[CNG],TableVerdeelsleutelVkm[Voertuigtype],"Lichte voertuigen")*SUMIFS(TableECFTransport[EnergieConsumptieFactor (PJ per km)],TableECFTransport[Index],CONCATENATE($A8,"_CNG_CNG"))</f>
        <v>7.9052287999919311E-5</v>
      </c>
      <c r="E8" s="436">
        <f>vkm_2011_NGW_PW*SUMIFS(TableVerdeelsleutelVkm[LPG],TableVerdeelsleutelVkm[Voertuigtype],"Lichte voertuigen")*SUMIFS(TableECFTransport[EnergieConsumptieFactor (PJ per km)],TableECFTransport[Index],CONCATENATE($A8,"_LPG_LPG"))</f>
        <v>2.2868049436000708E-3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0.3876356130799678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0.11537214125669229</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2.2763370332718396E-2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0.12102588827838338</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4.0689796351560835E-5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5.4614096877919557E-3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2.5387977353308117E-5</v>
      </c>
      <c r="C10" s="949"/>
      <c r="D10" s="436">
        <f>vkm_2011_SW_PW*SUMIFS(TableVerdeelsleutelVkm[CNG],TableVerdeelsleutelVkm[Voertuigtype],"Lichte voertuigen")*SUMIFS(TableECFTransport[EnergieConsumptieFactor (PJ per km)],TableECFTransport[Index],CONCATENATE($A10,"_CNG_CNG"))</f>
        <v>3.7541373721676285E-5</v>
      </c>
      <c r="E10" s="436">
        <f>vkm_2011_SW_PW*SUMIFS(TableVerdeelsleutelVkm[LPG],TableVerdeelsleutelVkm[Voertuigtype],"Lichte voertuigen")*SUMIFS(TableECFTransport[EnergieConsumptieFactor (PJ per km)],TableECFTransport[Index],CONCATENATE($A10,"_LPG_LPG"))</f>
        <v>1.4725862641486514E-3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0.23969375242040869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5.9186369681269724E-2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1.3519796729353991E-2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0.28049961529040873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1.0747172803660331E-4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1.2658417275287636E-2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24.757691758464677</v>
      </c>
      <c r="C14" s="21"/>
      <c r="D14" s="21">
        <f t="shared" ref="D14:M14" si="0">((D5)*10^9/3600)+D12</f>
        <v>45.135550647030954</v>
      </c>
      <c r="E14" s="21">
        <f t="shared" si="0"/>
        <v>1444.6613138735775</v>
      </c>
      <c r="F14" s="21"/>
      <c r="G14" s="21">
        <f t="shared" si="0"/>
        <v>406812.24890241527</v>
      </c>
      <c r="H14" s="21">
        <f t="shared" si="0"/>
        <v>67829.40913203462</v>
      </c>
      <c r="I14" s="21"/>
      <c r="J14" s="21"/>
      <c r="K14" s="21"/>
      <c r="L14" s="21"/>
      <c r="M14" s="21">
        <f t="shared" si="0"/>
        <v>21453.925955339764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0.20701986849969234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5.125334092193274</v>
      </c>
      <c r="C18" s="23"/>
      <c r="D18" s="23">
        <f t="shared" ref="D18:M18" si="1">D14*D16</f>
        <v>9.1173812307002535</v>
      </c>
      <c r="E18" s="23">
        <f t="shared" si="1"/>
        <v>327.93811824930208</v>
      </c>
      <c r="F18" s="23"/>
      <c r="G18" s="23">
        <f t="shared" si="1"/>
        <v>108618.87045694489</v>
      </c>
      <c r="H18" s="23">
        <f t="shared" si="1"/>
        <v>16889.52287387662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3.61405785905397E-2</v>
      </c>
      <c r="H50" s="323">
        <f t="shared" si="2"/>
        <v>0</v>
      </c>
      <c r="I50" s="323">
        <f t="shared" si="2"/>
        <v>0</v>
      </c>
      <c r="J50" s="323">
        <f t="shared" si="2"/>
        <v>0</v>
      </c>
      <c r="K50" s="323">
        <f t="shared" si="2"/>
        <v>0</v>
      </c>
      <c r="L50" s="323">
        <f t="shared" si="2"/>
        <v>0</v>
      </c>
      <c r="M50" s="323">
        <f t="shared" si="2"/>
        <v>1.6072599267543996E-3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3.61405785905397E-2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1.6072599267543996E-3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10039.04960848325</v>
      </c>
      <c r="H54" s="21">
        <f t="shared" si="3"/>
        <v>0</v>
      </c>
      <c r="I54" s="21">
        <f t="shared" si="3"/>
        <v>0</v>
      </c>
      <c r="J54" s="21">
        <f t="shared" si="3"/>
        <v>0</v>
      </c>
      <c r="K54" s="21">
        <f t="shared" si="3"/>
        <v>0</v>
      </c>
      <c r="L54" s="21">
        <f t="shared" si="3"/>
        <v>0</v>
      </c>
      <c r="M54" s="21">
        <f t="shared" si="3"/>
        <v>446.46109076511101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0.20701986849969234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2680.4262454650279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20644.525469833461</v>
      </c>
      <c r="C6" s="1251"/>
      <c r="D6" s="1236"/>
      <c r="E6" s="1236"/>
      <c r="F6" s="1254"/>
      <c r="G6" s="1257"/>
      <c r="H6" s="1248"/>
      <c r="I6" s="1236"/>
      <c r="J6" s="1236"/>
      <c r="K6" s="1236"/>
      <c r="L6" s="1240"/>
      <c r="M6" s="561"/>
      <c r="N6" s="1214"/>
      <c r="O6" s="1215"/>
      <c r="Q6" s="559"/>
      <c r="R6" s="1202"/>
      <c r="S6" s="1202"/>
    </row>
    <row r="7" spans="1:19" s="549" customFormat="1">
      <c r="A7" s="562" t="s">
        <v>252</v>
      </c>
      <c r="B7" s="563">
        <f>N57</f>
        <v>583.5</v>
      </c>
      <c r="C7" s="564">
        <f>B100</f>
        <v>686.47058823529426</v>
      </c>
      <c r="D7" s="565"/>
      <c r="E7" s="565">
        <f>E100</f>
        <v>0</v>
      </c>
      <c r="F7" s="566"/>
      <c r="G7" s="567"/>
      <c r="H7" s="565">
        <f>I100</f>
        <v>0</v>
      </c>
      <c r="I7" s="565">
        <f>G100+F100</f>
        <v>0</v>
      </c>
      <c r="J7" s="565">
        <f>H100+D100+C100</f>
        <v>0</v>
      </c>
      <c r="K7" s="565"/>
      <c r="L7" s="568"/>
      <c r="M7" s="569">
        <f>C7*$C$11+D7*$D$11+E7*$E$11+F7*$F$11+G7*$G$11+H7*$H$11+I7*$I$11+J7*$J$11</f>
        <v>138.66705882352946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21228.025469833461</v>
      </c>
      <c r="C9" s="580">
        <f t="shared" ref="C9:L9" si="0">SUM(C7:C8)</f>
        <v>686.47058823529426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138.66705882352946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833.57142857142856</v>
      </c>
      <c r="C16" s="596">
        <f>B101</f>
        <v>980.67226890756319</v>
      </c>
      <c r="D16" s="597"/>
      <c r="E16" s="597">
        <f>E101</f>
        <v>0</v>
      </c>
      <c r="F16" s="598"/>
      <c r="G16" s="599"/>
      <c r="H16" s="596">
        <f>I101</f>
        <v>0</v>
      </c>
      <c r="I16" s="597">
        <f>G101+F101</f>
        <v>0</v>
      </c>
      <c r="J16" s="597">
        <f>H101+D101+C101</f>
        <v>0</v>
      </c>
      <c r="K16" s="597"/>
      <c r="L16" s="600"/>
      <c r="M16" s="601">
        <f>C16*$C$21+E16*$E$21+H16*$H$21+I16*$I$21+J16*$J$21+D16*$D$21+F16*$F$21+G16*$G$21+K16*$K$21+L16*$L$21</f>
        <v>198.09579831932777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833.57142857142856</v>
      </c>
      <c r="C19" s="579">
        <f>SUM(C16:C18)</f>
        <v>980.67226890756319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198.09579831932777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46021</v>
      </c>
      <c r="C27" s="839">
        <v>9100</v>
      </c>
      <c r="D27" s="658" t="s">
        <v>878</v>
      </c>
      <c r="E27" s="657" t="s">
        <v>879</v>
      </c>
      <c r="F27" s="657" t="s">
        <v>880</v>
      </c>
      <c r="G27" s="657" t="s">
        <v>881</v>
      </c>
      <c r="H27" s="657" t="s">
        <v>882</v>
      </c>
      <c r="I27" s="657" t="s">
        <v>879</v>
      </c>
      <c r="J27" s="838">
        <v>40688</v>
      </c>
      <c r="K27" s="838">
        <v>40787</v>
      </c>
      <c r="L27" s="657" t="s">
        <v>883</v>
      </c>
      <c r="M27" s="657">
        <v>5</v>
      </c>
      <c r="N27" s="657">
        <v>22.5</v>
      </c>
      <c r="O27" s="657">
        <v>32.142857142857146</v>
      </c>
      <c r="P27" s="657">
        <v>64.285714285714292</v>
      </c>
      <c r="Q27" s="657">
        <v>0</v>
      </c>
      <c r="R27" s="657">
        <v>0</v>
      </c>
      <c r="S27" s="657">
        <v>0</v>
      </c>
      <c r="T27" s="657">
        <v>0</v>
      </c>
      <c r="U27" s="657">
        <v>0</v>
      </c>
      <c r="V27" s="657">
        <v>0</v>
      </c>
      <c r="W27" s="657">
        <v>0</v>
      </c>
      <c r="X27" s="657">
        <v>1600</v>
      </c>
      <c r="Y27" s="657" t="s">
        <v>50</v>
      </c>
      <c r="Z27" s="659" t="s">
        <v>156</v>
      </c>
    </row>
    <row r="28" spans="1:26" s="611" customFormat="1" ht="63.75">
      <c r="A28" s="610"/>
      <c r="B28" s="839">
        <v>46021</v>
      </c>
      <c r="C28" s="839">
        <v>9100</v>
      </c>
      <c r="D28" s="658" t="s">
        <v>884</v>
      </c>
      <c r="E28" s="657" t="s">
        <v>885</v>
      </c>
      <c r="F28" s="657" t="s">
        <v>886</v>
      </c>
      <c r="G28" s="657" t="s">
        <v>881</v>
      </c>
      <c r="H28" s="657" t="s">
        <v>882</v>
      </c>
      <c r="I28" s="657" t="s">
        <v>885</v>
      </c>
      <c r="J28" s="838">
        <v>40735</v>
      </c>
      <c r="K28" s="838">
        <v>40817</v>
      </c>
      <c r="L28" s="657" t="s">
        <v>883</v>
      </c>
      <c r="M28" s="657">
        <v>5.5</v>
      </c>
      <c r="N28" s="657">
        <v>24.75</v>
      </c>
      <c r="O28" s="657">
        <v>35.357142857142861</v>
      </c>
      <c r="P28" s="657">
        <v>70.714285714285722</v>
      </c>
      <c r="Q28" s="657">
        <v>0</v>
      </c>
      <c r="R28" s="657">
        <v>0</v>
      </c>
      <c r="S28" s="657">
        <v>0</v>
      </c>
      <c r="T28" s="657">
        <v>0</v>
      </c>
      <c r="U28" s="657">
        <v>0</v>
      </c>
      <c r="V28" s="657">
        <v>0</v>
      </c>
      <c r="W28" s="657">
        <v>0</v>
      </c>
      <c r="X28" s="657">
        <v>1600</v>
      </c>
      <c r="Y28" s="657" t="s">
        <v>50</v>
      </c>
      <c r="Z28" s="659" t="s">
        <v>156</v>
      </c>
    </row>
    <row r="29" spans="1:26" s="611" customFormat="1" ht="38.25">
      <c r="A29" s="610"/>
      <c r="B29" s="839">
        <v>46021</v>
      </c>
      <c r="C29" s="839">
        <v>9100</v>
      </c>
      <c r="D29" s="658" t="s">
        <v>887</v>
      </c>
      <c r="E29" s="657" t="s">
        <v>888</v>
      </c>
      <c r="F29" s="657" t="s">
        <v>889</v>
      </c>
      <c r="G29" s="657" t="s">
        <v>881</v>
      </c>
      <c r="H29" s="657" t="s">
        <v>882</v>
      </c>
      <c r="I29" s="657" t="s">
        <v>888</v>
      </c>
      <c r="J29" s="838">
        <v>41418</v>
      </c>
      <c r="K29" s="838">
        <v>41333</v>
      </c>
      <c r="L29" s="657" t="s">
        <v>883</v>
      </c>
      <c r="M29" s="657">
        <v>143</v>
      </c>
      <c r="N29" s="657">
        <v>536.25</v>
      </c>
      <c r="O29" s="657">
        <v>766.07142857142856</v>
      </c>
      <c r="P29" s="657">
        <v>1532.1428571428573</v>
      </c>
      <c r="Q29" s="657">
        <v>0</v>
      </c>
      <c r="R29" s="657">
        <v>0</v>
      </c>
      <c r="S29" s="657">
        <v>0</v>
      </c>
      <c r="T29" s="657">
        <v>0</v>
      </c>
      <c r="U29" s="657">
        <v>0</v>
      </c>
      <c r="V29" s="657">
        <v>0</v>
      </c>
      <c r="W29" s="657">
        <v>0</v>
      </c>
      <c r="X29" s="657">
        <v>500</v>
      </c>
      <c r="Y29" s="657" t="s">
        <v>41</v>
      </c>
      <c r="Z29" s="659" t="s">
        <v>390</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153.5</v>
      </c>
      <c r="N57" s="615">
        <f>SUM(N27:N56)</f>
        <v>583.5</v>
      </c>
      <c r="O57" s="615">
        <f t="shared" ref="O57:W57" si="2">SUM(O27:O56)</f>
        <v>833.57142857142856</v>
      </c>
      <c r="P57" s="615">
        <f t="shared" si="2"/>
        <v>1667.1428571428573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143</v>
      </c>
      <c r="N58" s="615">
        <f t="shared" ref="N58:W58" si="3">SUMIF($Z$27:$Z$56,"industrie",N27:N56)</f>
        <v>536.25</v>
      </c>
      <c r="O58" s="615">
        <f t="shared" si="3"/>
        <v>766.07142857142856</v>
      </c>
      <c r="P58" s="615">
        <f t="shared" si="3"/>
        <v>1532.1428571428573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10.5</v>
      </c>
      <c r="N59" s="615">
        <f ca="1">SUMIF($Z$27:AB56,"tertiair",N27:N56)</f>
        <v>47.25</v>
      </c>
      <c r="O59" s="615">
        <f ca="1">SUMIF($Z$27:AC56,"tertiair",O27:O56)</f>
        <v>67.5</v>
      </c>
      <c r="P59" s="615">
        <f ca="1">SUMIF($Z$27:AD56,"tertiair",P27:P56)</f>
        <v>135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686.47058823529426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980.67226890756319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132516.85227947476</v>
      </c>
      <c r="D10" s="704">
        <f ca="1">tertiair!C16</f>
        <v>67.5</v>
      </c>
      <c r="E10" s="704">
        <f ca="1">tertiair!D16</f>
        <v>183733.46739670003</v>
      </c>
      <c r="F10" s="704">
        <f>tertiair!E16</f>
        <v>1517.834000867028</v>
      </c>
      <c r="G10" s="704">
        <f ca="1">tertiair!F16</f>
        <v>25212.857038831611</v>
      </c>
      <c r="H10" s="704">
        <f>tertiair!G16</f>
        <v>0</v>
      </c>
      <c r="I10" s="704">
        <f>tertiair!H16</f>
        <v>0</v>
      </c>
      <c r="J10" s="704">
        <f>tertiair!I16</f>
        <v>0</v>
      </c>
      <c r="K10" s="704">
        <f>tertiair!J16</f>
        <v>0</v>
      </c>
      <c r="L10" s="704">
        <f>tertiair!K16</f>
        <v>0</v>
      </c>
      <c r="M10" s="704">
        <f ca="1">tertiair!L16</f>
        <v>0</v>
      </c>
      <c r="N10" s="704">
        <f>tertiair!M16</f>
        <v>0</v>
      </c>
      <c r="O10" s="704">
        <f ca="1">tertiair!N16</f>
        <v>10161.96452710341</v>
      </c>
      <c r="P10" s="704">
        <f>tertiair!O16</f>
        <v>14.070000000000002</v>
      </c>
      <c r="Q10" s="705">
        <f>tertiair!P16</f>
        <v>190.66666666666669</v>
      </c>
      <c r="R10" s="707">
        <f ca="1">SUM(C10:Q10)</f>
        <v>353415.21190964355</v>
      </c>
      <c r="S10" s="67"/>
    </row>
    <row r="11" spans="1:19" s="459" customFormat="1">
      <c r="A11" s="858" t="s">
        <v>225</v>
      </c>
      <c r="B11" s="863"/>
      <c r="C11" s="704">
        <f>huishoudens!B8</f>
        <v>119343.42829738808</v>
      </c>
      <c r="D11" s="704">
        <f>huishoudens!C8</f>
        <v>0</v>
      </c>
      <c r="E11" s="704">
        <f>huishoudens!D8</f>
        <v>333785.38273802819</v>
      </c>
      <c r="F11" s="704">
        <f>huishoudens!E8</f>
        <v>11453.594473804469</v>
      </c>
      <c r="G11" s="704">
        <f>huishoudens!F8</f>
        <v>28708.194083184291</v>
      </c>
      <c r="H11" s="704">
        <f>huishoudens!G8</f>
        <v>0</v>
      </c>
      <c r="I11" s="704">
        <f>huishoudens!H8</f>
        <v>0</v>
      </c>
      <c r="J11" s="704">
        <f>huishoudens!I8</f>
        <v>0</v>
      </c>
      <c r="K11" s="704">
        <f>huishoudens!J8</f>
        <v>15406.680331701502</v>
      </c>
      <c r="L11" s="704">
        <f>huishoudens!K8</f>
        <v>0</v>
      </c>
      <c r="M11" s="704">
        <f>huishoudens!L8</f>
        <v>0</v>
      </c>
      <c r="N11" s="704">
        <f>huishoudens!M8</f>
        <v>0</v>
      </c>
      <c r="O11" s="704">
        <f>huishoudens!N8</f>
        <v>57917.307974144111</v>
      </c>
      <c r="P11" s="704">
        <f>huishoudens!O8</f>
        <v>554.98333333333335</v>
      </c>
      <c r="Q11" s="705">
        <f>huishoudens!P8</f>
        <v>1601.6</v>
      </c>
      <c r="R11" s="707">
        <f>SUM(C11:Q11)</f>
        <v>568771.17123158392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69782.070512670776</v>
      </c>
      <c r="D13" s="704">
        <f>industrie!C18</f>
        <v>766.07142857142856</v>
      </c>
      <c r="E13" s="704">
        <f>industrie!D18</f>
        <v>63367.97976791329</v>
      </c>
      <c r="F13" s="704">
        <f>industrie!E18</f>
        <v>4797.1807563446237</v>
      </c>
      <c r="G13" s="704">
        <f>industrie!F18</f>
        <v>35165.894169080595</v>
      </c>
      <c r="H13" s="704">
        <f>industrie!G18</f>
        <v>0</v>
      </c>
      <c r="I13" s="704">
        <f>industrie!H18</f>
        <v>0</v>
      </c>
      <c r="J13" s="704">
        <f>industrie!I18</f>
        <v>0</v>
      </c>
      <c r="K13" s="704">
        <f>industrie!J18</f>
        <v>75.837639453948796</v>
      </c>
      <c r="L13" s="704">
        <f>industrie!K18</f>
        <v>0</v>
      </c>
      <c r="M13" s="704">
        <f>industrie!L18</f>
        <v>0</v>
      </c>
      <c r="N13" s="704">
        <f>industrie!M18</f>
        <v>0</v>
      </c>
      <c r="O13" s="704">
        <f>industrie!N18</f>
        <v>16896.72999580059</v>
      </c>
      <c r="P13" s="704">
        <f>industrie!O18</f>
        <v>0</v>
      </c>
      <c r="Q13" s="705">
        <f>industrie!P18</f>
        <v>0</v>
      </c>
      <c r="R13" s="707">
        <f>SUM(C13:Q13)</f>
        <v>190851.76426983526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321642.35108953359</v>
      </c>
      <c r="D15" s="709">
        <f t="shared" ref="D15:Q15" ca="1" si="0">SUM(D9:D14)</f>
        <v>833.57142857142856</v>
      </c>
      <c r="E15" s="709">
        <f t="shared" ca="1" si="0"/>
        <v>580886.82990264148</v>
      </c>
      <c r="F15" s="709">
        <f t="shared" si="0"/>
        <v>17768.609231016118</v>
      </c>
      <c r="G15" s="709">
        <f t="shared" ca="1" si="0"/>
        <v>89086.94529109649</v>
      </c>
      <c r="H15" s="709">
        <f t="shared" si="0"/>
        <v>0</v>
      </c>
      <c r="I15" s="709">
        <f t="shared" si="0"/>
        <v>0</v>
      </c>
      <c r="J15" s="709">
        <f t="shared" si="0"/>
        <v>0</v>
      </c>
      <c r="K15" s="709">
        <f t="shared" si="0"/>
        <v>15482.51797115545</v>
      </c>
      <c r="L15" s="709">
        <f t="shared" si="0"/>
        <v>0</v>
      </c>
      <c r="M15" s="709">
        <f t="shared" ca="1" si="0"/>
        <v>0</v>
      </c>
      <c r="N15" s="709">
        <f t="shared" si="0"/>
        <v>0</v>
      </c>
      <c r="O15" s="709">
        <f t="shared" ca="1" si="0"/>
        <v>84976.002497048117</v>
      </c>
      <c r="P15" s="709">
        <f t="shared" si="0"/>
        <v>569.0533333333334</v>
      </c>
      <c r="Q15" s="710">
        <f t="shared" si="0"/>
        <v>1792.2666666666667</v>
      </c>
      <c r="R15" s="711">
        <f ca="1">SUM(R9:R14)</f>
        <v>1113038.1474110628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10039.04960848325</v>
      </c>
      <c r="I18" s="704">
        <f>transport!H54</f>
        <v>0</v>
      </c>
      <c r="J18" s="704">
        <f>transport!I54</f>
        <v>0</v>
      </c>
      <c r="K18" s="704">
        <f>transport!J54</f>
        <v>0</v>
      </c>
      <c r="L18" s="704">
        <f>transport!K54</f>
        <v>0</v>
      </c>
      <c r="M18" s="704">
        <f>transport!L54</f>
        <v>0</v>
      </c>
      <c r="N18" s="704">
        <f>transport!M54</f>
        <v>446.46109076511101</v>
      </c>
      <c r="O18" s="704">
        <f>transport!N54</f>
        <v>0</v>
      </c>
      <c r="P18" s="704">
        <f>transport!O54</f>
        <v>0</v>
      </c>
      <c r="Q18" s="705">
        <f>transport!P54</f>
        <v>0</v>
      </c>
      <c r="R18" s="707">
        <f>SUM(C18:Q18)</f>
        <v>10485.510699248362</v>
      </c>
      <c r="S18" s="67"/>
    </row>
    <row r="19" spans="1:19" s="459" customFormat="1" ht="15" thickBot="1">
      <c r="A19" s="858" t="s">
        <v>307</v>
      </c>
      <c r="B19" s="863"/>
      <c r="C19" s="713">
        <f>transport!B14</f>
        <v>24.757691758464677</v>
      </c>
      <c r="D19" s="713">
        <f>transport!C14</f>
        <v>0</v>
      </c>
      <c r="E19" s="713">
        <f>transport!D14</f>
        <v>45.135550647030954</v>
      </c>
      <c r="F19" s="713">
        <f>transport!E14</f>
        <v>1444.6613138735775</v>
      </c>
      <c r="G19" s="713">
        <f>transport!F14</f>
        <v>0</v>
      </c>
      <c r="H19" s="713">
        <f>transport!G14</f>
        <v>406812.24890241527</v>
      </c>
      <c r="I19" s="713">
        <f>transport!H14</f>
        <v>67829.40913203462</v>
      </c>
      <c r="J19" s="713">
        <f>transport!I14</f>
        <v>0</v>
      </c>
      <c r="K19" s="713">
        <f>transport!J14</f>
        <v>0</v>
      </c>
      <c r="L19" s="713">
        <f>transport!K14</f>
        <v>0</v>
      </c>
      <c r="M19" s="713">
        <f>transport!L14</f>
        <v>0</v>
      </c>
      <c r="N19" s="713">
        <f>transport!M14</f>
        <v>21453.925955339764</v>
      </c>
      <c r="O19" s="713">
        <f>transport!N14</f>
        <v>0</v>
      </c>
      <c r="P19" s="713">
        <f>transport!O14</f>
        <v>0</v>
      </c>
      <c r="Q19" s="714">
        <f>transport!P14</f>
        <v>0</v>
      </c>
      <c r="R19" s="715">
        <f>SUM(C19:Q19)</f>
        <v>497610.13854606875</v>
      </c>
      <c r="S19" s="67"/>
    </row>
    <row r="20" spans="1:19" s="459" customFormat="1" ht="15.75" thickBot="1">
      <c r="A20" s="716" t="s">
        <v>230</v>
      </c>
      <c r="B20" s="866"/>
      <c r="C20" s="861">
        <f>SUM(C17:C19)</f>
        <v>24.757691758464677</v>
      </c>
      <c r="D20" s="717">
        <f t="shared" ref="D20:R20" si="1">SUM(D17:D19)</f>
        <v>0</v>
      </c>
      <c r="E20" s="717">
        <f t="shared" si="1"/>
        <v>45.135550647030954</v>
      </c>
      <c r="F20" s="717">
        <f t="shared" si="1"/>
        <v>1444.6613138735775</v>
      </c>
      <c r="G20" s="717">
        <f t="shared" si="1"/>
        <v>0</v>
      </c>
      <c r="H20" s="717">
        <f t="shared" si="1"/>
        <v>416851.29851089854</v>
      </c>
      <c r="I20" s="717">
        <f t="shared" si="1"/>
        <v>67829.40913203462</v>
      </c>
      <c r="J20" s="717">
        <f t="shared" si="1"/>
        <v>0</v>
      </c>
      <c r="K20" s="717">
        <f t="shared" si="1"/>
        <v>0</v>
      </c>
      <c r="L20" s="717">
        <f t="shared" si="1"/>
        <v>0</v>
      </c>
      <c r="M20" s="717">
        <f t="shared" si="1"/>
        <v>0</v>
      </c>
      <c r="N20" s="717">
        <f t="shared" si="1"/>
        <v>21900.387046104875</v>
      </c>
      <c r="O20" s="717">
        <f t="shared" si="1"/>
        <v>0</v>
      </c>
      <c r="P20" s="717">
        <f t="shared" si="1"/>
        <v>0</v>
      </c>
      <c r="Q20" s="718">
        <f t="shared" si="1"/>
        <v>0</v>
      </c>
      <c r="R20" s="719">
        <f t="shared" si="1"/>
        <v>508095.64924531709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3989.8115351921078</v>
      </c>
      <c r="D22" s="713">
        <f>+landbouw!C8</f>
        <v>0</v>
      </c>
      <c r="E22" s="713">
        <f>+landbouw!D8</f>
        <v>16635.172713869033</v>
      </c>
      <c r="F22" s="713">
        <f>+landbouw!E8</f>
        <v>50.276765265729843</v>
      </c>
      <c r="G22" s="713">
        <f>+landbouw!F8</f>
        <v>13765.849303925361</v>
      </c>
      <c r="H22" s="713">
        <f>+landbouw!G8</f>
        <v>0</v>
      </c>
      <c r="I22" s="713">
        <f>+landbouw!H8</f>
        <v>0</v>
      </c>
      <c r="J22" s="713">
        <f>+landbouw!I8</f>
        <v>0</v>
      </c>
      <c r="K22" s="713">
        <f>+landbouw!J8</f>
        <v>600.02230031607303</v>
      </c>
      <c r="L22" s="713">
        <f>+landbouw!K8</f>
        <v>0</v>
      </c>
      <c r="M22" s="713">
        <f>+landbouw!L8</f>
        <v>0</v>
      </c>
      <c r="N22" s="713">
        <f>+landbouw!M8</f>
        <v>0</v>
      </c>
      <c r="O22" s="713">
        <f>+landbouw!N8</f>
        <v>0</v>
      </c>
      <c r="P22" s="713">
        <f>+landbouw!O8</f>
        <v>0</v>
      </c>
      <c r="Q22" s="714">
        <f>+landbouw!P8</f>
        <v>0</v>
      </c>
      <c r="R22" s="715">
        <f>SUM(C22:Q22)</f>
        <v>35041.132618568306</v>
      </c>
      <c r="S22" s="67"/>
    </row>
    <row r="23" spans="1:19" s="459" customFormat="1" ht="17.25" thickTop="1" thickBot="1">
      <c r="A23" s="720" t="s">
        <v>116</v>
      </c>
      <c r="B23" s="852"/>
      <c r="C23" s="721">
        <f ca="1">C20+C15+C22</f>
        <v>325656.92031648417</v>
      </c>
      <c r="D23" s="721">
        <f t="shared" ref="D23:Q23" ca="1" si="2">D20+D15+D22</f>
        <v>833.57142857142856</v>
      </c>
      <c r="E23" s="721">
        <f t="shared" ca="1" si="2"/>
        <v>597567.13816715754</v>
      </c>
      <c r="F23" s="721">
        <f t="shared" si="2"/>
        <v>19263.547310155427</v>
      </c>
      <c r="G23" s="721">
        <f t="shared" ca="1" si="2"/>
        <v>102852.79459502186</v>
      </c>
      <c r="H23" s="721">
        <f t="shared" si="2"/>
        <v>416851.29851089854</v>
      </c>
      <c r="I23" s="721">
        <f t="shared" si="2"/>
        <v>67829.40913203462</v>
      </c>
      <c r="J23" s="721">
        <f t="shared" si="2"/>
        <v>0</v>
      </c>
      <c r="K23" s="721">
        <f t="shared" si="2"/>
        <v>16082.540271471524</v>
      </c>
      <c r="L23" s="721">
        <f t="shared" si="2"/>
        <v>0</v>
      </c>
      <c r="M23" s="721">
        <f t="shared" ca="1" si="2"/>
        <v>0</v>
      </c>
      <c r="N23" s="721">
        <f t="shared" si="2"/>
        <v>21900.387046104875</v>
      </c>
      <c r="O23" s="721">
        <f t="shared" ca="1" si="2"/>
        <v>84976.002497048117</v>
      </c>
      <c r="P23" s="721">
        <f t="shared" si="2"/>
        <v>569.0533333333334</v>
      </c>
      <c r="Q23" s="722">
        <f t="shared" si="2"/>
        <v>1792.2666666666667</v>
      </c>
      <c r="R23" s="723">
        <f ca="1">R20+R15+R22</f>
        <v>1656174.9292749483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27433.621332890019</v>
      </c>
      <c r="D36" s="704">
        <f ca="1">tertiair!C20</f>
        <v>16.041176470588237</v>
      </c>
      <c r="E36" s="704">
        <f ca="1">tertiair!D20</f>
        <v>37114.16041413341</v>
      </c>
      <c r="F36" s="704">
        <f>tertiair!E20</f>
        <v>344.54831819681533</v>
      </c>
      <c r="G36" s="704">
        <f ca="1">tertiair!F20</f>
        <v>6731.8328293680406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71640.204071058877</v>
      </c>
    </row>
    <row r="37" spans="1:18">
      <c r="A37" s="873" t="s">
        <v>225</v>
      </c>
      <c r="B37" s="880"/>
      <c r="C37" s="704">
        <f ca="1">huishoudens!B12</f>
        <v>24706.46083242774</v>
      </c>
      <c r="D37" s="704">
        <f ca="1">huishoudens!C12</f>
        <v>0</v>
      </c>
      <c r="E37" s="704">
        <f>huishoudens!D12</f>
        <v>67424.647313081703</v>
      </c>
      <c r="F37" s="704">
        <f>huishoudens!E12</f>
        <v>2599.9659455536143</v>
      </c>
      <c r="G37" s="704">
        <f>huishoudens!F12</f>
        <v>7665.0878202102058</v>
      </c>
      <c r="H37" s="704">
        <f>huishoudens!G12</f>
        <v>0</v>
      </c>
      <c r="I37" s="704">
        <f>huishoudens!H12</f>
        <v>0</v>
      </c>
      <c r="J37" s="704">
        <f>huishoudens!I12</f>
        <v>0</v>
      </c>
      <c r="K37" s="704">
        <f>huishoudens!J12</f>
        <v>5453.9648374223316</v>
      </c>
      <c r="L37" s="704">
        <f>huishoudens!K12</f>
        <v>0</v>
      </c>
      <c r="M37" s="704">
        <f>huishoudens!L12</f>
        <v>0</v>
      </c>
      <c r="N37" s="704">
        <f>huishoudens!M12</f>
        <v>0</v>
      </c>
      <c r="O37" s="704">
        <f>huishoudens!N12</f>
        <v>0</v>
      </c>
      <c r="P37" s="704">
        <f>huishoudens!O12</f>
        <v>0</v>
      </c>
      <c r="Q37" s="814">
        <f>huishoudens!P12</f>
        <v>0</v>
      </c>
      <c r="R37" s="905">
        <f ca="1">SUM(C37:Q37)</f>
        <v>107850.12674869559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14446.275061169363</v>
      </c>
      <c r="D39" s="704">
        <f ca="1">industrie!C22</f>
        <v>182.05462184873954</v>
      </c>
      <c r="E39" s="704">
        <f>industrie!D22</f>
        <v>12800.331913118485</v>
      </c>
      <c r="F39" s="704">
        <f>industrie!E22</f>
        <v>1088.9600316902297</v>
      </c>
      <c r="G39" s="704">
        <f>industrie!F22</f>
        <v>9389.2937431445189</v>
      </c>
      <c r="H39" s="704">
        <f>industrie!G22</f>
        <v>0</v>
      </c>
      <c r="I39" s="704">
        <f>industrie!H22</f>
        <v>0</v>
      </c>
      <c r="J39" s="704">
        <f>industrie!I22</f>
        <v>0</v>
      </c>
      <c r="K39" s="704">
        <f>industrie!J22</f>
        <v>26.846524366697871</v>
      </c>
      <c r="L39" s="704">
        <f>industrie!K22</f>
        <v>0</v>
      </c>
      <c r="M39" s="704">
        <f>industrie!L22</f>
        <v>0</v>
      </c>
      <c r="N39" s="704">
        <f>industrie!M22</f>
        <v>0</v>
      </c>
      <c r="O39" s="704">
        <f>industrie!N22</f>
        <v>0</v>
      </c>
      <c r="P39" s="704">
        <f>industrie!O22</f>
        <v>0</v>
      </c>
      <c r="Q39" s="814">
        <f>industrie!P22</f>
        <v>0</v>
      </c>
      <c r="R39" s="906">
        <f ca="1">SUM(C39:Q39)</f>
        <v>37933.761895338037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66586.357226487118</v>
      </c>
      <c r="D41" s="749">
        <f t="shared" ref="D41:R41" ca="1" si="4">SUM(D35:D40)</f>
        <v>198.09579831932777</v>
      </c>
      <c r="E41" s="749">
        <f t="shared" ca="1" si="4"/>
        <v>117339.1396403336</v>
      </c>
      <c r="F41" s="749">
        <f t="shared" si="4"/>
        <v>4033.4742954406593</v>
      </c>
      <c r="G41" s="749">
        <f t="shared" ca="1" si="4"/>
        <v>23786.214392722766</v>
      </c>
      <c r="H41" s="749">
        <f t="shared" si="4"/>
        <v>0</v>
      </c>
      <c r="I41" s="749">
        <f t="shared" si="4"/>
        <v>0</v>
      </c>
      <c r="J41" s="749">
        <f t="shared" si="4"/>
        <v>0</v>
      </c>
      <c r="K41" s="749">
        <f t="shared" si="4"/>
        <v>5480.8113617890294</v>
      </c>
      <c r="L41" s="749">
        <f t="shared" si="4"/>
        <v>0</v>
      </c>
      <c r="M41" s="749">
        <f t="shared" ca="1" si="4"/>
        <v>0</v>
      </c>
      <c r="N41" s="749">
        <f t="shared" si="4"/>
        <v>0</v>
      </c>
      <c r="O41" s="749">
        <f t="shared" ca="1" si="4"/>
        <v>0</v>
      </c>
      <c r="P41" s="749">
        <f t="shared" si="4"/>
        <v>0</v>
      </c>
      <c r="Q41" s="750">
        <f t="shared" si="4"/>
        <v>0</v>
      </c>
      <c r="R41" s="751">
        <f t="shared" ca="1" si="4"/>
        <v>217424.0927150925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2680.4262454650279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2680.4262454650279</v>
      </c>
    </row>
    <row r="45" spans="1:18" ht="15" thickBot="1">
      <c r="A45" s="876" t="s">
        <v>307</v>
      </c>
      <c r="B45" s="886"/>
      <c r="C45" s="713">
        <f ca="1">transport!B18</f>
        <v>5.125334092193274</v>
      </c>
      <c r="D45" s="713">
        <f>transport!C18</f>
        <v>0</v>
      </c>
      <c r="E45" s="713">
        <f>transport!D18</f>
        <v>9.1173812307002535</v>
      </c>
      <c r="F45" s="713">
        <f>transport!E18</f>
        <v>327.93811824930208</v>
      </c>
      <c r="G45" s="713">
        <f>transport!F18</f>
        <v>0</v>
      </c>
      <c r="H45" s="713">
        <f>transport!G18</f>
        <v>108618.87045694489</v>
      </c>
      <c r="I45" s="713">
        <f>transport!H18</f>
        <v>16889.52287387662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125850.57416439371</v>
      </c>
    </row>
    <row r="46" spans="1:18" ht="15.75" thickBot="1">
      <c r="A46" s="874" t="s">
        <v>230</v>
      </c>
      <c r="B46" s="887"/>
      <c r="C46" s="749">
        <f t="shared" ref="C46:R46" ca="1" si="5">SUM(C43:C45)</f>
        <v>5.125334092193274</v>
      </c>
      <c r="D46" s="749">
        <f t="shared" ca="1" si="5"/>
        <v>0</v>
      </c>
      <c r="E46" s="749">
        <f t="shared" si="5"/>
        <v>9.1173812307002535</v>
      </c>
      <c r="F46" s="749">
        <f t="shared" si="5"/>
        <v>327.93811824930208</v>
      </c>
      <c r="G46" s="749">
        <f t="shared" si="5"/>
        <v>0</v>
      </c>
      <c r="H46" s="749">
        <f t="shared" si="5"/>
        <v>111299.29670240992</v>
      </c>
      <c r="I46" s="749">
        <f t="shared" si="5"/>
        <v>16889.52287387662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128531.00040985874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825.97025935402576</v>
      </c>
      <c r="D48" s="704">
        <f ca="1">+landbouw!C12</f>
        <v>0</v>
      </c>
      <c r="E48" s="704">
        <f>+landbouw!D12</f>
        <v>3360.3048882015451</v>
      </c>
      <c r="F48" s="704">
        <f>+landbouw!E12</f>
        <v>11.412825715320675</v>
      </c>
      <c r="G48" s="704">
        <f>+landbouw!F12</f>
        <v>3675.4817641480718</v>
      </c>
      <c r="H48" s="704">
        <f>+landbouw!G12</f>
        <v>0</v>
      </c>
      <c r="I48" s="704">
        <f>+landbouw!H12</f>
        <v>0</v>
      </c>
      <c r="J48" s="704">
        <f>+landbouw!I12</f>
        <v>0</v>
      </c>
      <c r="K48" s="704">
        <f>+landbouw!J12</f>
        <v>212.40789431188983</v>
      </c>
      <c r="L48" s="704">
        <f>+landbouw!K12</f>
        <v>0</v>
      </c>
      <c r="M48" s="704">
        <f>+landbouw!L12</f>
        <v>0</v>
      </c>
      <c r="N48" s="704">
        <f>+landbouw!M12</f>
        <v>0</v>
      </c>
      <c r="O48" s="704">
        <f>+landbouw!N12</f>
        <v>0</v>
      </c>
      <c r="P48" s="704">
        <f>+landbouw!O12</f>
        <v>0</v>
      </c>
      <c r="Q48" s="705">
        <f>+landbouw!P12</f>
        <v>0</v>
      </c>
      <c r="R48" s="747">
        <f ca="1">SUM(C48:Q48)</f>
        <v>8085.5776317308528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67417.452819933344</v>
      </c>
      <c r="D53" s="759">
        <f t="shared" ref="D53:Q53" ca="1" si="6">D41+D46+D48</f>
        <v>198.09579831932777</v>
      </c>
      <c r="E53" s="759">
        <f t="shared" ca="1" si="6"/>
        <v>120708.56190976583</v>
      </c>
      <c r="F53" s="759">
        <f t="shared" si="6"/>
        <v>4372.8252394052815</v>
      </c>
      <c r="G53" s="759">
        <f t="shared" ca="1" si="6"/>
        <v>27461.696156870839</v>
      </c>
      <c r="H53" s="759">
        <f t="shared" si="6"/>
        <v>111299.29670240992</v>
      </c>
      <c r="I53" s="759">
        <f t="shared" si="6"/>
        <v>16889.52287387662</v>
      </c>
      <c r="J53" s="759">
        <f t="shared" si="6"/>
        <v>0</v>
      </c>
      <c r="K53" s="759">
        <f t="shared" si="6"/>
        <v>5693.2192561009197</v>
      </c>
      <c r="L53" s="759">
        <f t="shared" si="6"/>
        <v>0</v>
      </c>
      <c r="M53" s="759">
        <f t="shared" ca="1" si="6"/>
        <v>0</v>
      </c>
      <c r="N53" s="759">
        <f t="shared" si="6"/>
        <v>0</v>
      </c>
      <c r="O53" s="759">
        <f t="shared" ca="1" si="6"/>
        <v>0</v>
      </c>
      <c r="P53" s="759">
        <f>P41+P46+P48</f>
        <v>0</v>
      </c>
      <c r="Q53" s="760">
        <f t="shared" si="6"/>
        <v>0</v>
      </c>
      <c r="R53" s="761">
        <f ca="1">R41+R46+R48</f>
        <v>354040.67075668211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0.20701986849969234</v>
      </c>
      <c r="D55" s="824">
        <f t="shared" ca="1" si="7"/>
        <v>0.23764705882352946</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20644.525469833461</v>
      </c>
      <c r="C66" s="781">
        <f>'lokale energieproductie'!B6</f>
        <v>20644.525469833461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583.5</v>
      </c>
      <c r="C67" s="780">
        <f>B67*IFERROR(SUM(J67:L67)/SUM(D67:M67),0)</f>
        <v>0</v>
      </c>
      <c r="D67" s="812">
        <f>'lokale energieproductie'!C7</f>
        <v>686.47058823529426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138.66705882352946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21228.025469833461</v>
      </c>
      <c r="C69" s="789">
        <f>SUM(C64:C68)</f>
        <v>20644.525469833461</v>
      </c>
      <c r="D69" s="790">
        <f t="shared" ref="D69:M69" si="8">SUM(D67:D68)</f>
        <v>686.47058823529426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138.66705882352946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833.57142857142856</v>
      </c>
      <c r="C78" s="803">
        <f>B78*IFERROR(SUM(I78:L78)/SUM(D78:M78),0)</f>
        <v>0</v>
      </c>
      <c r="D78" s="818">
        <f>'lokale energieproductie'!C16</f>
        <v>980.67226890756319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198.09579831932777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833.57142857142856</v>
      </c>
      <c r="C81" s="789">
        <f>SUM(C78:C80)</f>
        <v>0</v>
      </c>
      <c r="D81" s="789">
        <f t="shared" ref="D81:P81" si="9">SUM(D78:D80)</f>
        <v>980.67226890756319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198.09579831932777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119343.42829738808</v>
      </c>
      <c r="C4" s="463">
        <f>huishoudens!C8</f>
        <v>0</v>
      </c>
      <c r="D4" s="463">
        <f>huishoudens!D8</f>
        <v>333785.38273802819</v>
      </c>
      <c r="E4" s="463">
        <f>huishoudens!E8</f>
        <v>11453.594473804469</v>
      </c>
      <c r="F4" s="463">
        <f>huishoudens!F8</f>
        <v>28708.194083184291</v>
      </c>
      <c r="G4" s="463">
        <f>huishoudens!G8</f>
        <v>0</v>
      </c>
      <c r="H4" s="463">
        <f>huishoudens!H8</f>
        <v>0</v>
      </c>
      <c r="I4" s="463">
        <f>huishoudens!I8</f>
        <v>0</v>
      </c>
      <c r="J4" s="463">
        <f>huishoudens!J8</f>
        <v>15406.680331701502</v>
      </c>
      <c r="K4" s="463">
        <f>huishoudens!K8</f>
        <v>0</v>
      </c>
      <c r="L4" s="463">
        <f>huishoudens!L8</f>
        <v>0</v>
      </c>
      <c r="M4" s="463">
        <f>huishoudens!M8</f>
        <v>0</v>
      </c>
      <c r="N4" s="463">
        <f>huishoudens!N8</f>
        <v>57917.307974144111</v>
      </c>
      <c r="O4" s="463">
        <f>huishoudens!O8</f>
        <v>554.98333333333335</v>
      </c>
      <c r="P4" s="464">
        <f>huishoudens!P8</f>
        <v>1601.6</v>
      </c>
      <c r="Q4" s="465">
        <f>SUM(B4:P4)</f>
        <v>568771.17123158392</v>
      </c>
    </row>
    <row r="5" spans="1:17">
      <c r="A5" s="462" t="s">
        <v>156</v>
      </c>
      <c r="B5" s="463">
        <f ca="1">tertiair!B16</f>
        <v>128899.29327947475</v>
      </c>
      <c r="C5" s="463">
        <f ca="1">tertiair!C16</f>
        <v>67.5</v>
      </c>
      <c r="D5" s="463">
        <f ca="1">tertiair!D16</f>
        <v>183733.46739670003</v>
      </c>
      <c r="E5" s="463">
        <f>tertiair!E16</f>
        <v>1517.834000867028</v>
      </c>
      <c r="F5" s="463">
        <f ca="1">tertiair!F16</f>
        <v>25212.857038831611</v>
      </c>
      <c r="G5" s="463">
        <f>tertiair!G16</f>
        <v>0</v>
      </c>
      <c r="H5" s="463">
        <f>tertiair!H16</f>
        <v>0</v>
      </c>
      <c r="I5" s="463">
        <f>tertiair!I16</f>
        <v>0</v>
      </c>
      <c r="J5" s="463">
        <f>tertiair!J16</f>
        <v>0</v>
      </c>
      <c r="K5" s="463">
        <f>tertiair!K16</f>
        <v>0</v>
      </c>
      <c r="L5" s="463">
        <f ca="1">tertiair!L16</f>
        <v>0</v>
      </c>
      <c r="M5" s="463">
        <f>tertiair!M16</f>
        <v>0</v>
      </c>
      <c r="N5" s="463">
        <f ca="1">tertiair!N16</f>
        <v>10161.96452710341</v>
      </c>
      <c r="O5" s="463">
        <f>tertiair!O16</f>
        <v>14.070000000000002</v>
      </c>
      <c r="P5" s="464">
        <f>tertiair!P16</f>
        <v>190.66666666666669</v>
      </c>
      <c r="Q5" s="462">
        <f t="shared" ref="Q5:Q13" ca="1" si="0">SUM(B5:P5)</f>
        <v>349797.65290964354</v>
      </c>
    </row>
    <row r="6" spans="1:17">
      <c r="A6" s="462" t="s">
        <v>194</v>
      </c>
      <c r="B6" s="463">
        <f>'openbare verlichting'!B8</f>
        <v>3617.5590000000002</v>
      </c>
      <c r="C6" s="463"/>
      <c r="D6" s="463"/>
      <c r="E6" s="463"/>
      <c r="F6" s="463"/>
      <c r="G6" s="463"/>
      <c r="H6" s="463"/>
      <c r="I6" s="463"/>
      <c r="J6" s="463"/>
      <c r="K6" s="463"/>
      <c r="L6" s="463"/>
      <c r="M6" s="463"/>
      <c r="N6" s="463"/>
      <c r="O6" s="463"/>
      <c r="P6" s="464"/>
      <c r="Q6" s="462">
        <f t="shared" si="0"/>
        <v>3617.5590000000002</v>
      </c>
    </row>
    <row r="7" spans="1:17">
      <c r="A7" s="462" t="s">
        <v>112</v>
      </c>
      <c r="B7" s="463">
        <f>landbouw!B8</f>
        <v>3989.8115351921078</v>
      </c>
      <c r="C7" s="463">
        <f>landbouw!C8</f>
        <v>0</v>
      </c>
      <c r="D7" s="463">
        <f>landbouw!D8</f>
        <v>16635.172713869033</v>
      </c>
      <c r="E7" s="463">
        <f>landbouw!E8</f>
        <v>50.276765265729843</v>
      </c>
      <c r="F7" s="463">
        <f>landbouw!F8</f>
        <v>13765.849303925361</v>
      </c>
      <c r="G7" s="463">
        <f>landbouw!G8</f>
        <v>0</v>
      </c>
      <c r="H7" s="463">
        <f>landbouw!H8</f>
        <v>0</v>
      </c>
      <c r="I7" s="463">
        <f>landbouw!I8</f>
        <v>0</v>
      </c>
      <c r="J7" s="463">
        <f>landbouw!J8</f>
        <v>600.02230031607303</v>
      </c>
      <c r="K7" s="463">
        <f>landbouw!K8</f>
        <v>0</v>
      </c>
      <c r="L7" s="463">
        <f>landbouw!L8</f>
        <v>0</v>
      </c>
      <c r="M7" s="463">
        <f>landbouw!M8</f>
        <v>0</v>
      </c>
      <c r="N7" s="463">
        <f>landbouw!N8</f>
        <v>0</v>
      </c>
      <c r="O7" s="463">
        <f>landbouw!O8</f>
        <v>0</v>
      </c>
      <c r="P7" s="464">
        <f>landbouw!P8</f>
        <v>0</v>
      </c>
      <c r="Q7" s="462">
        <f t="shared" si="0"/>
        <v>35041.132618568306</v>
      </c>
    </row>
    <row r="8" spans="1:17">
      <c r="A8" s="462" t="s">
        <v>657</v>
      </c>
      <c r="B8" s="463">
        <f>industrie!B18</f>
        <v>69782.070512670776</v>
      </c>
      <c r="C8" s="463">
        <f>industrie!C18</f>
        <v>766.07142857142856</v>
      </c>
      <c r="D8" s="463">
        <f>industrie!D18</f>
        <v>63367.97976791329</v>
      </c>
      <c r="E8" s="463">
        <f>industrie!E18</f>
        <v>4797.1807563446237</v>
      </c>
      <c r="F8" s="463">
        <f>industrie!F18</f>
        <v>35165.894169080595</v>
      </c>
      <c r="G8" s="463">
        <f>industrie!G18</f>
        <v>0</v>
      </c>
      <c r="H8" s="463">
        <f>industrie!H18</f>
        <v>0</v>
      </c>
      <c r="I8" s="463">
        <f>industrie!I18</f>
        <v>0</v>
      </c>
      <c r="J8" s="463">
        <f>industrie!J18</f>
        <v>75.837639453948796</v>
      </c>
      <c r="K8" s="463">
        <f>industrie!K18</f>
        <v>0</v>
      </c>
      <c r="L8" s="463">
        <f>industrie!L18</f>
        <v>0</v>
      </c>
      <c r="M8" s="463">
        <f>industrie!M18</f>
        <v>0</v>
      </c>
      <c r="N8" s="463">
        <f>industrie!N18</f>
        <v>16896.72999580059</v>
      </c>
      <c r="O8" s="463">
        <f>industrie!O18</f>
        <v>0</v>
      </c>
      <c r="P8" s="464">
        <f>industrie!P18</f>
        <v>0</v>
      </c>
      <c r="Q8" s="462">
        <f t="shared" si="0"/>
        <v>190851.76426983526</v>
      </c>
    </row>
    <row r="9" spans="1:17" s="468" customFormat="1">
      <c r="A9" s="466" t="s">
        <v>574</v>
      </c>
      <c r="B9" s="467">
        <f>transport!B14</f>
        <v>24.757691758464677</v>
      </c>
      <c r="C9" s="467"/>
      <c r="D9" s="467">
        <f>transport!D14</f>
        <v>45.135550647030954</v>
      </c>
      <c r="E9" s="467">
        <f>transport!E14</f>
        <v>1444.6613138735775</v>
      </c>
      <c r="F9" s="467"/>
      <c r="G9" s="467">
        <f>transport!G14</f>
        <v>406812.24890241527</v>
      </c>
      <c r="H9" s="467">
        <f>transport!H14</f>
        <v>67829.40913203462</v>
      </c>
      <c r="I9" s="467"/>
      <c r="J9" s="467"/>
      <c r="K9" s="467"/>
      <c r="L9" s="467"/>
      <c r="M9" s="467">
        <f>transport!M14</f>
        <v>21453.925955339764</v>
      </c>
      <c r="N9" s="467"/>
      <c r="O9" s="467"/>
      <c r="P9" s="467"/>
      <c r="Q9" s="466">
        <f>SUM(B9:P9)</f>
        <v>497610.13854606875</v>
      </c>
    </row>
    <row r="10" spans="1:17">
      <c r="A10" s="462" t="s">
        <v>564</v>
      </c>
      <c r="B10" s="463">
        <f>transport!B54</f>
        <v>0</v>
      </c>
      <c r="C10" s="463"/>
      <c r="D10" s="463">
        <f>transport!D54</f>
        <v>0</v>
      </c>
      <c r="E10" s="463"/>
      <c r="F10" s="463"/>
      <c r="G10" s="463">
        <f>transport!G54</f>
        <v>10039.04960848325</v>
      </c>
      <c r="H10" s="463"/>
      <c r="I10" s="463"/>
      <c r="J10" s="463"/>
      <c r="K10" s="463"/>
      <c r="L10" s="463"/>
      <c r="M10" s="463">
        <f>transport!M54</f>
        <v>446.46109076511101</v>
      </c>
      <c r="N10" s="463"/>
      <c r="O10" s="463"/>
      <c r="P10" s="464"/>
      <c r="Q10" s="462">
        <f t="shared" si="0"/>
        <v>10485.510699248362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325656.92031648417</v>
      </c>
      <c r="C14" s="473">
        <f t="shared" ref="C14:Q14" ca="1" si="1">SUM(C4:C13)</f>
        <v>833.57142857142856</v>
      </c>
      <c r="D14" s="473">
        <f t="shared" ca="1" si="1"/>
        <v>597567.13816715754</v>
      </c>
      <c r="E14" s="473">
        <f t="shared" si="1"/>
        <v>19263.547310155427</v>
      </c>
      <c r="F14" s="473">
        <f t="shared" ca="1" si="1"/>
        <v>102852.79459502186</v>
      </c>
      <c r="G14" s="473">
        <f t="shared" si="1"/>
        <v>416851.29851089854</v>
      </c>
      <c r="H14" s="473">
        <f t="shared" si="1"/>
        <v>67829.40913203462</v>
      </c>
      <c r="I14" s="473">
        <f t="shared" si="1"/>
        <v>0</v>
      </c>
      <c r="J14" s="473">
        <f t="shared" si="1"/>
        <v>16082.540271471524</v>
      </c>
      <c r="K14" s="473">
        <f t="shared" si="1"/>
        <v>0</v>
      </c>
      <c r="L14" s="473">
        <f t="shared" ca="1" si="1"/>
        <v>0</v>
      </c>
      <c r="M14" s="473">
        <f t="shared" si="1"/>
        <v>21900.387046104875</v>
      </c>
      <c r="N14" s="473">
        <f t="shared" ca="1" si="1"/>
        <v>84976.002497048117</v>
      </c>
      <c r="O14" s="473">
        <f t="shared" si="1"/>
        <v>569.0533333333334</v>
      </c>
      <c r="P14" s="474">
        <f t="shared" si="1"/>
        <v>1792.2666666666667</v>
      </c>
      <c r="Q14" s="474">
        <f t="shared" ca="1" si="1"/>
        <v>1656174.9292749481</v>
      </c>
    </row>
    <row r="16" spans="1:17">
      <c r="A16" s="476" t="s">
        <v>569</v>
      </c>
      <c r="B16" s="829">
        <f ca="1">huishoudens!B10</f>
        <v>0.20701986849969234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24706.46083242774</v>
      </c>
      <c r="C21" s="463">
        <f t="shared" ref="C21:C28" ca="1" si="3">C4*$C$16</f>
        <v>0</v>
      </c>
      <c r="D21" s="463">
        <f t="shared" ref="D21:D30" si="4">D4*$D$16</f>
        <v>67424.647313081703</v>
      </c>
      <c r="E21" s="463">
        <f t="shared" ref="E21:E30" si="5">E4*$E$16</f>
        <v>2599.9659455536143</v>
      </c>
      <c r="F21" s="463">
        <f t="shared" ref="F21:F28" si="6">F4*$F$16</f>
        <v>7665.0878202102058</v>
      </c>
      <c r="G21" s="463">
        <f t="shared" ref="G21:G30" si="7">G4*$G$16</f>
        <v>0</v>
      </c>
      <c r="H21" s="463">
        <f t="shared" ref="H21:H30" si="8">H4*$H$16</f>
        <v>0</v>
      </c>
      <c r="I21" s="463">
        <f t="shared" ref="I21:I28" si="9">I4*$I$16</f>
        <v>0</v>
      </c>
      <c r="J21" s="463">
        <f t="shared" ref="J21:J28" si="10">J4*$J$16</f>
        <v>5453.9648374223316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107850.12674869559</v>
      </c>
    </row>
    <row r="22" spans="1:17">
      <c r="A22" s="462" t="s">
        <v>156</v>
      </c>
      <c r="B22" s="463">
        <f t="shared" ca="1" si="2"/>
        <v>26684.71474442014</v>
      </c>
      <c r="C22" s="463">
        <f t="shared" ca="1" si="3"/>
        <v>16.041176470588237</v>
      </c>
      <c r="D22" s="463">
        <f t="shared" ca="1" si="4"/>
        <v>37114.16041413341</v>
      </c>
      <c r="E22" s="463">
        <f t="shared" si="5"/>
        <v>344.54831819681533</v>
      </c>
      <c r="F22" s="463">
        <f t="shared" ca="1" si="6"/>
        <v>6731.8328293680406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70891.297482588998</v>
      </c>
    </row>
    <row r="23" spans="1:17">
      <c r="A23" s="462" t="s">
        <v>194</v>
      </c>
      <c r="B23" s="463">
        <f t="shared" ca="1" si="2"/>
        <v>748.90658846987856</v>
      </c>
      <c r="C23" s="463"/>
      <c r="D23" s="463"/>
      <c r="E23" s="463"/>
      <c r="F23" s="463"/>
      <c r="G23" s="463"/>
      <c r="H23" s="463"/>
      <c r="I23" s="463"/>
      <c r="J23" s="463"/>
      <c r="K23" s="463"/>
      <c r="L23" s="463"/>
      <c r="M23" s="463"/>
      <c r="N23" s="463"/>
      <c r="O23" s="463"/>
      <c r="P23" s="464"/>
      <c r="Q23" s="462">
        <f t="shared" ca="1" si="17"/>
        <v>748.90658846987856</v>
      </c>
    </row>
    <row r="24" spans="1:17">
      <c r="A24" s="462" t="s">
        <v>112</v>
      </c>
      <c r="B24" s="463">
        <f t="shared" ca="1" si="2"/>
        <v>825.97025935402576</v>
      </c>
      <c r="C24" s="463">
        <f t="shared" ca="1" si="3"/>
        <v>0</v>
      </c>
      <c r="D24" s="463">
        <f t="shared" si="4"/>
        <v>3360.3048882015451</v>
      </c>
      <c r="E24" s="463">
        <f t="shared" si="5"/>
        <v>11.412825715320675</v>
      </c>
      <c r="F24" s="463">
        <f t="shared" si="6"/>
        <v>3675.4817641480718</v>
      </c>
      <c r="G24" s="463">
        <f t="shared" si="7"/>
        <v>0</v>
      </c>
      <c r="H24" s="463">
        <f t="shared" si="8"/>
        <v>0</v>
      </c>
      <c r="I24" s="463">
        <f t="shared" si="9"/>
        <v>0</v>
      </c>
      <c r="J24" s="463">
        <f t="shared" si="10"/>
        <v>212.40789431188983</v>
      </c>
      <c r="K24" s="463">
        <f t="shared" si="11"/>
        <v>0</v>
      </c>
      <c r="L24" s="463">
        <f t="shared" si="12"/>
        <v>0</v>
      </c>
      <c r="M24" s="463">
        <f t="shared" si="13"/>
        <v>0</v>
      </c>
      <c r="N24" s="463">
        <f t="shared" si="14"/>
        <v>0</v>
      </c>
      <c r="O24" s="463">
        <f t="shared" si="15"/>
        <v>0</v>
      </c>
      <c r="P24" s="464">
        <f t="shared" si="16"/>
        <v>0</v>
      </c>
      <c r="Q24" s="462">
        <f t="shared" ca="1" si="17"/>
        <v>8085.5776317308528</v>
      </c>
    </row>
    <row r="25" spans="1:17">
      <c r="A25" s="462" t="s">
        <v>657</v>
      </c>
      <c r="B25" s="463">
        <f t="shared" ca="1" si="2"/>
        <v>14446.275061169363</v>
      </c>
      <c r="C25" s="463">
        <f t="shared" ca="1" si="3"/>
        <v>182.05462184873954</v>
      </c>
      <c r="D25" s="463">
        <f t="shared" si="4"/>
        <v>12800.331913118485</v>
      </c>
      <c r="E25" s="463">
        <f t="shared" si="5"/>
        <v>1088.9600316902297</v>
      </c>
      <c r="F25" s="463">
        <f t="shared" si="6"/>
        <v>9389.2937431445189</v>
      </c>
      <c r="G25" s="463">
        <f t="shared" si="7"/>
        <v>0</v>
      </c>
      <c r="H25" s="463">
        <f t="shared" si="8"/>
        <v>0</v>
      </c>
      <c r="I25" s="463">
        <f t="shared" si="9"/>
        <v>0</v>
      </c>
      <c r="J25" s="463">
        <f t="shared" si="10"/>
        <v>26.846524366697871</v>
      </c>
      <c r="K25" s="463">
        <f t="shared" si="11"/>
        <v>0</v>
      </c>
      <c r="L25" s="463">
        <f t="shared" si="12"/>
        <v>0</v>
      </c>
      <c r="M25" s="463">
        <f t="shared" si="13"/>
        <v>0</v>
      </c>
      <c r="N25" s="463">
        <f t="shared" si="14"/>
        <v>0</v>
      </c>
      <c r="O25" s="463">
        <f t="shared" si="15"/>
        <v>0</v>
      </c>
      <c r="P25" s="464">
        <f t="shared" si="16"/>
        <v>0</v>
      </c>
      <c r="Q25" s="462">
        <f t="shared" ca="1" si="17"/>
        <v>37933.761895338037</v>
      </c>
    </row>
    <row r="26" spans="1:17" s="468" customFormat="1">
      <c r="A26" s="466" t="s">
        <v>574</v>
      </c>
      <c r="B26" s="823">
        <f t="shared" ca="1" si="2"/>
        <v>5.125334092193274</v>
      </c>
      <c r="C26" s="467"/>
      <c r="D26" s="467">
        <f t="shared" si="4"/>
        <v>9.1173812307002535</v>
      </c>
      <c r="E26" s="467">
        <f t="shared" si="5"/>
        <v>327.93811824930208</v>
      </c>
      <c r="F26" s="467"/>
      <c r="G26" s="467">
        <f t="shared" si="7"/>
        <v>108618.87045694489</v>
      </c>
      <c r="H26" s="467">
        <f t="shared" si="8"/>
        <v>16889.52287387662</v>
      </c>
      <c r="I26" s="467"/>
      <c r="J26" s="467"/>
      <c r="K26" s="467"/>
      <c r="L26" s="467"/>
      <c r="M26" s="467">
        <f t="shared" si="13"/>
        <v>0</v>
      </c>
      <c r="N26" s="467"/>
      <c r="O26" s="467"/>
      <c r="P26" s="478"/>
      <c r="Q26" s="466">
        <f t="shared" ca="1" si="17"/>
        <v>125850.57416439371</v>
      </c>
    </row>
    <row r="27" spans="1:17">
      <c r="A27" s="462" t="s">
        <v>564</v>
      </c>
      <c r="B27" s="463">
        <f t="shared" ca="1" si="2"/>
        <v>0</v>
      </c>
      <c r="C27" s="463"/>
      <c r="D27" s="467">
        <f t="shared" si="4"/>
        <v>0</v>
      </c>
      <c r="E27" s="463"/>
      <c r="F27" s="463"/>
      <c r="G27" s="463">
        <f t="shared" si="7"/>
        <v>2680.4262454650279</v>
      </c>
      <c r="H27" s="463"/>
      <c r="I27" s="463"/>
      <c r="J27" s="463"/>
      <c r="K27" s="463"/>
      <c r="L27" s="463"/>
      <c r="M27" s="463">
        <f t="shared" si="13"/>
        <v>0</v>
      </c>
      <c r="N27" s="463"/>
      <c r="O27" s="463"/>
      <c r="P27" s="464"/>
      <c r="Q27" s="462">
        <f t="shared" ca="1" si="17"/>
        <v>2680.4262454650279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67417.452819933344</v>
      </c>
      <c r="C31" s="473">
        <f t="shared" ca="1" si="18"/>
        <v>198.09579831932777</v>
      </c>
      <c r="D31" s="473">
        <f t="shared" ca="1" si="18"/>
        <v>120708.56190976583</v>
      </c>
      <c r="E31" s="473">
        <f t="shared" si="18"/>
        <v>4372.8252394052815</v>
      </c>
      <c r="F31" s="473">
        <f t="shared" ca="1" si="18"/>
        <v>27461.696156870836</v>
      </c>
      <c r="G31" s="473">
        <f t="shared" si="18"/>
        <v>111299.29670240992</v>
      </c>
      <c r="H31" s="473">
        <f t="shared" si="18"/>
        <v>16889.52287387662</v>
      </c>
      <c r="I31" s="473">
        <f t="shared" si="18"/>
        <v>0</v>
      </c>
      <c r="J31" s="473">
        <f t="shared" si="18"/>
        <v>5693.2192561009197</v>
      </c>
      <c r="K31" s="473">
        <f t="shared" si="18"/>
        <v>0</v>
      </c>
      <c r="L31" s="473">
        <f t="shared" ca="1" si="18"/>
        <v>0</v>
      </c>
      <c r="M31" s="473">
        <f t="shared" si="18"/>
        <v>0</v>
      </c>
      <c r="N31" s="473">
        <f t="shared" ca="1" si="18"/>
        <v>0</v>
      </c>
      <c r="O31" s="473">
        <f t="shared" si="18"/>
        <v>0</v>
      </c>
      <c r="P31" s="474">
        <f t="shared" si="18"/>
        <v>0</v>
      </c>
      <c r="Q31" s="474">
        <f t="shared" ca="1" si="18"/>
        <v>354040.67075668206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0.20701986849969234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0.20701986849969234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0.20701986849969234</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2019-01-02T18:05:27Z</dcterms:modified>
</cp:coreProperties>
</file>