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<sst xmlns="http://schemas.openxmlformats.org/spreadsheetml/2006/main" count="2160" uniqueCount="885">
  <si>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</si>
  <si>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</si>
  <si>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</si>
  <si>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</si>
  <si>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</si>
  <si>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</si>
  <si>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</si>
  <si>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</si>
  <si>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</si>
  <si>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</si>
  <si>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</si>
  <si>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</si>
  <si>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</si>
  <si>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</si>
  <si>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</si>
  <si>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</si>
  <si>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</si>
  <si>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</si>
  <si>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</si>
  <si>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</si>
  <si>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</si>
  <si>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</si>
  <si>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</si>
  <si>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</si>
  <si>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</si>
  <si>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</si>
  <si>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</si>
  <si>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</si>
  <si>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</si>
  <si>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</si>
  <si>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</si>
  <si>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</si>
  <si>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</si>
  <si>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</si>
  <si>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</si>
  <si>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</si>
  <si>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</si>
  <si>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</si>
  <si>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</si>
  <si>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</si>
  <si>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</si>
  <si>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</si>
  <si>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</si>
  <si>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</si>
  <si>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</si>
  <si>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</si>
  <si>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</si>
  <si>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</si>
  <si>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</si>
  <si>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</si>
  <si>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</si>
  <si>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</si>
  <si>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</si>
  <si>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</si>
  <si>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</si>
  <si>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</si>
  <si>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</si>
  <si>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</si>
  <si>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</si>
  <si>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</si>
  <si>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</si>
  <si>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</si>
  <si>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</si>
  <si>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</si>
  <si>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</si>
  <si>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</si>
  <si>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</si>
  <si>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</si>
  <si>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</si>
  <si>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</si>
  <si>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</si>
  <si>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</si>
  <si>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</si>
  <si>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</si>
  <si>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</si>
  <si>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</si>
  <si>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</si>
  <si>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</si>
  <si>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</si>
  <si>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</si>
  <si>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</si>
  <si>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</si>
  <si>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</si>
  <si>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</si>
  <si>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</si>
  <si>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</si>
  <si>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</si>
  <si>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</si>
  <si>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</si>
  <si>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</si>
  <si>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</si>
  <si>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</si>
  <si>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</si>
  <si>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</si>
  <si>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</si>
  <si>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</si>
  <si>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</si>
  <si>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</si>
  <si>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</si>
  <si>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</si>
  <si>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</si>
  <si>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</si>
  <si>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</si>
  <si>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</si>
  <si>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</si>
  <si>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</si>
  <si>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</si>
  <si>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</si>
  <si>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</si>
  <si>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</si>
  <si>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</si>
  <si>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</si>
  <si>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</si>
  <si>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</si>
  <si>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</si>
  <si>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</si>
  <si>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</si>
  <si>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</si>
  <si>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</si>
  <si>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</si>
  <si>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</si>
  <si>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</si>
  <si>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</si>
  <si>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</si>
  <si>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</si>
  <si>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</si>
  <si>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</si>
  <si>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</si>
  <si>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</si>
  <si>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</si>
  <si>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</si>
  <si>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</si>
  <si>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</si>
  <si>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</si>
  <si>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</si>
  <si>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</si>
  <si>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</si>
  <si>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</si>
  <si>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</si>
  <si>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</si>
  <si>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</si>
  <si>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</si>
  <si>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</si>
  <si>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</si>
  <si>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</si>
  <si>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</si>
  <si>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</si>
  <si>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</si>
  <si>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</si>
  <si>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</si>
  <si>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</si>
  <si>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</si>
  <si>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</si>
  <si>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</si>
  <si>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</si>
  <si>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</si>
  <si>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</si>
  <si>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</si>
  <si>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</si>
  <si>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</si>
  <si>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</si>
  <si>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</si>
  <si>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</si>
  <si>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</si>
  <si>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</si>
  <si>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</si>
  <si>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</si>
  <si>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</si>
  <si>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</si>
  <si>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</si>
  <si>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</si>
  <si>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</si>
  <si>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</si>
  <si>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</si>
  <si>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</si>
  <si>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</si>
  <si>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</si>
  <si>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</si>
  <si>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</si>
  <si>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</si>
  <si>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</si>
  <si>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</si>
  <si>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</si>
  <si>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</si>
  <si>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</si>
  <si>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</si>
  <si>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</si>
  <si>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</si>
  <si>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</si>
  <si>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</si>
  <si>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</si>
  <si>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</si>
  <si>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</si>
  <si>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</si>
  <si>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</si>
  <si>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</si>
  <si>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</si>
  <si>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</si>
  <si>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</si>
  <si>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</si>
  <si>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</si>
  <si>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</si>
  <si>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</si>
  <si>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</si>
  <si>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</si>
  <si>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</si>
  <si>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</si>
  <si>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</si>
  <si>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</si>
  <si>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</si>
  <si>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</si>
  <si>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</si>
  <si>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</si>
  <si>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</si>
  <si>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</si>
  <si>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</si>
  <si>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</si>
  <si>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</si>
  <si>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</si>
  <si>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</si>
  <si>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</si>
  <si>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</si>
  <si>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</si>
  <si>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</si>
  <si>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</si>
  <si>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</si>
  <si>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</si>
  <si>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</si>
  <si>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</si>
  <si>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</si>
  <si>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</si>
  <si>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</si>
  <si>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</si>
  <si>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</si>
  <si>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</si>
  <si>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</si>
  <si>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</si>
  <si>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</si>
  <si>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</si>
  <si>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</si>
  <si>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</si>
  <si>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</si>
  <si>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</si>
  <si>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</si>
  <si>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</si>
  <si>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</si>
  <si>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</si>
  <si>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</si>
  <si>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</si>
  <si>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</si>
  <si>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</si>
  <si>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</si>
  <si>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</si>
  <si>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</si>
  <si>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</si>
  <si>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</si>
  <si>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</si>
  <si>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</si>
  <si>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</si>
  <si>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</si>
  <si>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</si>
  <si>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</si>
  <si>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</si>
  <si>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</si>
  <si>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</si>
  <si>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</si>
  <si>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</si>
  <si>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</si>
  <si>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</si>
  <si>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</si>
  <si>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</si>
  <si>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</si>
  <si>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</si>
  <si>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</si>
  <si>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</si>
  <si>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</si>
  <si>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</si>
  <si>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</si>
  <si>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</si>
  <si>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</si>
  <si>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</si>
  <si>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</si>
  <si>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</si>
  <si>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</si>
  <si>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</si>
  <si>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</si>
  <si>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</si>
  <si>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</si>
  <si>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</si>
  <si>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</si>
  <si>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</si>
  <si>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</si>
  <si>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</si>
  <si>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</si>
  <si>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</si>
  <si>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</si>
  <si>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</si>
  <si>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</si>
  <si>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</si>
  <si>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</si>
  <si>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</si>
  <si>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</si>
  <si>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</si>
  <si>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</si>
  <si>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</si>
  <si>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</si>
  <si>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</si>
  <si>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</si>
  <si>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</si>
  <si>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</si>
  <si>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</si>
  <si>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</si>
  <si>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</si>
  <si>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</si>
  <si>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</si>
  <si>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</si>
  <si>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</si>
  <si>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</si>
  <si>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</si>
  <si>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</si>
  <si>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</si>
  <si>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</si>
  <si>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</si>
  <si>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</si>
  <si>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</si>
  <si>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</si>
  <si>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</si>
  <si>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</si>
  <si>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</si>
  <si>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</si>
  <si>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</si>
  <si>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</si>
  <si>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</si>
  <si>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</si>
  <si>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</si>
  <si>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</si>
  <si>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</si>
  <si>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</si>
  <si>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</si>
  <si>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</si>
  <si>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</si>
  <si>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</si>
  <si>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</si>
  <si>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</si>
  <si>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</si>
  <si>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</si>
  <si>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</si>
  <si>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</si>
  <si>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</si>
  <si>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</si>
  <si>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</si>
  <si>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</si>
  <si>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</si>
  <si>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</si>
  <si>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</si>
  <si>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</si>
  <si>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</si>
  <si>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</si>
  <si>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</si>
  <si>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</si>
  <si>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</si>
  <si>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</si>
  <si>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</si>
  <si>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</si>
  <si>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</si>
  <si>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</si>
  <si>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</si>
  <si>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</si>
  <si>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</si>
  <si>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</si>
  <si>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</si>
  <si>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</si>
  <si>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</si>
  <si>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</si>
  <si>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</si>
  <si>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</si>
  <si>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</si>
  <si>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</si>
  <si>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</si>
  <si>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</si>
  <si>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</si>
  <si>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</si>
  <si>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</si>
  <si>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</si>
  <si>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</si>
  <si>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</si>
  <si>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</si>
  <si>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</si>
  <si>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</si>
  <si>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</si>
  <si>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</si>
  <si>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</si>
  <si>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</si>
  <si>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</si>
  <si>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</si>
  <si>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</si>
  <si>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</si>
  <si>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</si>
  <si>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</si>
  <si>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</si>
  <si>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</si>
  <si>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</si>
  <si>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</si>
  <si>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</si>
  <si>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</si>
  <si>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</si>
  <si>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</si>
  <si>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</si>
  <si>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</si>
  <si>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</si>
  <si>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</si>
  <si>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</si>
  <si>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</si>
  <si>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</si>
  <si>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</si>
  <si>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</si>
  <si>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</si>
  <si>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</si>
  <si>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</si>
  <si>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</si>
  <si>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</si>
  <si>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</si>
  <si>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</si>
  <si>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</si>
  <si>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</si>
  <si>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</si>
  <si>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</si>
  <si>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</si>
  <si>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</si>
  <si>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</si>
  <si>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</si>
  <si>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</si>
  <si>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</si>
  <si>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</si>
  <si>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</si>
  <si>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</si>
  <si>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</si>
  <si>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</si>
  <si>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</si>
  <si>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</si>
  <si>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</si>
  <si>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</si>
  <si>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</si>
  <si>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</si>
  <si>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</si>
  <si>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</si>
  <si>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</si>
  <si>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</si>
  <si>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</si>
  <si>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</si>
  <si>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</si>
  <si>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</si>
  <si>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</si>
  <si>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</si>
  <si>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</si>
  <si>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</si>
  <si>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</si>
  <si>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</si>
  <si>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</si>
  <si>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</si>
  <si>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</si>
  <si>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</si>
  <si>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</si>
  <si>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</si>
  <si>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</si>
  <si>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</si>
  <si>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</si>
  <si>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</si>
  <si>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</si>
  <si>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</si>
  <si>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</si>
  <si>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</si>
  <si>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</si>
  <si>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</si>
  <si>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</si>
  <si>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</si>
  <si>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</si>
  <si>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</si>
  <si>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</si>
  <si>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</si>
  <si>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</si>
  <si>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</si>
  <si>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</si>
  <si>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</si>
  <si>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</si>
  <si>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</si>
  <si>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</si>
  <si>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</si>
  <si>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</si>
  <si>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</si>
  <si>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</si>
  <si>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</si>
  <si>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</si>
  <si>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</si>
  <si>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</si>
  <si>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</si>
  <si>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</si>
  <si>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</si>
  <si>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</si>
  <si>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</si>
  <si>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</si>
  <si>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</si>
  <si>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</si>
  <si>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</si>
  <si>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</si>
  <si>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</si>
  <si>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</si>
  <si>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</si>
  <si>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</si>
  <si>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</si>
  <si>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</si>
  <si>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</si>
  <si>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</si>
  <si>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</si>
  <si>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</si>
  <si>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</si>
  <si>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</si>
  <si>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</si>
  <si>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</si>
  <si>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</si>
  <si>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</si>
  <si>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</si>
  <si>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</si>
  <si>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</si>
  <si>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</si>
  <si>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</si>
  <si>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</si>
  <si>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</si>
  <si>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</si>
  <si>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</si>
  <si>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</si>
  <si>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</si>
  <si>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</si>
  <si>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</si>
  <si>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</si>
  <si>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</si>
  <si>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</si>
  <si>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</si>
  <si>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</si>
  <si>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</si>
  <si>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</si>
  <si>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</si>
  <si>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</si>
  <si>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</si>
  <si>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</si>
  <si>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</si>
  <si>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</si>
  <si>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</si>
  <si>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</si>
  <si>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</si>
  <si>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</si>
  <si>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</si>
  <si>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</si>
  <si>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</si>
  <si>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</si>
  <si>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</si>
  <si>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</si>
  <si>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</si>
  <si>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</si>
  <si>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</si>
  <si>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</si>
  <si>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</si>
  <si>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</si>
  <si>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</si>
  <si>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</si>
  <si>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</si>
  <si>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</si>
  <si>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</si>
  <si>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</si>
  <si>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</si>
  <si>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</si>
  <si>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</si>
  <si>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</si>
  <si>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</si>
  <si>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</si>
  <si>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</si>
  <si>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</si>
  <si>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</si>
  <si>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</si>
  <si>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</si>
  <si>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</si>
  <si>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</si>
  <si>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</si>
  <si>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</si>
  <si>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</si>
  <si>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</si>
  <si>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</si>
  <si>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</si>
  <si>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</si>
  <si>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</si>
  <si>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</si>
  <si>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</si>
  <si>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</si>
  <si>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</si>
  <si>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</si>
  <si>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</si>
  <si>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</si>
  <si>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</si>
  <si>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</si>
  <si>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</si>
  <si>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</si>
  <si>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</si>
  <si>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</si>
  <si>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</si>
  <si>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</si>
  <si>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</si>
  <si>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</si>
  <si>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</si>
  <si>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</si>
  <si>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</si>
  <si>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</si>
  <si>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</si>
  <si>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</si>
  <si>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</si>
  <si>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</si>
  <si>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</si>
  <si>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</si>
  <si>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</si>
  <si>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</si>
  <si>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</si>
  <si>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</si>
  <si>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</si>
  <si>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</si>
  <si>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</si>
  <si>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</si>
  <si>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</si>
  <si>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</si>
  <si>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</si>
  <si>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</si>
  <si>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</si>
  <si>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</si>
  <si>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</si>
  <si>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</si>
  <si>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</si>
  <si>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</si>
  <si>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</si>
  <si>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</si>
  <si>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</si>
  <si>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</si>
  <si>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</si>
  <si>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</si>
  <si>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</si>
  <si>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</si>
  <si>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</si>
  <si>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</si>
  <si>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</si>
  <si>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</si>
  <si>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</si>
  <si>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</si>
  <si>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</si>
  <si>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</si>
  <si>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</si>
  <si>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</si>
  <si>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</si>
  <si>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</si>
  <si>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</si>
  <si>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</si>
  <si>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</si>
  <si>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</si>
  <si>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</si>
  <si>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</si>
  <si>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</si>
  <si>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</si>
  <si>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</si>
  <si>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</si>
  <si>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</si>
  <si>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</si>
  <si>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</si>
  <si>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</si>
  <si>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</si>
  <si>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</si>
  <si>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</si>
  <si>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</si>
  <si>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</si>
  <si>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</si>
  <si>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</si>
  <si>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</si>
  <si>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</si>
  <si>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</si>
  <si>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</si>
  <si>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</si>
  <si>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</si>
  <si>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</si>
  <si>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</si>
  <si>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</si>
  <si>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</si>
  <si>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</si>
  <si>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</si>
  <si>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</si>
  <si>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</si>
  <si>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</si>
  <si>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</si>
  <si>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</si>
  <si>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</si>
  <si>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</si>
  <si>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</si>
  <si>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</si>
  <si>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</si>
  <si>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</si>
  <si>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</si>
  <si>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</si>
  <si>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</si>
  <si>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</si>
  <si>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</si>
  <si>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</si>
  <si>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</si>
  <si>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</si>
  <si>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</si>
  <si>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</si>
  <si>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</si>
  <si>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</si>
  <si>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</si>
  <si>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</si>
  <si>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</si>
  <si>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</si>
  <si>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</si>
  <si>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</si>
  <si>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</si>
  <si>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</si>
  <si>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</si>
  <si>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</si>
  <si>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</si>
  <si>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</si>
  <si>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</si>
  <si>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</si>
  <si>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</si>
  <si>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</si>
  <si>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</si>
  <si>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</si>
  <si>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</si>
  <si>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</si>
  <si>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</si>
  <si>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</si>
  <si>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</si>
  <si>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</si>
  <si>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</si>
  <si>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</si>
  <si>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</si>
  <si>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</si>
  <si>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</si>
  <si>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</si>
  <si>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</si>
  <si>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</si>
  <si>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</si>
  <si>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</si>
  <si>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</si>
  <si>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</si>
  <si>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</si>
  <si>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</si>
  <si>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</si>
  <si>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</si>
  <si>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</si>
  <si>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</si>
  <si>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</si>
  <si>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</si>
  <si>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</si>
  <si>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</si>
  <si>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</si>
  <si>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</si>
  <si>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</si>
  <si>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</si>
  <si>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</si>
  <si>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</si>
  <si>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</si>
  <si>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</si>
  <si>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</si>
  <si>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</si>
  <si>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</si>
  <si>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</si>
  <si>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</si>
  <si>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</si>
  <si>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</si>
  <si>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</si>
  <si>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</si>
  <si>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</si>
  <si>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</si>
  <si>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</si>
  <si>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</si>
  <si>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</si>
  <si>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</si>
  <si>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</si>
  <si>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</si>
  <si>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</si>
  <si>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</si>
  <si>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</si>
  <si>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</si>
  <si>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</si>
  <si>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</si>
  <si>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</si>
  <si>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</si>
  <si>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</si>
  <si>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</si>
  <si>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</si>
  <si>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</si>
  <si>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</si>
  <si>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</si>
  <si>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</si>
  <si>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</si>
  <si>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</si>
  <si>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</si>
  <si>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</si>
  <si>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</si>
  <si>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</si>
  <si>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</si>
  <si>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</si>
  <si>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</si>
  <si>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</si>
  <si>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</si>
  <si>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</si>
  <si>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</si>
  <si>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</si>
  <si>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</si>
  <si>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</si>
  <si>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</si>
  <si>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</si>
  <si>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</si>
  <si>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</si>
  <si>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</si>
  <si>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</si>
  <si>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</si>
  <si>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</si>
  <si>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</si>
  <si>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</si>
  <si>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</si>
  <si>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</si>
  <si>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</si>
  <si>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</si>
  <si>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</si>
  <si>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</si>
  <si>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</si>
  <si>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</si>
  <si>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</si>
  <si>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</si>
  <si>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</si>
  <si>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</si>
  <si>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</si>
  <si>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</si>
  <si>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</si>
  <si>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</si>
  <si>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</si>
  <si>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</si>
  <si>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</si>
  <si>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</si>
  <si>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</si>
  <si>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</si>
  <si>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</si>
  <si>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</si>
  <si>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</si>
  <si>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</si>
  <si>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</si>
  <si>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</si>
  <si>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</si>
  <si>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</si>
  <si>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</si>
  <si>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</si>
  <si>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</si>
  <si>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</si>
  <si>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</si>
  <si>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</si>
  <si>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</si>
  <si>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</si>
  <si>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</si>
  <si>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</si>
  <si>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</si>
  <si>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</si>
  <si>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</si>
  <si>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</si>
  <si>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</si>
  <si>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</si>
  <si>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</si>
  <si>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</si>
  <si>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45017</t>
  </si>
  <si>
    <t>KRUISHOUTEM</t>
  </si>
  <si>
    <t>Cultuurgrond (ha)</t>
  </si>
  <si>
    <t>Paarden&amp;pony's 200 - 600 kg</t>
  </si>
  <si>
    <t>Paarden&amp;pony's &lt; 200 kg</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</si>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</sst>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86272.002035860423</c:v>
                </c:pt>
                <c:pt idx="1">
                  <c:v>36432.088858863688</c:v>
                </c:pt>
                <c:pt idx="2">
                  <c:v>757.00400000000002</c:v>
                </c:pt>
                <c:pt idx="3">
                  <c:v>13239.787231642711</c:v>
                </c:pt>
                <c:pt idx="4">
                  <c:v>289894.13632180897</c:v>
                </c:pt>
                <c:pt idx="5">
                  <c:v>276344.18163854943</c:v>
                </c:pt>
                <c:pt idx="6">
                  <c:v>494.28024848590456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4204672"/>
        <c:axId val="162534528"/>
      </c:barChart>
      <c:catAx>
        <c:axId val="184204672"/>
        <c:scaling>
          <c:orientation val="minMax"/>
        </c:scaling>
        <c:axPos val="b"/>
        <c:numFmt formatCode="General" sourceLinked="0"/>
        <c:tickLblPos val="nextTo"/>
        <c:crossAx val="162534528"/>
        <c:crosses val="autoZero"/>
        <c:auto val="1"/>
        <c:lblAlgn val="ctr"/>
        <c:lblOffset val="100"/>
      </c:catAx>
      <c:valAx>
        <c:axId val="162534528"/>
        <c:scaling>
          <c:orientation val="minMax"/>
        </c:scaling>
        <c:axPos val="l"/>
        <c:majorGridlines/>
        <c:numFmt formatCode="#,##0" sourceLinked="1"/>
        <c:tickLblPos val="nextTo"/>
        <c:crossAx val="1842046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86272.002035860423</c:v>
                </c:pt>
                <c:pt idx="1">
                  <c:v>36432.088858863688</c:v>
                </c:pt>
                <c:pt idx="2">
                  <c:v>757.00400000000002</c:v>
                </c:pt>
                <c:pt idx="3">
                  <c:v>13239.787231642711</c:v>
                </c:pt>
                <c:pt idx="4">
                  <c:v>289894.13632180897</c:v>
                </c:pt>
                <c:pt idx="5">
                  <c:v>276344.18163854943</c:v>
                </c:pt>
                <c:pt idx="6">
                  <c:v>494.28024848590456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17956.628784150736</c:v>
                </c:pt>
                <c:pt idx="1">
                  <c:v>7498.7428425109301</c:v>
                </c:pt>
                <c:pt idx="2">
                  <c:v>160.14398669865184</c:v>
                </c:pt>
                <c:pt idx="3">
                  <c:v>3337.5795617604617</c:v>
                </c:pt>
                <c:pt idx="4">
                  <c:v>59685.449223141521</c:v>
                </c:pt>
                <c:pt idx="5">
                  <c:v>70041.453646985829</c:v>
                </c:pt>
                <c:pt idx="6">
                  <c:v>126.35357386565506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17600"/>
        <c:axId val="162631680"/>
      </c:barChart>
      <c:catAx>
        <c:axId val="162617600"/>
        <c:scaling>
          <c:orientation val="minMax"/>
        </c:scaling>
        <c:axPos val="b"/>
        <c:numFmt formatCode="General" sourceLinked="0"/>
        <c:tickLblPos val="nextTo"/>
        <c:crossAx val="162631680"/>
        <c:crosses val="autoZero"/>
        <c:auto val="1"/>
        <c:lblAlgn val="ctr"/>
        <c:lblOffset val="100"/>
      </c:catAx>
      <c:valAx>
        <c:axId val="162631680"/>
        <c:scaling>
          <c:orientation val="minMax"/>
        </c:scaling>
        <c:axPos val="l"/>
        <c:majorGridlines/>
        <c:numFmt formatCode="#,##0" sourceLinked="1"/>
        <c:tickLblPos val="nextTo"/>
        <c:crossAx val="162617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17956.628784150736</c:v>
                </c:pt>
                <c:pt idx="1">
                  <c:v>7498.7428425109301</c:v>
                </c:pt>
                <c:pt idx="2">
                  <c:v>160.14398669865184</c:v>
                </c:pt>
                <c:pt idx="3">
                  <c:v>3337.5795617604617</c:v>
                </c:pt>
                <c:pt idx="4">
                  <c:v>59685.449223141521</c:v>
                </c:pt>
                <c:pt idx="5">
                  <c:v>70041.453646985829</c:v>
                </c:pt>
                <c:pt idx="6">
                  <c:v>126.35357386565506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45017</v>
      </c>
      <c r="B6" s="398"/>
      <c r="C6" s="399"/>
    </row>
    <row r="7" spans="1:7" s="396" customFormat="1" ht="15.75" customHeight="1">
      <c r="A7" s="400" t="str">
        <f>txtMunicipality</f>
        <v>KRUISHOUTEM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10920.186586898028</v>
      </c>
      <c r="D10" s="704">
        <f ca="1">tertiair!C16</f>
        <v>0</v>
      </c>
      <c r="E10" s="704">
        <f ca="1">tertiair!D16</f>
        <v>23727.802135143284</v>
      </c>
      <c r="F10" s="704">
        <f>tertiair!E16</f>
        <v>160.80706214716767</v>
      </c>
      <c r="G10" s="704">
        <f ca="1">tertiair!F16</f>
        <v>1944.5885562310004</v>
      </c>
      <c r="H10" s="704">
        <f>tertiair!G16</f>
        <v>0</v>
      </c>
      <c r="I10" s="704">
        <f>tertiair!H16</f>
        <v>0</v>
      </c>
      <c r="J10" s="704">
        <f>tertiair!I16</f>
        <v>0</v>
      </c>
      <c r="K10" s="704">
        <f>tertiair!J16</f>
        <v>0</v>
      </c>
      <c r="L10" s="704">
        <f>tertiair!K16</f>
        <v>0</v>
      </c>
      <c r="M10" s="704">
        <f ca="1">tertiair!L16</f>
        <v>0</v>
      </c>
      <c r="N10" s="704">
        <f>tertiair!M16</f>
        <v>0</v>
      </c>
      <c r="O10" s="704">
        <f ca="1">tertiair!N16</f>
        <v>392.88518511087818</v>
      </c>
      <c r="P10" s="704">
        <f>tertiair!O16</f>
        <v>4.6900000000000004</v>
      </c>
      <c r="Q10" s="705">
        <f>tertiair!P16</f>
        <v>38.133333333333333</v>
      </c>
      <c r="R10" s="707">
        <f ca="1">SUM(C10:Q10)</f>
        <v>37189.092858863689</v>
      </c>
      <c r="S10" s="67"/>
    </row>
    <row r="11" spans="1:19" s="459" customFormat="1">
      <c r="A11" s="858" t="s">
        <v>225</v>
      </c>
      <c r="B11" s="863"/>
      <c r="C11" s="704">
        <f>huishoudens!B8</f>
        <v>17000.907922441533</v>
      </c>
      <c r="D11" s="704">
        <f>huishoudens!C8</f>
        <v>0</v>
      </c>
      <c r="E11" s="704">
        <f>huishoudens!D8</f>
        <v>13504.332998866363</v>
      </c>
      <c r="F11" s="704">
        <f>huishoudens!E8</f>
        <v>3263.6326205800569</v>
      </c>
      <c r="G11" s="704">
        <f>huishoudens!F8</f>
        <v>36595.171740671452</v>
      </c>
      <c r="H11" s="704">
        <f>huishoudens!G8</f>
        <v>0</v>
      </c>
      <c r="I11" s="704">
        <f>huishoudens!H8</f>
        <v>0</v>
      </c>
      <c r="J11" s="704">
        <f>huishoudens!I8</f>
        <v>0</v>
      </c>
      <c r="K11" s="704">
        <f>huishoudens!J8</f>
        <v>3165.1431999112147</v>
      </c>
      <c r="L11" s="704">
        <f>huishoudens!K8</f>
        <v>0</v>
      </c>
      <c r="M11" s="704">
        <f>huishoudens!L8</f>
        <v>0</v>
      </c>
      <c r="N11" s="704">
        <f>huishoudens!M8</f>
        <v>0</v>
      </c>
      <c r="O11" s="704">
        <f>huishoudens!N8</f>
        <v>12369.573553389801</v>
      </c>
      <c r="P11" s="704">
        <f>huishoudens!O8</f>
        <v>106.30666666666667</v>
      </c>
      <c r="Q11" s="705">
        <f>huishoudens!P8</f>
        <v>266.93333333333334</v>
      </c>
      <c r="R11" s="707">
        <f>SUM(C11:Q11)</f>
        <v>86272.002035860423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130028.57189491198</v>
      </c>
      <c r="D13" s="704">
        <f>industrie!C18</f>
        <v>1632.8571428571429</v>
      </c>
      <c r="E13" s="704">
        <f>industrie!D18</f>
        <v>121894.09914009827</v>
      </c>
      <c r="F13" s="704">
        <f>industrie!E18</f>
        <v>2085.350886726289</v>
      </c>
      <c r="G13" s="704">
        <f>industrie!F18</f>
        <v>25028.82724091718</v>
      </c>
      <c r="H13" s="704">
        <f>industrie!G18</f>
        <v>0</v>
      </c>
      <c r="I13" s="704">
        <f>industrie!H18</f>
        <v>0</v>
      </c>
      <c r="J13" s="704">
        <f>industrie!I18</f>
        <v>0</v>
      </c>
      <c r="K13" s="704">
        <f>industrie!J18</f>
        <v>31.688067440467133</v>
      </c>
      <c r="L13" s="704">
        <f>industrie!K18</f>
        <v>0</v>
      </c>
      <c r="M13" s="704">
        <f>industrie!L18</f>
        <v>0</v>
      </c>
      <c r="N13" s="704">
        <f>industrie!M18</f>
        <v>0</v>
      </c>
      <c r="O13" s="704">
        <f>industrie!N18</f>
        <v>9192.7419488576161</v>
      </c>
      <c r="P13" s="704">
        <f>industrie!O18</f>
        <v>0</v>
      </c>
      <c r="Q13" s="705">
        <f>industrie!P18</f>
        <v>0</v>
      </c>
      <c r="R13" s="707">
        <f>SUM(C13:Q13)</f>
        <v>289894.13632180897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157949.66640425153</v>
      </c>
      <c r="D15" s="709">
        <f t="shared" ref="D15:Q15" ca="1" si="0">SUM(D9:D14)</f>
        <v>1632.8571428571429</v>
      </c>
      <c r="E15" s="709">
        <f t="shared" ca="1" si="0"/>
        <v>159126.2342741079</v>
      </c>
      <c r="F15" s="709">
        <f t="shared" si="0"/>
        <v>5509.7905694535129</v>
      </c>
      <c r="G15" s="709">
        <f t="shared" ca="1" si="0"/>
        <v>63568.587537819636</v>
      </c>
      <c r="H15" s="709">
        <f t="shared" si="0"/>
        <v>0</v>
      </c>
      <c r="I15" s="709">
        <f t="shared" si="0"/>
        <v>0</v>
      </c>
      <c r="J15" s="709">
        <f t="shared" si="0"/>
        <v>0</v>
      </c>
      <c r="K15" s="709">
        <f t="shared" si="0"/>
        <v>3196.8312673516816</v>
      </c>
      <c r="L15" s="709">
        <f t="shared" si="0"/>
        <v>0</v>
      </c>
      <c r="M15" s="709">
        <f t="shared" ca="1" si="0"/>
        <v>0</v>
      </c>
      <c r="N15" s="709">
        <f t="shared" si="0"/>
        <v>0</v>
      </c>
      <c r="O15" s="709">
        <f t="shared" ca="1" si="0"/>
        <v>21955.200687358294</v>
      </c>
      <c r="P15" s="709">
        <f t="shared" si="0"/>
        <v>110.99666666666667</v>
      </c>
      <c r="Q15" s="710">
        <f t="shared" si="0"/>
        <v>305.06666666666666</v>
      </c>
      <c r="R15" s="711">
        <f ca="1">SUM(R9:R14)</f>
        <v>413355.23121653311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473.23435904739722</v>
      </c>
      <c r="I18" s="704">
        <f>transport!H54</f>
        <v>0</v>
      </c>
      <c r="J18" s="704">
        <f>transport!I54</f>
        <v>0</v>
      </c>
      <c r="K18" s="704">
        <f>transport!J54</f>
        <v>0</v>
      </c>
      <c r="L18" s="704">
        <f>transport!K54</f>
        <v>0</v>
      </c>
      <c r="M18" s="704">
        <f>transport!L54</f>
        <v>0</v>
      </c>
      <c r="N18" s="704">
        <f>transport!M54</f>
        <v>21.045889438507363</v>
      </c>
      <c r="O18" s="704">
        <f>transport!N54</f>
        <v>0</v>
      </c>
      <c r="P18" s="704">
        <f>transport!O54</f>
        <v>0</v>
      </c>
      <c r="Q18" s="705">
        <f>transport!P54</f>
        <v>0</v>
      </c>
      <c r="R18" s="707">
        <f>SUM(C18:Q18)</f>
        <v>494.28024848590456</v>
      </c>
      <c r="S18" s="67"/>
    </row>
    <row r="19" spans="1:19" s="459" customFormat="1" ht="15" thickBot="1">
      <c r="A19" s="858" t="s">
        <v>307</v>
      </c>
      <c r="B19" s="863"/>
      <c r="C19" s="713">
        <f>transport!B14</f>
        <v>12.429818062173929</v>
      </c>
      <c r="D19" s="713">
        <f>transport!C14</f>
        <v>0</v>
      </c>
      <c r="E19" s="713">
        <f>transport!D14</f>
        <v>19.019038896538689</v>
      </c>
      <c r="F19" s="713">
        <f>transport!E14</f>
        <v>693.53595893599311</v>
      </c>
      <c r="G19" s="713">
        <f>transport!F14</f>
        <v>0</v>
      </c>
      <c r="H19" s="713">
        <f>transport!G14</f>
        <v>234169.87744161228</v>
      </c>
      <c r="I19" s="713">
        <f>transport!H14</f>
        <v>29534.908983809961</v>
      </c>
      <c r="J19" s="713">
        <f>transport!I14</f>
        <v>0</v>
      </c>
      <c r="K19" s="713">
        <f>transport!J14</f>
        <v>0</v>
      </c>
      <c r="L19" s="713">
        <f>transport!K14</f>
        <v>0</v>
      </c>
      <c r="M19" s="713">
        <f>transport!L14</f>
        <v>0</v>
      </c>
      <c r="N19" s="713">
        <f>transport!M14</f>
        <v>11914.410397232505</v>
      </c>
      <c r="O19" s="713">
        <f>transport!N14</f>
        <v>0</v>
      </c>
      <c r="P19" s="713">
        <f>transport!O14</f>
        <v>0</v>
      </c>
      <c r="Q19" s="714">
        <f>transport!P14</f>
        <v>0</v>
      </c>
      <c r="R19" s="715">
        <f>SUM(C19:Q19)</f>
        <v>276344.18163854943</v>
      </c>
      <c r="S19" s="67"/>
    </row>
    <row r="20" spans="1:19" s="459" customFormat="1" ht="15.75" thickBot="1">
      <c r="A20" s="716" t="s">
        <v>230</v>
      </c>
      <c r="B20" s="866"/>
      <c r="C20" s="861">
        <f>SUM(C17:C19)</f>
        <v>12.429818062173929</v>
      </c>
      <c r="D20" s="717">
        <f t="shared" ref="D20:R20" si="1">SUM(D17:D19)</f>
        <v>0</v>
      </c>
      <c r="E20" s="717">
        <f t="shared" si="1"/>
        <v>19.019038896538689</v>
      </c>
      <c r="F20" s="717">
        <f t="shared" si="1"/>
        <v>693.53595893599311</v>
      </c>
      <c r="G20" s="717">
        <f t="shared" si="1"/>
        <v>0</v>
      </c>
      <c r="H20" s="717">
        <f t="shared" si="1"/>
        <v>234643.11180065968</v>
      </c>
      <c r="I20" s="717">
        <f t="shared" si="1"/>
        <v>29534.908983809961</v>
      </c>
      <c r="J20" s="717">
        <f t="shared" si="1"/>
        <v>0</v>
      </c>
      <c r="K20" s="717">
        <f t="shared" si="1"/>
        <v>0</v>
      </c>
      <c r="L20" s="717">
        <f t="shared" si="1"/>
        <v>0</v>
      </c>
      <c r="M20" s="717">
        <f t="shared" si="1"/>
        <v>0</v>
      </c>
      <c r="N20" s="717">
        <f t="shared" si="1"/>
        <v>11935.456286671011</v>
      </c>
      <c r="O20" s="717">
        <f t="shared" si="1"/>
        <v>0</v>
      </c>
      <c r="P20" s="717">
        <f t="shared" si="1"/>
        <v>0</v>
      </c>
      <c r="Q20" s="718">
        <f t="shared" si="1"/>
        <v>0</v>
      </c>
      <c r="R20" s="719">
        <f t="shared" si="1"/>
        <v>276838.46188703534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2580.4204615081662</v>
      </c>
      <c r="D22" s="713">
        <f>+landbouw!C8</f>
        <v>0</v>
      </c>
      <c r="E22" s="713">
        <f>+landbouw!D8</f>
        <v>1335.687217681017</v>
      </c>
      <c r="F22" s="713">
        <f>+landbouw!E8</f>
        <v>32.516622072447255</v>
      </c>
      <c r="G22" s="713">
        <f>+landbouw!F8</f>
        <v>8903.0970261547936</v>
      </c>
      <c r="H22" s="713">
        <f>+landbouw!G8</f>
        <v>0</v>
      </c>
      <c r="I22" s="713">
        <f>+landbouw!H8</f>
        <v>0</v>
      </c>
      <c r="J22" s="713">
        <f>+landbouw!I8</f>
        <v>0</v>
      </c>
      <c r="K22" s="713">
        <f>+landbouw!J8</f>
        <v>388.06590422628619</v>
      </c>
      <c r="L22" s="713">
        <f>+landbouw!K8</f>
        <v>0</v>
      </c>
      <c r="M22" s="713">
        <f>+landbouw!L8</f>
        <v>0</v>
      </c>
      <c r="N22" s="713">
        <f>+landbouw!M8</f>
        <v>0</v>
      </c>
      <c r="O22" s="713">
        <f>+landbouw!N8</f>
        <v>0</v>
      </c>
      <c r="P22" s="713">
        <f>+landbouw!O8</f>
        <v>0</v>
      </c>
      <c r="Q22" s="714">
        <f>+landbouw!P8</f>
        <v>0</v>
      </c>
      <c r="R22" s="715">
        <f>SUM(C22:Q22)</f>
        <v>13239.787231642711</v>
      </c>
      <c r="S22" s="67"/>
    </row>
    <row r="23" spans="1:19" s="459" customFormat="1" ht="17.25" thickTop="1" thickBot="1">
      <c r="A23" s="720" t="s">
        <v>116</v>
      </c>
      <c r="B23" s="852"/>
      <c r="C23" s="721">
        <f ca="1">C20+C15+C22</f>
        <v>160542.51668382186</v>
      </c>
      <c r="D23" s="721">
        <f t="shared" ref="D23:Q23" ca="1" si="2">D20+D15+D22</f>
        <v>1632.8571428571429</v>
      </c>
      <c r="E23" s="721">
        <f t="shared" ca="1" si="2"/>
        <v>160480.94053068548</v>
      </c>
      <c r="F23" s="721">
        <f t="shared" si="2"/>
        <v>6235.843150461953</v>
      </c>
      <c r="G23" s="721">
        <f t="shared" ca="1" si="2"/>
        <v>72471.684563974428</v>
      </c>
      <c r="H23" s="721">
        <f t="shared" si="2"/>
        <v>234643.11180065968</v>
      </c>
      <c r="I23" s="721">
        <f t="shared" si="2"/>
        <v>29534.908983809961</v>
      </c>
      <c r="J23" s="721">
        <f t="shared" si="2"/>
        <v>0</v>
      </c>
      <c r="K23" s="721">
        <f t="shared" si="2"/>
        <v>3584.897171577968</v>
      </c>
      <c r="L23" s="721">
        <f t="shared" si="2"/>
        <v>0</v>
      </c>
      <c r="M23" s="721">
        <f t="shared" ca="1" si="2"/>
        <v>0</v>
      </c>
      <c r="N23" s="721">
        <f t="shared" si="2"/>
        <v>11935.456286671011</v>
      </c>
      <c r="O23" s="721">
        <f t="shared" ca="1" si="2"/>
        <v>21955.200687358294</v>
      </c>
      <c r="P23" s="721">
        <f t="shared" si="2"/>
        <v>110.99666666666667</v>
      </c>
      <c r="Q23" s="722">
        <f t="shared" si="2"/>
        <v>305.06666666666666</v>
      </c>
      <c r="R23" s="723">
        <f ca="1">R20+R15+R22</f>
        <v>703433.48033521115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2310.1624502895547</v>
      </c>
      <c r="D36" s="704">
        <f ca="1">tertiair!C20</f>
        <v>0</v>
      </c>
      <c r="E36" s="704">
        <f ca="1">tertiair!D20</f>
        <v>4793.0160312989437</v>
      </c>
      <c r="F36" s="704">
        <f>tertiair!E20</f>
        <v>36.50320310740706</v>
      </c>
      <c r="G36" s="704">
        <f ca="1">tertiair!F20</f>
        <v>519.20514451367717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7658.8868292095831</v>
      </c>
    </row>
    <row r="37" spans="1:18">
      <c r="A37" s="873" t="s">
        <v>225</v>
      </c>
      <c r="B37" s="880"/>
      <c r="C37" s="704">
        <f ca="1">huishoudens!B12</f>
        <v>3596.5373659802081</v>
      </c>
      <c r="D37" s="704">
        <f ca="1">huishoudens!C12</f>
        <v>0</v>
      </c>
      <c r="E37" s="704">
        <f>huishoudens!D12</f>
        <v>2727.8752657710056</v>
      </c>
      <c r="F37" s="704">
        <f>huishoudens!E12</f>
        <v>740.84460487167291</v>
      </c>
      <c r="G37" s="704">
        <f>huishoudens!F12</f>
        <v>9770.9108547592787</v>
      </c>
      <c r="H37" s="704">
        <f>huishoudens!G12</f>
        <v>0</v>
      </c>
      <c r="I37" s="704">
        <f>huishoudens!H12</f>
        <v>0</v>
      </c>
      <c r="J37" s="704">
        <f>huishoudens!I12</f>
        <v>0</v>
      </c>
      <c r="K37" s="704">
        <f>huishoudens!J12</f>
        <v>1120.46069276857</v>
      </c>
      <c r="L37" s="704">
        <f>huishoudens!K12</f>
        <v>0</v>
      </c>
      <c r="M37" s="704">
        <f>huishoudens!L12</f>
        <v>0</v>
      </c>
      <c r="N37" s="704">
        <f>huishoudens!M12</f>
        <v>0</v>
      </c>
      <c r="O37" s="704">
        <f>huishoudens!N12</f>
        <v>0</v>
      </c>
      <c r="P37" s="704">
        <f>huishoudens!O12</f>
        <v>0</v>
      </c>
      <c r="Q37" s="814">
        <f>huishoudens!P12</f>
        <v>0</v>
      </c>
      <c r="R37" s="905">
        <f ca="1">SUM(C37:Q37)</f>
        <v>17956.628784150736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27507.508398876991</v>
      </c>
      <c r="D39" s="704">
        <f ca="1">industrie!C22</f>
        <v>388.04369747899159</v>
      </c>
      <c r="E39" s="704">
        <f>industrie!D22</f>
        <v>24622.608026299855</v>
      </c>
      <c r="F39" s="704">
        <f>industrie!E22</f>
        <v>473.37465128686762</v>
      </c>
      <c r="G39" s="704">
        <f>industrie!F22</f>
        <v>6682.6968733248877</v>
      </c>
      <c r="H39" s="704">
        <f>industrie!G22</f>
        <v>0</v>
      </c>
      <c r="I39" s="704">
        <f>industrie!H22</f>
        <v>0</v>
      </c>
      <c r="J39" s="704">
        <f>industrie!I22</f>
        <v>0</v>
      </c>
      <c r="K39" s="704">
        <f>industrie!J22</f>
        <v>11.217575873925364</v>
      </c>
      <c r="L39" s="704">
        <f>industrie!K22</f>
        <v>0</v>
      </c>
      <c r="M39" s="704">
        <f>industrie!L22</f>
        <v>0</v>
      </c>
      <c r="N39" s="704">
        <f>industrie!M22</f>
        <v>0</v>
      </c>
      <c r="O39" s="704">
        <f>industrie!N22</f>
        <v>0</v>
      </c>
      <c r="P39" s="704">
        <f>industrie!O22</f>
        <v>0</v>
      </c>
      <c r="Q39" s="814">
        <f>industrie!P22</f>
        <v>0</v>
      </c>
      <c r="R39" s="906">
        <f ca="1">SUM(C39:Q39)</f>
        <v>59685.449223141521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33414.208215146755</v>
      </c>
      <c r="D41" s="749">
        <f t="shared" ref="D41:R41" ca="1" si="4">SUM(D35:D40)</f>
        <v>388.04369747899159</v>
      </c>
      <c r="E41" s="749">
        <f t="shared" ca="1" si="4"/>
        <v>32143.499323369804</v>
      </c>
      <c r="F41" s="749">
        <f t="shared" si="4"/>
        <v>1250.7224592659477</v>
      </c>
      <c r="G41" s="749">
        <f t="shared" ca="1" si="4"/>
        <v>16972.812872597842</v>
      </c>
      <c r="H41" s="749">
        <f t="shared" si="4"/>
        <v>0</v>
      </c>
      <c r="I41" s="749">
        <f t="shared" si="4"/>
        <v>0</v>
      </c>
      <c r="J41" s="749">
        <f t="shared" si="4"/>
        <v>0</v>
      </c>
      <c r="K41" s="749">
        <f t="shared" si="4"/>
        <v>1131.6782686424954</v>
      </c>
      <c r="L41" s="749">
        <f t="shared" si="4"/>
        <v>0</v>
      </c>
      <c r="M41" s="749">
        <f t="shared" ca="1" si="4"/>
        <v>0</v>
      </c>
      <c r="N41" s="749">
        <f t="shared" si="4"/>
        <v>0</v>
      </c>
      <c r="O41" s="749">
        <f t="shared" ca="1" si="4"/>
        <v>0</v>
      </c>
      <c r="P41" s="749">
        <f t="shared" si="4"/>
        <v>0</v>
      </c>
      <c r="Q41" s="750">
        <f t="shared" si="4"/>
        <v>0</v>
      </c>
      <c r="R41" s="751">
        <f t="shared" ca="1" si="4"/>
        <v>85300.964836501837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126.35357386565506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126.35357386565506</v>
      </c>
    </row>
    <row r="45" spans="1:18" ht="15" thickBot="1">
      <c r="A45" s="876" t="s">
        <v>307</v>
      </c>
      <c r="B45" s="886"/>
      <c r="C45" s="713">
        <f ca="1">transport!B18</f>
        <v>2.6295245710926811</v>
      </c>
      <c r="D45" s="713">
        <f>transport!C18</f>
        <v>0</v>
      </c>
      <c r="E45" s="713">
        <f>transport!D18</f>
        <v>3.8418458571008154</v>
      </c>
      <c r="F45" s="713">
        <f>transport!E18</f>
        <v>157.43266267847045</v>
      </c>
      <c r="G45" s="713">
        <f>transport!F18</f>
        <v>0</v>
      </c>
      <c r="H45" s="713">
        <f>transport!G18</f>
        <v>62523.357276910479</v>
      </c>
      <c r="I45" s="713">
        <f>transport!H18</f>
        <v>7354.1923369686801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70041.453646985829</v>
      </c>
    </row>
    <row r="46" spans="1:18" ht="15.75" thickBot="1">
      <c r="A46" s="874" t="s">
        <v>230</v>
      </c>
      <c r="B46" s="887"/>
      <c r="C46" s="749">
        <f t="shared" ref="C46:R46" ca="1" si="5">SUM(C43:C45)</f>
        <v>2.6295245710926811</v>
      </c>
      <c r="D46" s="749">
        <f t="shared" ca="1" si="5"/>
        <v>0</v>
      </c>
      <c r="E46" s="749">
        <f t="shared" si="5"/>
        <v>3.8418458571008154</v>
      </c>
      <c r="F46" s="749">
        <f t="shared" si="5"/>
        <v>157.43266267847045</v>
      </c>
      <c r="G46" s="749">
        <f t="shared" si="5"/>
        <v>0</v>
      </c>
      <c r="H46" s="749">
        <f t="shared" si="5"/>
        <v>62649.710850776137</v>
      </c>
      <c r="I46" s="749">
        <f t="shared" si="5"/>
        <v>7354.1923369686801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70167.807220851479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545.88723449901556</v>
      </c>
      <c r="D48" s="704">
        <f ca="1">+landbouw!C12</f>
        <v>0</v>
      </c>
      <c r="E48" s="704">
        <f>+landbouw!D12</f>
        <v>269.80881797156547</v>
      </c>
      <c r="F48" s="704">
        <f>+landbouw!E12</f>
        <v>7.381273210445527</v>
      </c>
      <c r="G48" s="704">
        <f>+landbouw!F12</f>
        <v>2377.1269059833298</v>
      </c>
      <c r="H48" s="704">
        <f>+landbouw!G12</f>
        <v>0</v>
      </c>
      <c r="I48" s="704">
        <f>+landbouw!H12</f>
        <v>0</v>
      </c>
      <c r="J48" s="704">
        <f>+landbouw!I12</f>
        <v>0</v>
      </c>
      <c r="K48" s="704">
        <f>+landbouw!J12</f>
        <v>137.3753300961053</v>
      </c>
      <c r="L48" s="704">
        <f>+landbouw!K12</f>
        <v>0</v>
      </c>
      <c r="M48" s="704">
        <f>+landbouw!L12</f>
        <v>0</v>
      </c>
      <c r="N48" s="704">
        <f>+landbouw!M12</f>
        <v>0</v>
      </c>
      <c r="O48" s="704">
        <f>+landbouw!N12</f>
        <v>0</v>
      </c>
      <c r="P48" s="704">
        <f>+landbouw!O12</f>
        <v>0</v>
      </c>
      <c r="Q48" s="705">
        <f>+landbouw!P12</f>
        <v>0</v>
      </c>
      <c r="R48" s="747">
        <f ca="1">SUM(C48:Q48)</f>
        <v>3337.5795617604617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33962.724974216864</v>
      </c>
      <c r="D53" s="759">
        <f t="shared" ref="D53:Q53" ca="1" si="6">D41+D46+D48</f>
        <v>388.04369747899159</v>
      </c>
      <c r="E53" s="759">
        <f t="shared" ca="1" si="6"/>
        <v>32417.149987198471</v>
      </c>
      <c r="F53" s="759">
        <f t="shared" si="6"/>
        <v>1415.5363951548636</v>
      </c>
      <c r="G53" s="759">
        <f t="shared" ca="1" si="6"/>
        <v>19349.939778581171</v>
      </c>
      <c r="H53" s="759">
        <f t="shared" si="6"/>
        <v>62649.710850776137</v>
      </c>
      <c r="I53" s="759">
        <f t="shared" si="6"/>
        <v>7354.1923369686801</v>
      </c>
      <c r="J53" s="759">
        <f t="shared" si="6"/>
        <v>0</v>
      </c>
      <c r="K53" s="759">
        <f t="shared" si="6"/>
        <v>1269.0535987386006</v>
      </c>
      <c r="L53" s="759">
        <f t="shared" si="6"/>
        <v>0</v>
      </c>
      <c r="M53" s="759">
        <f t="shared" ca="1" si="6"/>
        <v>0</v>
      </c>
      <c r="N53" s="759">
        <f t="shared" si="6"/>
        <v>0</v>
      </c>
      <c r="O53" s="759">
        <f t="shared" ca="1" si="6"/>
        <v>0</v>
      </c>
      <c r="P53" s="759">
        <f>P41+P46+P48</f>
        <v>0</v>
      </c>
      <c r="Q53" s="760">
        <f t="shared" si="6"/>
        <v>0</v>
      </c>
      <c r="R53" s="761">
        <f ca="1">R41+R46+R48</f>
        <v>158806.35161911379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0.21154972324935123</v>
      </c>
      <c r="D55" s="824">
        <f t="shared" ca="1" si="7"/>
        <v>0.23764705882352941</v>
      </c>
      <c r="E55" s="824">
        <f t="shared" ca="1" si="7"/>
        <v>0.20200000000000004</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6951.1257970274464</v>
      </c>
      <c r="C66" s="781">
        <f>'lokale energieproductie'!B6</f>
        <v>6951.1257970274464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1143</v>
      </c>
      <c r="C67" s="780">
        <f>B67*IFERROR(SUM(J67:L67)/SUM(D67:M67),0)</f>
        <v>0</v>
      </c>
      <c r="D67" s="812">
        <f>'lokale energieproductie'!C7</f>
        <v>1344.7058823529412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271.63058823529417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8094.1257970274464</v>
      </c>
      <c r="C69" s="789">
        <f>SUM(C64:C68)</f>
        <v>6951.1257970274464</v>
      </c>
      <c r="D69" s="790">
        <f t="shared" ref="D69:M69" si="8">SUM(D67:D68)</f>
        <v>1344.7058823529412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271.63058823529417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1632.8571428571429</v>
      </c>
      <c r="C78" s="803">
        <f>B78*IFERROR(SUM(I78:L78)/SUM(D78:M78),0)</f>
        <v>0</v>
      </c>
      <c r="D78" s="818">
        <f>'lokale energieproductie'!C16</f>
        <v>1921.0084033613443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388.04369747899159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1632.8571428571429</v>
      </c>
      <c r="C81" s="789">
        <f>SUM(C78:C80)</f>
        <v>0</v>
      </c>
      <c r="D81" s="789">
        <f t="shared" ref="D81:P81" si="9">SUM(D78:D80)</f>
        <v>1921.0084033613443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388.04369747899159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17000.907922441533</v>
      </c>
      <c r="C4" s="463">
        <f>huishoudens!C8</f>
        <v>0</v>
      </c>
      <c r="D4" s="463">
        <f>huishoudens!D8</f>
        <v>13504.332998866363</v>
      </c>
      <c r="E4" s="463">
        <f>huishoudens!E8</f>
        <v>3263.6326205800569</v>
      </c>
      <c r="F4" s="463">
        <f>huishoudens!F8</f>
        <v>36595.171740671452</v>
      </c>
      <c r="G4" s="463">
        <f>huishoudens!G8</f>
        <v>0</v>
      </c>
      <c r="H4" s="463">
        <f>huishoudens!H8</f>
        <v>0</v>
      </c>
      <c r="I4" s="463">
        <f>huishoudens!I8</f>
        <v>0</v>
      </c>
      <c r="J4" s="463">
        <f>huishoudens!J8</f>
        <v>3165.1431999112147</v>
      </c>
      <c r="K4" s="463">
        <f>huishoudens!K8</f>
        <v>0</v>
      </c>
      <c r="L4" s="463">
        <f>huishoudens!L8</f>
        <v>0</v>
      </c>
      <c r="M4" s="463">
        <f>huishoudens!M8</f>
        <v>0</v>
      </c>
      <c r="N4" s="463">
        <f>huishoudens!N8</f>
        <v>12369.573553389801</v>
      </c>
      <c r="O4" s="463">
        <f>huishoudens!O8</f>
        <v>106.30666666666667</v>
      </c>
      <c r="P4" s="464">
        <f>huishoudens!P8</f>
        <v>266.93333333333334</v>
      </c>
      <c r="Q4" s="465">
        <f>SUM(B4:P4)</f>
        <v>86272.002035860423</v>
      </c>
    </row>
    <row r="5" spans="1:17">
      <c r="A5" s="462" t="s">
        <v>156</v>
      </c>
      <c r="B5" s="463">
        <f ca="1">tertiair!B16</f>
        <v>10163.182586898027</v>
      </c>
      <c r="C5" s="463">
        <f ca="1">tertiair!C16</f>
        <v>0</v>
      </c>
      <c r="D5" s="463">
        <f ca="1">tertiair!D16</f>
        <v>23727.802135143284</v>
      </c>
      <c r="E5" s="463">
        <f>tertiair!E16</f>
        <v>160.80706214716767</v>
      </c>
      <c r="F5" s="463">
        <f ca="1">tertiair!F16</f>
        <v>1944.5885562310004</v>
      </c>
      <c r="G5" s="463">
        <f>tertiair!G16</f>
        <v>0</v>
      </c>
      <c r="H5" s="463">
        <f>tertiair!H16</f>
        <v>0</v>
      </c>
      <c r="I5" s="463">
        <f>tertiair!I16</f>
        <v>0</v>
      </c>
      <c r="J5" s="463">
        <f>tertiair!J16</f>
        <v>0</v>
      </c>
      <c r="K5" s="463">
        <f>tertiair!K16</f>
        <v>0</v>
      </c>
      <c r="L5" s="463">
        <f ca="1">tertiair!L16</f>
        <v>0</v>
      </c>
      <c r="M5" s="463">
        <f>tertiair!M16</f>
        <v>0</v>
      </c>
      <c r="N5" s="463">
        <f ca="1">tertiair!N16</f>
        <v>392.88518511087818</v>
      </c>
      <c r="O5" s="463">
        <f>tertiair!O16</f>
        <v>4.6900000000000004</v>
      </c>
      <c r="P5" s="464">
        <f>tertiair!P16</f>
        <v>38.133333333333333</v>
      </c>
      <c r="Q5" s="462">
        <f t="shared" ref="Q5:Q13" ca="1" si="0">SUM(B5:P5)</f>
        <v>36432.088858863688</v>
      </c>
    </row>
    <row r="6" spans="1:17">
      <c r="A6" s="462" t="s">
        <v>194</v>
      </c>
      <c r="B6" s="463">
        <f>'openbare verlichting'!B8</f>
        <v>757.00400000000002</v>
      </c>
      <c r="C6" s="463"/>
      <c r="D6" s="463"/>
      <c r="E6" s="463"/>
      <c r="F6" s="463"/>
      <c r="G6" s="463"/>
      <c r="H6" s="463"/>
      <c r="I6" s="463"/>
      <c r="J6" s="463"/>
      <c r="K6" s="463"/>
      <c r="L6" s="463"/>
      <c r="M6" s="463"/>
      <c r="N6" s="463"/>
      <c r="O6" s="463"/>
      <c r="P6" s="464"/>
      <c r="Q6" s="462">
        <f t="shared" si="0"/>
        <v>757.00400000000002</v>
      </c>
    </row>
    <row r="7" spans="1:17">
      <c r="A7" s="462" t="s">
        <v>112</v>
      </c>
      <c r="B7" s="463">
        <f>landbouw!B8</f>
        <v>2580.4204615081662</v>
      </c>
      <c r="C7" s="463">
        <f>landbouw!C8</f>
        <v>0</v>
      </c>
      <c r="D7" s="463">
        <f>landbouw!D8</f>
        <v>1335.687217681017</v>
      </c>
      <c r="E7" s="463">
        <f>landbouw!E8</f>
        <v>32.516622072447255</v>
      </c>
      <c r="F7" s="463">
        <f>landbouw!F8</f>
        <v>8903.0970261547936</v>
      </c>
      <c r="G7" s="463">
        <f>landbouw!G8</f>
        <v>0</v>
      </c>
      <c r="H7" s="463">
        <f>landbouw!H8</f>
        <v>0</v>
      </c>
      <c r="I7" s="463">
        <f>landbouw!I8</f>
        <v>0</v>
      </c>
      <c r="J7" s="463">
        <f>landbouw!J8</f>
        <v>388.06590422628619</v>
      </c>
      <c r="K7" s="463">
        <f>landbouw!K8</f>
        <v>0</v>
      </c>
      <c r="L7" s="463">
        <f>landbouw!L8</f>
        <v>0</v>
      </c>
      <c r="M7" s="463">
        <f>landbouw!M8</f>
        <v>0</v>
      </c>
      <c r="N7" s="463">
        <f>landbouw!N8</f>
        <v>0</v>
      </c>
      <c r="O7" s="463">
        <f>landbouw!O8</f>
        <v>0</v>
      </c>
      <c r="P7" s="464">
        <f>landbouw!P8</f>
        <v>0</v>
      </c>
      <c r="Q7" s="462">
        <f t="shared" si="0"/>
        <v>13239.787231642711</v>
      </c>
    </row>
    <row r="8" spans="1:17">
      <c r="A8" s="462" t="s">
        <v>657</v>
      </c>
      <c r="B8" s="463">
        <f>industrie!B18</f>
        <v>130028.57189491198</v>
      </c>
      <c r="C8" s="463">
        <f>industrie!C18</f>
        <v>1632.8571428571429</v>
      </c>
      <c r="D8" s="463">
        <f>industrie!D18</f>
        <v>121894.09914009827</v>
      </c>
      <c r="E8" s="463">
        <f>industrie!E18</f>
        <v>2085.350886726289</v>
      </c>
      <c r="F8" s="463">
        <f>industrie!F18</f>
        <v>25028.82724091718</v>
      </c>
      <c r="G8" s="463">
        <f>industrie!G18</f>
        <v>0</v>
      </c>
      <c r="H8" s="463">
        <f>industrie!H18</f>
        <v>0</v>
      </c>
      <c r="I8" s="463">
        <f>industrie!I18</f>
        <v>0</v>
      </c>
      <c r="J8" s="463">
        <f>industrie!J18</f>
        <v>31.688067440467133</v>
      </c>
      <c r="K8" s="463">
        <f>industrie!K18</f>
        <v>0</v>
      </c>
      <c r="L8" s="463">
        <f>industrie!L18</f>
        <v>0</v>
      </c>
      <c r="M8" s="463">
        <f>industrie!M18</f>
        <v>0</v>
      </c>
      <c r="N8" s="463">
        <f>industrie!N18</f>
        <v>9192.7419488576161</v>
      </c>
      <c r="O8" s="463">
        <f>industrie!O18</f>
        <v>0</v>
      </c>
      <c r="P8" s="464">
        <f>industrie!P18</f>
        <v>0</v>
      </c>
      <c r="Q8" s="462">
        <f t="shared" si="0"/>
        <v>289894.13632180897</v>
      </c>
    </row>
    <row r="9" spans="1:17" s="468" customFormat="1">
      <c r="A9" s="466" t="s">
        <v>574</v>
      </c>
      <c r="B9" s="467">
        <f>transport!B14</f>
        <v>12.429818062173929</v>
      </c>
      <c r="C9" s="467"/>
      <c r="D9" s="467">
        <f>transport!D14</f>
        <v>19.019038896538689</v>
      </c>
      <c r="E9" s="467">
        <f>transport!E14</f>
        <v>693.53595893599311</v>
      </c>
      <c r="F9" s="467"/>
      <c r="G9" s="467">
        <f>transport!G14</f>
        <v>234169.87744161228</v>
      </c>
      <c r="H9" s="467">
        <f>transport!H14</f>
        <v>29534.908983809961</v>
      </c>
      <c r="I9" s="467"/>
      <c r="J9" s="467"/>
      <c r="K9" s="467"/>
      <c r="L9" s="467"/>
      <c r="M9" s="467">
        <f>transport!M14</f>
        <v>11914.410397232505</v>
      </c>
      <c r="N9" s="467"/>
      <c r="O9" s="467"/>
      <c r="P9" s="467"/>
      <c r="Q9" s="466">
        <f>SUM(B9:P9)</f>
        <v>276344.18163854943</v>
      </c>
    </row>
    <row r="10" spans="1:17">
      <c r="A10" s="462" t="s">
        <v>564</v>
      </c>
      <c r="B10" s="463">
        <f>transport!B54</f>
        <v>0</v>
      </c>
      <c r="C10" s="463"/>
      <c r="D10" s="463">
        <f>transport!D54</f>
        <v>0</v>
      </c>
      <c r="E10" s="463"/>
      <c r="F10" s="463"/>
      <c r="G10" s="463">
        <f>transport!G54</f>
        <v>473.23435904739722</v>
      </c>
      <c r="H10" s="463"/>
      <c r="I10" s="463"/>
      <c r="J10" s="463"/>
      <c r="K10" s="463"/>
      <c r="L10" s="463"/>
      <c r="M10" s="463">
        <f>transport!M54</f>
        <v>21.045889438507363</v>
      </c>
      <c r="N10" s="463"/>
      <c r="O10" s="463"/>
      <c r="P10" s="464"/>
      <c r="Q10" s="462">
        <f t="shared" si="0"/>
        <v>494.28024848590456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160542.51668382186</v>
      </c>
      <c r="C14" s="473">
        <f t="shared" ref="C14:Q14" ca="1" si="1">SUM(C4:C13)</f>
        <v>1632.8571428571429</v>
      </c>
      <c r="D14" s="473">
        <f t="shared" ca="1" si="1"/>
        <v>160480.94053068548</v>
      </c>
      <c r="E14" s="473">
        <f t="shared" si="1"/>
        <v>6235.8431504619539</v>
      </c>
      <c r="F14" s="473">
        <f t="shared" ca="1" si="1"/>
        <v>72471.684563974428</v>
      </c>
      <c r="G14" s="473">
        <f t="shared" si="1"/>
        <v>234643.11180065968</v>
      </c>
      <c r="H14" s="473">
        <f t="shared" si="1"/>
        <v>29534.908983809961</v>
      </c>
      <c r="I14" s="473">
        <f t="shared" si="1"/>
        <v>0</v>
      </c>
      <c r="J14" s="473">
        <f t="shared" si="1"/>
        <v>3584.8971715779676</v>
      </c>
      <c r="K14" s="473">
        <f t="shared" si="1"/>
        <v>0</v>
      </c>
      <c r="L14" s="473">
        <f t="shared" ca="1" si="1"/>
        <v>0</v>
      </c>
      <c r="M14" s="473">
        <f t="shared" si="1"/>
        <v>11935.456286671011</v>
      </c>
      <c r="N14" s="473">
        <f t="shared" ca="1" si="1"/>
        <v>21955.200687358294</v>
      </c>
      <c r="O14" s="473">
        <f t="shared" si="1"/>
        <v>110.99666666666667</v>
      </c>
      <c r="P14" s="474">
        <f t="shared" si="1"/>
        <v>305.06666666666666</v>
      </c>
      <c r="Q14" s="474">
        <f t="shared" ca="1" si="1"/>
        <v>703433.48033521103</v>
      </c>
    </row>
    <row r="16" spans="1:17">
      <c r="A16" s="476" t="s">
        <v>569</v>
      </c>
      <c r="B16" s="829">
        <f ca="1">huishoudens!B10</f>
        <v>0.21154972324935117</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3596.5373659802081</v>
      </c>
      <c r="C21" s="463">
        <f t="shared" ref="C21:C28" ca="1" si="3">C4*$C$16</f>
        <v>0</v>
      </c>
      <c r="D21" s="463">
        <f t="shared" ref="D21:D30" si="4">D4*$D$16</f>
        <v>2727.8752657710056</v>
      </c>
      <c r="E21" s="463">
        <f t="shared" ref="E21:E30" si="5">E4*$E$16</f>
        <v>740.84460487167291</v>
      </c>
      <c r="F21" s="463">
        <f t="shared" ref="F21:F28" si="6">F4*$F$16</f>
        <v>9770.9108547592787</v>
      </c>
      <c r="G21" s="463">
        <f t="shared" ref="G21:G30" si="7">G4*$G$16</f>
        <v>0</v>
      </c>
      <c r="H21" s="463">
        <f t="shared" ref="H21:H30" si="8">H4*$H$16</f>
        <v>0</v>
      </c>
      <c r="I21" s="463">
        <f t="shared" ref="I21:I28" si="9">I4*$I$16</f>
        <v>0</v>
      </c>
      <c r="J21" s="463">
        <f t="shared" ref="J21:J28" si="10">J4*$J$16</f>
        <v>1120.46069276857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17956.628784150736</v>
      </c>
    </row>
    <row r="22" spans="1:17">
      <c r="A22" s="462" t="s">
        <v>156</v>
      </c>
      <c r="B22" s="463">
        <f t="shared" ca="1" si="2"/>
        <v>2150.0184635909027</v>
      </c>
      <c r="C22" s="463">
        <f t="shared" ca="1" si="3"/>
        <v>0</v>
      </c>
      <c r="D22" s="463">
        <f t="shared" ca="1" si="4"/>
        <v>4793.0160312989437</v>
      </c>
      <c r="E22" s="463">
        <f t="shared" si="5"/>
        <v>36.50320310740706</v>
      </c>
      <c r="F22" s="463">
        <f t="shared" ca="1" si="6"/>
        <v>519.20514451367717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7498.7428425109301</v>
      </c>
    </row>
    <row r="23" spans="1:17">
      <c r="A23" s="462" t="s">
        <v>194</v>
      </c>
      <c r="B23" s="463">
        <f t="shared" ca="1" si="2"/>
        <v>160.14398669865184</v>
      </c>
      <c r="C23" s="463"/>
      <c r="D23" s="463"/>
      <c r="E23" s="463"/>
      <c r="F23" s="463"/>
      <c r="G23" s="463"/>
      <c r="H23" s="463"/>
      <c r="I23" s="463"/>
      <c r="J23" s="463"/>
      <c r="K23" s="463"/>
      <c r="L23" s="463"/>
      <c r="M23" s="463"/>
      <c r="N23" s="463"/>
      <c r="O23" s="463"/>
      <c r="P23" s="464"/>
      <c r="Q23" s="462">
        <f t="shared" ca="1" si="17"/>
        <v>160.14398669865184</v>
      </c>
    </row>
    <row r="24" spans="1:17">
      <c r="A24" s="462" t="s">
        <v>112</v>
      </c>
      <c r="B24" s="463">
        <f t="shared" ca="1" si="2"/>
        <v>545.88723449901556</v>
      </c>
      <c r="C24" s="463">
        <f t="shared" ca="1" si="3"/>
        <v>0</v>
      </c>
      <c r="D24" s="463">
        <f t="shared" si="4"/>
        <v>269.80881797156547</v>
      </c>
      <c r="E24" s="463">
        <f t="shared" si="5"/>
        <v>7.381273210445527</v>
      </c>
      <c r="F24" s="463">
        <f t="shared" si="6"/>
        <v>2377.1269059833298</v>
      </c>
      <c r="G24" s="463">
        <f t="shared" si="7"/>
        <v>0</v>
      </c>
      <c r="H24" s="463">
        <f t="shared" si="8"/>
        <v>0</v>
      </c>
      <c r="I24" s="463">
        <f t="shared" si="9"/>
        <v>0</v>
      </c>
      <c r="J24" s="463">
        <f t="shared" si="10"/>
        <v>137.3753300961053</v>
      </c>
      <c r="K24" s="463">
        <f t="shared" si="11"/>
        <v>0</v>
      </c>
      <c r="L24" s="463">
        <f t="shared" si="12"/>
        <v>0</v>
      </c>
      <c r="M24" s="463">
        <f t="shared" si="13"/>
        <v>0</v>
      </c>
      <c r="N24" s="463">
        <f t="shared" si="14"/>
        <v>0</v>
      </c>
      <c r="O24" s="463">
        <f t="shared" si="15"/>
        <v>0</v>
      </c>
      <c r="P24" s="464">
        <f t="shared" si="16"/>
        <v>0</v>
      </c>
      <c r="Q24" s="462">
        <f t="shared" ca="1" si="17"/>
        <v>3337.5795617604617</v>
      </c>
    </row>
    <row r="25" spans="1:17">
      <c r="A25" s="462" t="s">
        <v>657</v>
      </c>
      <c r="B25" s="463">
        <f t="shared" ca="1" si="2"/>
        <v>27507.508398876991</v>
      </c>
      <c r="C25" s="463">
        <f t="shared" ca="1" si="3"/>
        <v>388.04369747899159</v>
      </c>
      <c r="D25" s="463">
        <f t="shared" si="4"/>
        <v>24622.608026299855</v>
      </c>
      <c r="E25" s="463">
        <f t="shared" si="5"/>
        <v>473.37465128686762</v>
      </c>
      <c r="F25" s="463">
        <f t="shared" si="6"/>
        <v>6682.6968733248877</v>
      </c>
      <c r="G25" s="463">
        <f t="shared" si="7"/>
        <v>0</v>
      </c>
      <c r="H25" s="463">
        <f t="shared" si="8"/>
        <v>0</v>
      </c>
      <c r="I25" s="463">
        <f t="shared" si="9"/>
        <v>0</v>
      </c>
      <c r="J25" s="463">
        <f t="shared" si="10"/>
        <v>11.217575873925364</v>
      </c>
      <c r="K25" s="463">
        <f t="shared" si="11"/>
        <v>0</v>
      </c>
      <c r="L25" s="463">
        <f t="shared" si="12"/>
        <v>0</v>
      </c>
      <c r="M25" s="463">
        <f t="shared" si="13"/>
        <v>0</v>
      </c>
      <c r="N25" s="463">
        <f t="shared" si="14"/>
        <v>0</v>
      </c>
      <c r="O25" s="463">
        <f t="shared" si="15"/>
        <v>0</v>
      </c>
      <c r="P25" s="464">
        <f t="shared" si="16"/>
        <v>0</v>
      </c>
      <c r="Q25" s="462">
        <f t="shared" ca="1" si="17"/>
        <v>59685.449223141521</v>
      </c>
    </row>
    <row r="26" spans="1:17" s="468" customFormat="1">
      <c r="A26" s="466" t="s">
        <v>574</v>
      </c>
      <c r="B26" s="823">
        <f t="shared" ca="1" si="2"/>
        <v>2.6295245710926811</v>
      </c>
      <c r="C26" s="467"/>
      <c r="D26" s="467">
        <f t="shared" si="4"/>
        <v>3.8418458571008154</v>
      </c>
      <c r="E26" s="467">
        <f t="shared" si="5"/>
        <v>157.43266267847045</v>
      </c>
      <c r="F26" s="467"/>
      <c r="G26" s="467">
        <f t="shared" si="7"/>
        <v>62523.357276910479</v>
      </c>
      <c r="H26" s="467">
        <f t="shared" si="8"/>
        <v>7354.1923369686801</v>
      </c>
      <c r="I26" s="467"/>
      <c r="J26" s="467"/>
      <c r="K26" s="467"/>
      <c r="L26" s="467"/>
      <c r="M26" s="467">
        <f t="shared" si="13"/>
        <v>0</v>
      </c>
      <c r="N26" s="467"/>
      <c r="O26" s="467"/>
      <c r="P26" s="478"/>
      <c r="Q26" s="466">
        <f t="shared" ca="1" si="17"/>
        <v>70041.453646985829</v>
      </c>
    </row>
    <row r="27" spans="1:17">
      <c r="A27" s="462" t="s">
        <v>564</v>
      </c>
      <c r="B27" s="463">
        <f t="shared" ca="1" si="2"/>
        <v>0</v>
      </c>
      <c r="C27" s="463"/>
      <c r="D27" s="467">
        <f t="shared" si="4"/>
        <v>0</v>
      </c>
      <c r="E27" s="463"/>
      <c r="F27" s="463"/>
      <c r="G27" s="463">
        <f t="shared" si="7"/>
        <v>126.35357386565506</v>
      </c>
      <c r="H27" s="463"/>
      <c r="I27" s="463"/>
      <c r="J27" s="463"/>
      <c r="K27" s="463"/>
      <c r="L27" s="463"/>
      <c r="M27" s="463">
        <f t="shared" si="13"/>
        <v>0</v>
      </c>
      <c r="N27" s="463"/>
      <c r="O27" s="463"/>
      <c r="P27" s="464"/>
      <c r="Q27" s="462">
        <f t="shared" ca="1" si="17"/>
        <v>126.35357386565506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33962.724974216864</v>
      </c>
      <c r="C31" s="473">
        <f t="shared" ca="1" si="18"/>
        <v>388.04369747899159</v>
      </c>
      <c r="D31" s="473">
        <f t="shared" ca="1" si="18"/>
        <v>32417.149987198467</v>
      </c>
      <c r="E31" s="473">
        <f t="shared" si="18"/>
        <v>1415.5363951548636</v>
      </c>
      <c r="F31" s="473">
        <f t="shared" ca="1" si="18"/>
        <v>19349.939778581174</v>
      </c>
      <c r="G31" s="473">
        <f t="shared" si="18"/>
        <v>62649.710850776137</v>
      </c>
      <c r="H31" s="473">
        <f t="shared" si="18"/>
        <v>7354.1923369686801</v>
      </c>
      <c r="I31" s="473">
        <f t="shared" si="18"/>
        <v>0</v>
      </c>
      <c r="J31" s="473">
        <f t="shared" si="18"/>
        <v>1269.0535987386006</v>
      </c>
      <c r="K31" s="473">
        <f t="shared" si="18"/>
        <v>0</v>
      </c>
      <c r="L31" s="473">
        <f t="shared" ca="1" si="18"/>
        <v>0</v>
      </c>
      <c r="M31" s="473">
        <f t="shared" si="18"/>
        <v>0</v>
      </c>
      <c r="N31" s="473">
        <f t="shared" ca="1" si="18"/>
        <v>0</v>
      </c>
      <c r="O31" s="473">
        <f t="shared" si="18"/>
        <v>0</v>
      </c>
      <c r="P31" s="474">
        <f t="shared" si="18"/>
        <v>0</v>
      </c>
      <c r="Q31" s="474">
        <f t="shared" ca="1" si="18"/>
        <v>158806.35161911382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0.21154972324935117</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0.21154972324935117</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0.21154972324935117</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45017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3214</v>
      </c>
      <c r="C9" s="338">
        <v>3294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3063</v>
      </c>
    </row>
    <row r="15" spans="1:6">
      <c r="A15" s="1269" t="s">
        <v>184</v>
      </c>
      <c r="B15" s="335">
        <v>35</v>
      </c>
    </row>
    <row r="16" spans="1:6">
      <c r="A16" s="1269" t="s">
        <v>6</v>
      </c>
      <c r="B16" s="335">
        <v>819</v>
      </c>
    </row>
    <row r="17" spans="1:6">
      <c r="A17" s="1269" t="s">
        <v>7</v>
      </c>
      <c r="B17" s="335">
        <v>1105</v>
      </c>
    </row>
    <row r="18" spans="1:6">
      <c r="A18" s="1269" t="s">
        <v>8</v>
      </c>
      <c r="B18" s="335">
        <v>1248</v>
      </c>
    </row>
    <row r="19" spans="1:6">
      <c r="A19" s="1269" t="s">
        <v>9</v>
      </c>
      <c r="B19" s="335">
        <v>1215</v>
      </c>
    </row>
    <row r="20" spans="1:6">
      <c r="A20" s="1269" t="s">
        <v>10</v>
      </c>
      <c r="B20" s="335">
        <v>948</v>
      </c>
    </row>
    <row r="21" spans="1:6">
      <c r="A21" s="1269" t="s">
        <v>11</v>
      </c>
      <c r="B21" s="335">
        <v>4534</v>
      </c>
    </row>
    <row r="22" spans="1:6">
      <c r="A22" s="1269" t="s">
        <v>12</v>
      </c>
      <c r="B22" s="335">
        <v>10829</v>
      </c>
    </row>
    <row r="23" spans="1:6">
      <c r="A23" s="1269" t="s">
        <v>13</v>
      </c>
      <c r="B23" s="335">
        <v>255</v>
      </c>
    </row>
    <row r="24" spans="1:6">
      <c r="A24" s="1269" t="s">
        <v>14</v>
      </c>
      <c r="B24" s="335">
        <v>16</v>
      </c>
    </row>
    <row r="25" spans="1:6">
      <c r="A25" s="1269" t="s">
        <v>15</v>
      </c>
      <c r="B25" s="335">
        <v>2039</v>
      </c>
    </row>
    <row r="26" spans="1:6">
      <c r="A26" s="1269" t="s">
        <v>16</v>
      </c>
      <c r="B26" s="335">
        <v>140</v>
      </c>
    </row>
    <row r="27" spans="1:6">
      <c r="A27" s="1269" t="s">
        <v>17</v>
      </c>
      <c r="B27" s="335">
        <v>11</v>
      </c>
    </row>
    <row r="28" spans="1:6" s="341" customFormat="1">
      <c r="A28" s="1270" t="s">
        <v>18</v>
      </c>
      <c r="B28" s="1270">
        <v>178627</v>
      </c>
    </row>
    <row r="29" spans="1:6">
      <c r="A29" s="1270" t="s">
        <v>874</v>
      </c>
      <c r="B29" s="1270">
        <v>160</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629</v>
      </c>
    </row>
    <row r="39" spans="1:6">
      <c r="A39" s="1269" t="s">
        <v>30</v>
      </c>
      <c r="B39" s="1269" t="s">
        <v>31</v>
      </c>
      <c r="C39" s="335">
        <v>811</v>
      </c>
      <c r="D39" s="335">
        <v>14971544.344641199</v>
      </c>
      <c r="E39" s="335">
        <v>2945</v>
      </c>
      <c r="F39" s="335">
        <v>15438973.973609099</v>
      </c>
    </row>
    <row r="40" spans="1:6">
      <c r="A40" s="1269" t="s">
        <v>30</v>
      </c>
      <c r="B40" s="1269" t="s">
        <v>29</v>
      </c>
      <c r="C40" s="335">
        <v>0</v>
      </c>
      <c r="D40" s="335">
        <v>0</v>
      </c>
      <c r="E40" s="335">
        <v>0</v>
      </c>
      <c r="F40" s="335">
        <v>0</v>
      </c>
    </row>
    <row r="41" spans="1:6">
      <c r="A41" s="1269" t="s">
        <v>32</v>
      </c>
      <c r="B41" s="1269" t="s">
        <v>33</v>
      </c>
      <c r="C41" s="335">
        <v>6</v>
      </c>
      <c r="D41" s="335">
        <v>171061.63513086</v>
      </c>
      <c r="E41" s="335">
        <v>96</v>
      </c>
      <c r="F41" s="335">
        <v>1497283.53660595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21</v>
      </c>
      <c r="F44" s="335">
        <v>985277.13803179294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1136351.98941705</v>
      </c>
    </row>
    <row r="48" spans="1:6">
      <c r="A48" s="1269" t="s">
        <v>32</v>
      </c>
      <c r="B48" s="1269" t="s">
        <v>29</v>
      </c>
      <c r="C48" s="335">
        <v>36</v>
      </c>
      <c r="D48" s="335">
        <v>138539906.96605</v>
      </c>
      <c r="E48" s="335">
        <v>38</v>
      </c>
      <c r="F48" s="335">
        <v>12304298.8573601</v>
      </c>
    </row>
    <row r="49" spans="1:6">
      <c r="A49" s="1269" t="s">
        <v>32</v>
      </c>
      <c r="B49" s="1269" t="s">
        <v>40</v>
      </c>
      <c r="C49" s="335">
        <v>0</v>
      </c>
      <c r="D49" s="335">
        <v>0</v>
      </c>
      <c r="E49" s="335">
        <v>3</v>
      </c>
      <c r="F49" s="335">
        <v>101519458.79196399</v>
      </c>
    </row>
    <row r="50" spans="1:6">
      <c r="A50" s="1269" t="s">
        <v>32</v>
      </c>
      <c r="B50" s="1269" t="s">
        <v>41</v>
      </c>
      <c r="C50" s="335">
        <v>3</v>
      </c>
      <c r="D50" s="335">
        <v>47139.409697798197</v>
      </c>
      <c r="E50" s="335">
        <v>13</v>
      </c>
      <c r="F50" s="335">
        <v>11442901.5815331</v>
      </c>
    </row>
    <row r="51" spans="1:6">
      <c r="A51" s="1269" t="s">
        <v>42</v>
      </c>
      <c r="B51" s="1269" t="s">
        <v>43</v>
      </c>
      <c r="C51" s="335">
        <v>0</v>
      </c>
      <c r="D51" s="335">
        <v>0</v>
      </c>
      <c r="E51" s="335">
        <v>123</v>
      </c>
      <c r="F51" s="335">
        <v>2270787.88281328</v>
      </c>
    </row>
    <row r="52" spans="1:6">
      <c r="A52" s="1269" t="s">
        <v>42</v>
      </c>
      <c r="B52" s="1269" t="s">
        <v>29</v>
      </c>
      <c r="C52" s="335">
        <v>8</v>
      </c>
      <c r="D52" s="335">
        <v>733755.64703343902</v>
      </c>
      <c r="E52" s="335">
        <v>7</v>
      </c>
      <c r="F52" s="335">
        <v>309632.578694886</v>
      </c>
    </row>
    <row r="53" spans="1:6">
      <c r="A53" s="1269" t="s">
        <v>44</v>
      </c>
      <c r="B53" s="1269" t="s">
        <v>45</v>
      </c>
      <c r="C53" s="335">
        <v>28</v>
      </c>
      <c r="D53" s="335">
        <v>747050.580994296</v>
      </c>
      <c r="E53" s="335">
        <v>97</v>
      </c>
      <c r="F53" s="335">
        <v>523981.25992116798</v>
      </c>
    </row>
    <row r="54" spans="1:6">
      <c r="A54" s="1269" t="s">
        <v>46</v>
      </c>
      <c r="B54" s="1269" t="s">
        <v>47</v>
      </c>
      <c r="C54" s="335">
        <v>0</v>
      </c>
      <c r="D54" s="335">
        <v>0</v>
      </c>
      <c r="E54" s="335">
        <v>1</v>
      </c>
      <c r="F54" s="335">
        <v>757004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v>
      </c>
      <c r="D57" s="335">
        <v>506232.77347651299</v>
      </c>
      <c r="E57" s="335">
        <v>20</v>
      </c>
      <c r="F57" s="335">
        <v>213135.91691423801</v>
      </c>
    </row>
    <row r="58" spans="1:6">
      <c r="A58" s="1269" t="s">
        <v>49</v>
      </c>
      <c r="B58" s="1269" t="s">
        <v>51</v>
      </c>
      <c r="C58" s="335">
        <v>4</v>
      </c>
      <c r="D58" s="335">
        <v>159436.02731990101</v>
      </c>
      <c r="E58" s="335">
        <v>19</v>
      </c>
      <c r="F58" s="335">
        <v>168055.08500480599</v>
      </c>
    </row>
    <row r="59" spans="1:6">
      <c r="A59" s="1269" t="s">
        <v>49</v>
      </c>
      <c r="B59" s="1269" t="s">
        <v>52</v>
      </c>
      <c r="C59" s="335">
        <v>12</v>
      </c>
      <c r="D59" s="335">
        <v>778454.32639875798</v>
      </c>
      <c r="E59" s="335">
        <v>124</v>
      </c>
      <c r="F59" s="335">
        <v>3981904.9291069298</v>
      </c>
    </row>
    <row r="60" spans="1:6">
      <c r="A60" s="1269" t="s">
        <v>49</v>
      </c>
      <c r="B60" s="1269" t="s">
        <v>53</v>
      </c>
      <c r="C60" s="335">
        <v>8</v>
      </c>
      <c r="D60" s="335">
        <v>252147.35393924799</v>
      </c>
      <c r="E60" s="335">
        <v>32</v>
      </c>
      <c r="F60" s="335">
        <v>1065950.47994634</v>
      </c>
    </row>
    <row r="61" spans="1:6">
      <c r="A61" s="1269" t="s">
        <v>49</v>
      </c>
      <c r="B61" s="1269" t="s">
        <v>54</v>
      </c>
      <c r="C61" s="335">
        <v>29</v>
      </c>
      <c r="D61" s="335">
        <v>1708309.9000636099</v>
      </c>
      <c r="E61" s="335">
        <v>135</v>
      </c>
      <c r="F61" s="335">
        <v>1833445.07094755</v>
      </c>
    </row>
    <row r="62" spans="1:6">
      <c r="A62" s="1269" t="s">
        <v>49</v>
      </c>
      <c r="B62" s="1269" t="s">
        <v>55</v>
      </c>
      <c r="C62" s="335">
        <v>0</v>
      </c>
      <c r="D62" s="335">
        <v>0</v>
      </c>
      <c r="E62" s="335">
        <v>3</v>
      </c>
      <c r="F62" s="335">
        <v>8743.3620717430003</v>
      </c>
    </row>
    <row r="63" spans="1:6">
      <c r="A63" s="1269" t="s">
        <v>49</v>
      </c>
      <c r="B63" s="1269" t="s">
        <v>29</v>
      </c>
      <c r="C63" s="335">
        <v>80</v>
      </c>
      <c r="D63" s="335">
        <v>22901186.952663701</v>
      </c>
      <c r="E63" s="335">
        <v>142</v>
      </c>
      <c r="F63" s="335">
        <v>2891947.74290642</v>
      </c>
    </row>
    <row r="64" spans="1:6">
      <c r="A64" s="1269" t="s">
        <v>56</v>
      </c>
      <c r="B64" s="1269" t="s">
        <v>57</v>
      </c>
      <c r="C64" s="335">
        <v>0</v>
      </c>
      <c r="D64" s="335">
        <v>0</v>
      </c>
      <c r="E64" s="335">
        <v>0</v>
      </c>
      <c r="F64" s="335">
        <v>0</v>
      </c>
    </row>
    <row r="65" spans="1:6">
      <c r="A65" s="1269" t="s">
        <v>56</v>
      </c>
      <c r="B65" s="1269" t="s">
        <v>29</v>
      </c>
      <c r="C65" s="335">
        <v>1</v>
      </c>
      <c r="D65" s="335">
        <v>35924.145381442599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176972.138053748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53078439</v>
      </c>
      <c r="E73" s="335">
        <v>56416929.66860047</v>
      </c>
    </row>
    <row r="74" spans="1:6">
      <c r="A74" s="1269" t="s">
        <v>64</v>
      </c>
      <c r="B74" s="1269" t="s">
        <v>727</v>
      </c>
      <c r="C74" s="1269" t="s">
        <v>728</v>
      </c>
      <c r="D74" s="335">
        <v>4484205.5262915334</v>
      </c>
      <c r="E74" s="335">
        <v>4777203.3249509363</v>
      </c>
    </row>
    <row r="75" spans="1:6">
      <c r="A75" s="1269" t="s">
        <v>65</v>
      </c>
      <c r="B75" s="1269" t="s">
        <v>725</v>
      </c>
      <c r="C75" s="1269" t="s">
        <v>729</v>
      </c>
      <c r="D75" s="335">
        <v>14383384</v>
      </c>
      <c r="E75" s="335">
        <v>15161370.140460284</v>
      </c>
    </row>
    <row r="76" spans="1:6">
      <c r="A76" s="1269" t="s">
        <v>65</v>
      </c>
      <c r="B76" s="1269" t="s">
        <v>727</v>
      </c>
      <c r="C76" s="1269" t="s">
        <v>730</v>
      </c>
      <c r="D76" s="335">
        <v>355229.52629153326</v>
      </c>
      <c r="E76" s="335">
        <v>396906.1486433809</v>
      </c>
    </row>
    <row r="77" spans="1:6">
      <c r="A77" s="1269" t="s">
        <v>66</v>
      </c>
      <c r="B77" s="1269" t="s">
        <v>725</v>
      </c>
      <c r="C77" s="1269" t="s">
        <v>731</v>
      </c>
      <c r="D77" s="335">
        <v>160174071</v>
      </c>
      <c r="E77" s="335">
        <v>191598760.52753362</v>
      </c>
    </row>
    <row r="78" spans="1:6">
      <c r="A78" s="1265" t="s">
        <v>66</v>
      </c>
      <c r="B78" s="1265" t="s">
        <v>727</v>
      </c>
      <c r="C78" s="1265" t="s">
        <v>732</v>
      </c>
      <c r="D78" s="1265">
        <v>42263654</v>
      </c>
      <c r="E78" s="1265">
        <v>49495521.567216411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130582.94741693344</v>
      </c>
      <c r="C83" s="335">
        <v>130318.28555070395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1561.9339488324349</v>
      </c>
    </row>
    <row r="92" spans="1:6">
      <c r="A92" s="1265" t="s">
        <v>69</v>
      </c>
      <c r="B92" s="338">
        <v>5389.1918481950115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259</v>
      </c>
    </row>
    <row r="98" spans="1:6">
      <c r="A98" s="1269" t="s">
        <v>72</v>
      </c>
      <c r="B98" s="335">
        <v>0</v>
      </c>
    </row>
    <row r="99" spans="1:6">
      <c r="A99" s="1269" t="s">
        <v>73</v>
      </c>
      <c r="B99" s="335">
        <v>91</v>
      </c>
    </row>
    <row r="100" spans="1:6">
      <c r="A100" s="1269" t="s">
        <v>74</v>
      </c>
      <c r="B100" s="335">
        <v>319</v>
      </c>
    </row>
    <row r="101" spans="1:6">
      <c r="A101" s="1269" t="s">
        <v>75</v>
      </c>
      <c r="B101" s="335">
        <v>92</v>
      </c>
    </row>
    <row r="102" spans="1:6">
      <c r="A102" s="1269" t="s">
        <v>76</v>
      </c>
      <c r="B102" s="335">
        <v>51</v>
      </c>
    </row>
    <row r="103" spans="1:6">
      <c r="A103" s="1269" t="s">
        <v>77</v>
      </c>
      <c r="B103" s="335">
        <v>133</v>
      </c>
    </row>
    <row r="104" spans="1:6">
      <c r="A104" s="1269" t="s">
        <v>78</v>
      </c>
      <c r="B104" s="335">
        <v>1944</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62</v>
      </c>
    </row>
    <row r="130" spans="1:6">
      <c r="A130" s="1269" t="s">
        <v>295</v>
      </c>
      <c r="B130" s="335">
        <v>3</v>
      </c>
    </row>
    <row r="131" spans="1:6">
      <c r="A131" s="1269" t="s">
        <v>296</v>
      </c>
      <c r="B131" s="335">
        <v>2</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160542.51668382186</v>
      </c>
      <c r="C3" s="43" t="s">
        <v>170</v>
      </c>
      <c r="D3" s="43"/>
      <c r="E3" s="156"/>
      <c r="F3" s="43"/>
      <c r="G3" s="43"/>
      <c r="H3" s="43"/>
      <c r="I3" s="43"/>
      <c r="J3" s="43"/>
      <c r="K3" s="96"/>
    </row>
    <row r="4" spans="1:11">
      <c r="A4" s="366" t="s">
        <v>171</v>
      </c>
      <c r="B4" s="49">
        <f>IF(ISERROR('SEAP template'!B69),0,'SEAP template'!B69)</f>
        <v>8094.1257970274464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271.63058823529417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0.21154972324935117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388.04369747899159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1632.8571428571429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757.00400000000002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757.00400000000002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0.21154972324935117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160.14398669865184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15438.9739736091</v>
      </c>
      <c r="C5" s="17">
        <f>IF(ISERROR('Eigen informatie GS &amp; warmtenet'!B57),0,'Eigen informatie GS &amp; warmtenet'!B57)</f>
        <v>0</v>
      </c>
      <c r="D5" s="30">
        <f>(SUM(HH_hh_gas_kWh,HH_rest_gas_kWh)/1000)*0.902</f>
        <v>13504.332998866363</v>
      </c>
      <c r="E5" s="17">
        <f>B46*B57</f>
        <v>3263.6326205800569</v>
      </c>
      <c r="F5" s="17">
        <f>B51*B62</f>
        <v>36595.171740671452</v>
      </c>
      <c r="G5" s="18"/>
      <c r="H5" s="17"/>
      <c r="I5" s="17"/>
      <c r="J5" s="17">
        <f>B50*B61+C50*C61</f>
        <v>3165.1431999112147</v>
      </c>
      <c r="K5" s="17"/>
      <c r="L5" s="17"/>
      <c r="M5" s="17"/>
      <c r="N5" s="17">
        <f>B48*B59+C48*C59</f>
        <v>12369.573553389801</v>
      </c>
      <c r="O5" s="17">
        <f>B69*B70*B71</f>
        <v>106.30666666666667</v>
      </c>
      <c r="P5" s="17">
        <f>B77*B78*B79/1000-B77*B78*B79/1000/B80</f>
        <v>266.93333333333334</v>
      </c>
    </row>
    <row r="6" spans="1:16">
      <c r="A6" s="16" t="s">
        <v>634</v>
      </c>
      <c r="B6" s="831">
        <f>kWh_PV_kleiner_dan_10kW</f>
        <v>1561.9339488324349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17000.907922441533</v>
      </c>
      <c r="C8" s="21">
        <f>C5</f>
        <v>0</v>
      </c>
      <c r="D8" s="21">
        <f>D5</f>
        <v>13504.332998866363</v>
      </c>
      <c r="E8" s="21">
        <f>E5</f>
        <v>3263.6326205800569</v>
      </c>
      <c r="F8" s="21">
        <f>F5</f>
        <v>36595.171740671452</v>
      </c>
      <c r="G8" s="21"/>
      <c r="H8" s="21"/>
      <c r="I8" s="21"/>
      <c r="J8" s="21">
        <f>J5</f>
        <v>3165.1431999112147</v>
      </c>
      <c r="K8" s="21"/>
      <c r="L8" s="21">
        <f>L5</f>
        <v>0</v>
      </c>
      <c r="M8" s="21">
        <f>M5</f>
        <v>0</v>
      </c>
      <c r="N8" s="21">
        <f>N5</f>
        <v>12369.573553389801</v>
      </c>
      <c r="O8" s="21">
        <f>O5</f>
        <v>106.30666666666667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0.21154972324935117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3596.5373659802081</v>
      </c>
      <c r="C12" s="23">
        <f ca="1">C10*C8</f>
        <v>0</v>
      </c>
      <c r="D12" s="23">
        <f>D8*D10</f>
        <v>2727.8752657710056</v>
      </c>
      <c r="E12" s="23">
        <f>E10*E8</f>
        <v>740.84460487167291</v>
      </c>
      <c r="F12" s="23">
        <f>F10*F8</f>
        <v>9770.9108547592787</v>
      </c>
      <c r="G12" s="23"/>
      <c r="H12" s="23"/>
      <c r="I12" s="23"/>
      <c r="J12" s="23">
        <f>J10*J8</f>
        <v>1120.46069276857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259</v>
      </c>
      <c r="C18" s="168" t="s">
        <v>111</v>
      </c>
      <c r="D18" s="230"/>
      <c r="E18" s="15"/>
    </row>
    <row r="19" spans="1:7">
      <c r="A19" s="173" t="s">
        <v>72</v>
      </c>
      <c r="B19" s="37">
        <f>aantalw2001_ander</f>
        <v>0</v>
      </c>
      <c r="C19" s="168" t="s">
        <v>111</v>
      </c>
      <c r="D19" s="231"/>
      <c r="E19" s="15"/>
    </row>
    <row r="20" spans="1:7">
      <c r="A20" s="173" t="s">
        <v>73</v>
      </c>
      <c r="B20" s="37">
        <f>aantalw2001_propaan</f>
        <v>91</v>
      </c>
      <c r="C20" s="169">
        <f>IF(ISERROR(B20/SUM($B$20,$B$21,$B$22)*100),0,B20/SUM($B$20,$B$21,$B$22)*100)</f>
        <v>18.127490039840637</v>
      </c>
      <c r="D20" s="231"/>
      <c r="E20" s="15"/>
    </row>
    <row r="21" spans="1:7">
      <c r="A21" s="173" t="s">
        <v>74</v>
      </c>
      <c r="B21" s="37">
        <f>aantalw2001_elektriciteit</f>
        <v>319</v>
      </c>
      <c r="C21" s="169">
        <f>IF(ISERROR(B21/SUM($B$20,$B$21,$B$22)*100),0,B21/SUM($B$20,$B$21,$B$22)*100)</f>
        <v>63.545816733067731</v>
      </c>
      <c r="D21" s="231"/>
      <c r="E21" s="15"/>
    </row>
    <row r="22" spans="1:7">
      <c r="A22" s="173" t="s">
        <v>75</v>
      </c>
      <c r="B22" s="37">
        <f>aantalw2001_hout</f>
        <v>92</v>
      </c>
      <c r="C22" s="169">
        <f>IF(ISERROR(B22/SUM($B$20,$B$21,$B$22)*100),0,B22/SUM($B$20,$B$21,$B$22)*100)</f>
        <v>18.326693227091635</v>
      </c>
      <c r="D22" s="231"/>
      <c r="E22" s="15"/>
    </row>
    <row r="23" spans="1:7">
      <c r="A23" s="173" t="s">
        <v>76</v>
      </c>
      <c r="B23" s="37">
        <f>aantalw2001_niet_gespec</f>
        <v>51</v>
      </c>
      <c r="C23" s="168" t="s">
        <v>111</v>
      </c>
      <c r="D23" s="230"/>
      <c r="E23" s="15"/>
    </row>
    <row r="24" spans="1:7">
      <c r="A24" s="173" t="s">
        <v>77</v>
      </c>
      <c r="B24" s="37">
        <f>aantalw2001_steenkool</f>
        <v>133</v>
      </c>
      <c r="C24" s="168" t="s">
        <v>111</v>
      </c>
      <c r="D24" s="231"/>
      <c r="E24" s="15"/>
    </row>
    <row r="25" spans="1:7">
      <c r="A25" s="173" t="s">
        <v>78</v>
      </c>
      <c r="B25" s="37">
        <f>aantalw2001_stookolie</f>
        <v>1944</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3214</v>
      </c>
      <c r="C28" s="36"/>
      <c r="D28" s="230"/>
    </row>
    <row r="29" spans="1:7" s="15" customFormat="1">
      <c r="A29" s="232" t="s">
        <v>746</v>
      </c>
      <c r="B29" s="37">
        <f>SUM(HH_hh_gas_aantal,HH_rest_gas_aantal)</f>
        <v>811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811</v>
      </c>
      <c r="C32" s="169">
        <f>IF(ISERROR(B32/SUM($B$32,$B$34,$B$35,$B$36,$B$38,$B$39)*100),0,B32/SUM($B$32,$B$34,$B$35,$B$36,$B$38,$B$39)*100)</f>
        <v>25.34375</v>
      </c>
      <c r="D32" s="235"/>
      <c r="G32" s="15"/>
    </row>
    <row r="33" spans="1:7">
      <c r="A33" s="173" t="s">
        <v>72</v>
      </c>
      <c r="B33" s="34" t="s">
        <v>111</v>
      </c>
      <c r="C33" s="169"/>
      <c r="D33" s="235"/>
      <c r="G33" s="15"/>
    </row>
    <row r="34" spans="1:7">
      <c r="A34" s="173" t="s">
        <v>73</v>
      </c>
      <c r="B34" s="33">
        <f>IF((($B$28-$B$32-$B$39-$B$77-$B$38)*C20/100)&lt;0,0,($B$28-$B$32-$B$39-$B$77-$B$38)*C20/100)</f>
        <v>156.62151394422312</v>
      </c>
      <c r="C34" s="169">
        <f>IF(ISERROR(B34/SUM($B$32,$B$34,$B$35,$B$36,$B$38,$B$39)*100),0,B34/SUM($B$32,$B$34,$B$35,$B$36,$B$38,$B$39)*100)</f>
        <v>4.8944223107569726</v>
      </c>
      <c r="D34" s="235"/>
      <c r="G34" s="15"/>
    </row>
    <row r="35" spans="1:7">
      <c r="A35" s="173" t="s">
        <v>74</v>
      </c>
      <c r="B35" s="33">
        <f>IF((($B$28-$B$32-$B$39-$B$77-$B$38)*C21/100)&lt;0,0,($B$28-$B$32-$B$39-$B$77-$B$38)*C21/100)</f>
        <v>549.03585657370513</v>
      </c>
      <c r="C35" s="169">
        <f>IF(ISERROR(B35/SUM($B$32,$B$34,$B$35,$B$36,$B$38,$B$39)*100),0,B35/SUM($B$32,$B$34,$B$35,$B$36,$B$38,$B$39)*100)</f>
        <v>17.157370517928285</v>
      </c>
      <c r="D35" s="235"/>
      <c r="G35" s="15"/>
    </row>
    <row r="36" spans="1:7">
      <c r="A36" s="173" t="s">
        <v>75</v>
      </c>
      <c r="B36" s="33">
        <f>IF((($B$28-$B$32-$B$39-$B$77-$B$38)*C22/100)&lt;0,0,($B$28-$B$32-$B$39-$B$77-$B$38)*C22/100)</f>
        <v>158.34262948207174</v>
      </c>
      <c r="C36" s="169">
        <f>IF(ISERROR(B36/SUM($B$32,$B$34,$B$35,$B$36,$B$38,$B$39)*100),0,B36/SUM($B$32,$B$34,$B$35,$B$36,$B$38,$B$39)*100)</f>
        <v>4.948207171314742</v>
      </c>
      <c r="D36" s="235"/>
      <c r="G36" s="15"/>
    </row>
    <row r="37" spans="1:7">
      <c r="A37" s="173" t="s">
        <v>76</v>
      </c>
      <c r="B37" s="34" t="s">
        <v>111</v>
      </c>
      <c r="C37" s="169"/>
      <c r="D37" s="175"/>
      <c r="G37" s="15"/>
    </row>
    <row r="38" spans="1:7">
      <c r="A38" s="173" t="s">
        <v>77</v>
      </c>
      <c r="B38" s="33">
        <f>IF((B24-(B29-B18)*0.1)&lt;0,0,B24-(B29-B18)*0.1)</f>
        <v>77.8</v>
      </c>
      <c r="C38" s="169">
        <f>IF(ISERROR(B38/SUM($B$32,$B$34,$B$35,$B$36,$B$38,$B$39)*100),0,B38/SUM($B$32,$B$34,$B$35,$B$36,$B$38,$B$39)*100)</f>
        <v>2.4312499999999999</v>
      </c>
      <c r="D38" s="236"/>
      <c r="G38" s="15"/>
    </row>
    <row r="39" spans="1:7">
      <c r="A39" s="173" t="s">
        <v>78</v>
      </c>
      <c r="B39" s="33">
        <f>IF((B25-(B29-B18))&lt;0,0,B25-(B29-B18)*0.9)</f>
        <v>1447.2</v>
      </c>
      <c r="C39" s="169">
        <f>IF(ISERROR(B39/SUM($B$32,$B$34,$B$35,$B$36,$B$38,$B$39)*100),0,B39/SUM($B$32,$B$34,$B$35,$B$36,$B$38,$B$39)*100)</f>
        <v>45.225000000000001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811</v>
      </c>
      <c r="C44" s="34" t="s">
        <v>111</v>
      </c>
      <c r="D44" s="176"/>
    </row>
    <row r="45" spans="1:7">
      <c r="A45" s="173" t="s">
        <v>72</v>
      </c>
      <c r="B45" s="33" t="str">
        <f t="shared" si="0"/>
        <v>-</v>
      </c>
      <c r="C45" s="34" t="s">
        <v>111</v>
      </c>
      <c r="D45" s="176"/>
    </row>
    <row r="46" spans="1:7">
      <c r="A46" s="173" t="s">
        <v>73</v>
      </c>
      <c r="B46" s="33">
        <f t="shared" si="0"/>
        <v>156.62151394422312</v>
      </c>
      <c r="C46" s="34" t="s">
        <v>111</v>
      </c>
      <c r="D46" s="176"/>
    </row>
    <row r="47" spans="1:7">
      <c r="A47" s="173" t="s">
        <v>74</v>
      </c>
      <c r="B47" s="33">
        <f t="shared" si="0"/>
        <v>549.03585657370513</v>
      </c>
      <c r="C47" s="34" t="s">
        <v>111</v>
      </c>
      <c r="D47" s="176"/>
    </row>
    <row r="48" spans="1:7">
      <c r="A48" s="173" t="s">
        <v>75</v>
      </c>
      <c r="B48" s="33">
        <f t="shared" si="0"/>
        <v>158.34262948207174</v>
      </c>
      <c r="C48" s="33">
        <f>B48*10</f>
        <v>1583.4262948207174</v>
      </c>
      <c r="D48" s="236"/>
    </row>
    <row r="49" spans="1:6">
      <c r="A49" s="173" t="s">
        <v>76</v>
      </c>
      <c r="B49" s="33" t="str">
        <f t="shared" si="0"/>
        <v>-</v>
      </c>
      <c r="C49" s="34" t="s">
        <v>111</v>
      </c>
      <c r="D49" s="236"/>
    </row>
    <row r="50" spans="1:6">
      <c r="A50" s="173" t="s">
        <v>77</v>
      </c>
      <c r="B50" s="33">
        <f t="shared" si="0"/>
        <v>77.8</v>
      </c>
      <c r="C50" s="33">
        <f>B50*2</f>
        <v>155.6</v>
      </c>
      <c r="D50" s="236"/>
    </row>
    <row r="51" spans="1:6">
      <c r="A51" s="173" t="s">
        <v>78</v>
      </c>
      <c r="B51" s="33">
        <f t="shared" si="0"/>
        <v>1447.2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10163.182586898027</v>
      </c>
      <c r="C5" s="17">
        <f>IF(ISERROR('Eigen informatie GS &amp; warmtenet'!B58),0,'Eigen informatie GS &amp; warmtenet'!B58)</f>
        <v>0</v>
      </c>
      <c r="D5" s="30">
        <f>SUM(D6:D12)</f>
        <v>23727.802135143284</v>
      </c>
      <c r="E5" s="17">
        <f>SUM(E6:E12)</f>
        <v>160.80706214716767</v>
      </c>
      <c r="F5" s="17">
        <f>SUM(F6:F12)</f>
        <v>1944.5885562310004</v>
      </c>
      <c r="G5" s="18"/>
      <c r="H5" s="17"/>
      <c r="I5" s="17"/>
      <c r="J5" s="17">
        <f>SUM(J6:J12)</f>
        <v>0</v>
      </c>
      <c r="K5" s="17"/>
      <c r="L5" s="17"/>
      <c r="M5" s="17"/>
      <c r="N5" s="17">
        <f>SUM(N6:N12)</f>
        <v>392.88518511087818</v>
      </c>
      <c r="O5" s="17">
        <f>B38*B39*B40</f>
        <v>4.6900000000000004</v>
      </c>
      <c r="P5" s="17">
        <f>B46*B47*B48/1000-B46*B47*B48/1000/B49</f>
        <v>38.133333333333333</v>
      </c>
      <c r="R5" s="32"/>
    </row>
    <row r="6" spans="1:18">
      <c r="A6" s="32" t="s">
        <v>54</v>
      </c>
      <c r="B6" s="37">
        <f>B26</f>
        <v>1833.44507094755</v>
      </c>
      <c r="C6" s="33"/>
      <c r="D6" s="37">
        <f>IF(ISERROR(TER_kantoor_gas_kWh/1000),0,TER_kantoor_gas_kWh/1000)*0.902</f>
        <v>1540.8955298573762</v>
      </c>
      <c r="E6" s="33">
        <f>$C$26*'E Balans VL '!I12/100/3.6*1000000</f>
        <v>7.1233222635690039</v>
      </c>
      <c r="F6" s="33">
        <f>$C$26*('E Balans VL '!L12+'E Balans VL '!N12)/100/3.6*1000000</f>
        <v>278.85031227106248</v>
      </c>
      <c r="G6" s="34"/>
      <c r="H6" s="33"/>
      <c r="I6" s="33"/>
      <c r="J6" s="33">
        <f>$C$26*('E Balans VL '!D12+'E Balans VL '!E12)/100/3.6*1000000</f>
        <v>0</v>
      </c>
      <c r="K6" s="33"/>
      <c r="L6" s="33"/>
      <c r="M6" s="33"/>
      <c r="N6" s="33">
        <f>$C$26*'E Balans VL '!Y12/100/3.6*1000000</f>
        <v>1.0104478754025057</v>
      </c>
      <c r="O6" s="33"/>
      <c r="P6" s="33"/>
      <c r="R6" s="32"/>
    </row>
    <row r="7" spans="1:18">
      <c r="A7" s="32" t="s">
        <v>53</v>
      </c>
      <c r="B7" s="37">
        <f t="shared" ref="B7:B12" si="0">B27</f>
        <v>1065.95047994634</v>
      </c>
      <c r="C7" s="33"/>
      <c r="D7" s="37">
        <f>IF(ISERROR(TER_horeca_gas_kWh/1000),0,TER_horeca_gas_kWh/1000)*0.902</f>
        <v>227.43691325320168</v>
      </c>
      <c r="E7" s="33">
        <f>$C$27*'E Balans VL '!I9/100/3.6*1000000</f>
        <v>60.045275523318146</v>
      </c>
      <c r="F7" s="33">
        <f>$C$27*('E Balans VL '!L9+'E Balans VL '!N9)/100/3.6*1000000</f>
        <v>307.35630126405323</v>
      </c>
      <c r="G7" s="34"/>
      <c r="H7" s="33"/>
      <c r="I7" s="33"/>
      <c r="J7" s="33">
        <f>$C$27*('E Balans VL '!D9+'E Balans VL '!E9)/100/3.6*1000000</f>
        <v>0</v>
      </c>
      <c r="K7" s="33"/>
      <c r="L7" s="33"/>
      <c r="M7" s="33"/>
      <c r="N7" s="33">
        <f>$C$27*'E Balans VL '!Y9/100/3.6*1000000</f>
        <v>0.29430338831332437</v>
      </c>
      <c r="O7" s="33"/>
      <c r="P7" s="33"/>
      <c r="R7" s="32"/>
    </row>
    <row r="8" spans="1:18">
      <c r="A8" s="6" t="s">
        <v>52</v>
      </c>
      <c r="B8" s="37">
        <f t="shared" si="0"/>
        <v>3981.90492910693</v>
      </c>
      <c r="C8" s="33"/>
      <c r="D8" s="37">
        <f>IF(ISERROR(TER_handel_gas_kWh/1000),0,TER_handel_gas_kWh/1000)*0.902</f>
        <v>702.16580241167969</v>
      </c>
      <c r="E8" s="33">
        <f>$C$28*'E Balans VL '!I13/100/3.6*1000000</f>
        <v>57.392759288012584</v>
      </c>
      <c r="F8" s="33">
        <f>$C$28*('E Balans VL '!L13+'E Balans VL '!N13)/100/3.6*1000000</f>
        <v>691.74961849420288</v>
      </c>
      <c r="G8" s="34"/>
      <c r="H8" s="33"/>
      <c r="I8" s="33"/>
      <c r="J8" s="33">
        <f>$C$28*('E Balans VL '!D13+'E Balans VL '!E13)/100/3.6*1000000</f>
        <v>0</v>
      </c>
      <c r="K8" s="33"/>
      <c r="L8" s="33"/>
      <c r="M8" s="33"/>
      <c r="N8" s="33">
        <f>$C$28*'E Balans VL '!Y13/100/3.6*1000000</f>
        <v>11.930230442392599</v>
      </c>
      <c r="O8" s="33"/>
      <c r="P8" s="33"/>
      <c r="R8" s="32"/>
    </row>
    <row r="9" spans="1:18">
      <c r="A9" s="32" t="s">
        <v>51</v>
      </c>
      <c r="B9" s="37">
        <f t="shared" si="0"/>
        <v>168.05508500480599</v>
      </c>
      <c r="C9" s="33"/>
      <c r="D9" s="37">
        <f>IF(ISERROR(TER_gezond_gas_kWh/1000),0,TER_gezond_gas_kWh/1000)*0.902</f>
        <v>143.8112966425507</v>
      </c>
      <c r="E9" s="33">
        <f>$C$29*'E Balans VL '!I10/100/3.6*1000000</f>
        <v>0.17952638906353893</v>
      </c>
      <c r="F9" s="33">
        <f>$C$29*('E Balans VL '!L10+'E Balans VL '!N10)/100/3.6*1000000</f>
        <v>27.414891749973027</v>
      </c>
      <c r="G9" s="34"/>
      <c r="H9" s="33"/>
      <c r="I9" s="33"/>
      <c r="J9" s="33">
        <f>$C$29*('E Balans VL '!D10+'E Balans VL '!E10)/100/3.6*1000000</f>
        <v>0</v>
      </c>
      <c r="K9" s="33"/>
      <c r="L9" s="33"/>
      <c r="M9" s="33"/>
      <c r="N9" s="33">
        <f>$C$29*'E Balans VL '!Y10/100/3.6*1000000</f>
        <v>1.7300312098060153</v>
      </c>
      <c r="O9" s="33"/>
      <c r="P9" s="33"/>
      <c r="R9" s="32"/>
    </row>
    <row r="10" spans="1:18">
      <c r="A10" s="32" t="s">
        <v>50</v>
      </c>
      <c r="B10" s="37">
        <f t="shared" si="0"/>
        <v>213.13591691423801</v>
      </c>
      <c r="C10" s="33"/>
      <c r="D10" s="37">
        <f>IF(ISERROR(TER_ander_gas_kWh/1000),0,TER_ander_gas_kWh/1000)*0.902</f>
        <v>456.6219616758147</v>
      </c>
      <c r="E10" s="33">
        <f>$C$30*'E Balans VL '!I14/100/3.6*1000000</f>
        <v>0.98017966150893532</v>
      </c>
      <c r="F10" s="33">
        <f>$C$30*('E Balans VL '!L14+'E Balans VL '!N14)/100/3.6*1000000</f>
        <v>63.883557210260392</v>
      </c>
      <c r="G10" s="34"/>
      <c r="H10" s="33"/>
      <c r="I10" s="33"/>
      <c r="J10" s="33">
        <f>$C$30*('E Balans VL '!D14+'E Balans VL '!E14)/100/3.6*1000000</f>
        <v>0</v>
      </c>
      <c r="K10" s="33"/>
      <c r="L10" s="33"/>
      <c r="M10" s="33"/>
      <c r="N10" s="33">
        <f>$C$30*'E Balans VL '!Y14/100/3.6*1000000</f>
        <v>148.35666743801963</v>
      </c>
      <c r="O10" s="33"/>
      <c r="P10" s="33"/>
      <c r="R10" s="32"/>
    </row>
    <row r="11" spans="1:18">
      <c r="A11" s="32" t="s">
        <v>55</v>
      </c>
      <c r="B11" s="37">
        <f t="shared" si="0"/>
        <v>8.7433620717430003</v>
      </c>
      <c r="C11" s="33"/>
      <c r="D11" s="37">
        <f>IF(ISERROR(TER_onderwijs_gas_kWh/1000),0,TER_onderwijs_gas_kWh/1000)*0.902</f>
        <v>0</v>
      </c>
      <c r="E11" s="33">
        <f>$C$31*'E Balans VL '!I11/100/3.6*1000000</f>
        <v>8.1106181504052542E-3</v>
      </c>
      <c r="F11" s="33">
        <f>$C$31*('E Balans VL '!L11+'E Balans VL '!N11)/100/3.6*1000000</f>
        <v>3.0713421440737649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2891.94774290642</v>
      </c>
      <c r="C12" s="33"/>
      <c r="D12" s="37">
        <f>IF(ISERROR(TER_rest_gas_kWh/1000),0,TER_rest_gas_kWh/1000)*0.902</f>
        <v>20656.87063130266</v>
      </c>
      <c r="E12" s="33">
        <f>$C$32*'E Balans VL '!I8/100/3.6*1000000</f>
        <v>35.077888403545046</v>
      </c>
      <c r="F12" s="33">
        <f>$C$32*('E Balans VL '!L8+'E Balans VL '!N8)/100/3.6*1000000</f>
        <v>572.26253309737456</v>
      </c>
      <c r="G12" s="34"/>
      <c r="H12" s="33"/>
      <c r="I12" s="33"/>
      <c r="J12" s="33">
        <f>$C$32*('E Balans VL '!D8+'E Balans VL '!E8)/100/3.6*1000000</f>
        <v>0</v>
      </c>
      <c r="K12" s="33"/>
      <c r="L12" s="33"/>
      <c r="M12" s="33"/>
      <c r="N12" s="33">
        <f>$C$32*'E Balans VL '!Y8/100/3.6*1000000</f>
        <v>229.5635047569441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10163.182586898027</v>
      </c>
      <c r="C16" s="21">
        <f t="shared" ca="1" si="1"/>
        <v>0</v>
      </c>
      <c r="D16" s="21">
        <f t="shared" ca="1" si="1"/>
        <v>23727.802135143284</v>
      </c>
      <c r="E16" s="21">
        <f t="shared" si="1"/>
        <v>160.80706214716767</v>
      </c>
      <c r="F16" s="21">
        <f t="shared" ca="1" si="1"/>
        <v>1944.5885562310004</v>
      </c>
      <c r="G16" s="21">
        <f t="shared" si="1"/>
        <v>0</v>
      </c>
      <c r="H16" s="21">
        <f t="shared" si="1"/>
        <v>0</v>
      </c>
      <c r="I16" s="21">
        <f t="shared" si="1"/>
        <v>0</v>
      </c>
      <c r="J16" s="21">
        <f t="shared" si="1"/>
        <v>0</v>
      </c>
      <c r="K16" s="21">
        <f t="shared" si="1"/>
        <v>0</v>
      </c>
      <c r="L16" s="21">
        <f t="shared" ca="1" si="1"/>
        <v>0</v>
      </c>
      <c r="M16" s="21">
        <f t="shared" si="1"/>
        <v>0</v>
      </c>
      <c r="N16" s="21">
        <f t="shared" ca="1" si="1"/>
        <v>392.88518511087818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0.21154972324935117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2150.0184635909027</v>
      </c>
      <c r="C20" s="23">
        <f t="shared" ref="C20:P20" ca="1" si="2">C16*C18</f>
        <v>0</v>
      </c>
      <c r="D20" s="23">
        <f t="shared" ca="1" si="2"/>
        <v>4793.0160312989437</v>
      </c>
      <c r="E20" s="23">
        <f t="shared" si="2"/>
        <v>36.50320310740706</v>
      </c>
      <c r="F20" s="23">
        <f t="shared" ca="1" si="2"/>
        <v>519.20514451367717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1833.44507094755</v>
      </c>
      <c r="C26" s="39">
        <f>IF(ISERROR(B26*3.6/1000000/'E Balans VL '!Z12*100),0,B26*3.6/1000000/'E Balans VL '!Z12*100)</f>
        <v>3.8943281477553542E-2</v>
      </c>
      <c r="D26" s="239" t="s">
        <v>692</v>
      </c>
      <c r="F26" s="6"/>
    </row>
    <row r="27" spans="1:18">
      <c r="A27" s="233" t="s">
        <v>53</v>
      </c>
      <c r="B27" s="33">
        <f>IF(ISERROR(TER_horeca_ele_kWh/1000),0,TER_horeca_ele_kWh/1000)</f>
        <v>1065.95047994634</v>
      </c>
      <c r="C27" s="39">
        <f>IF(ISERROR(B27*3.6/1000000/'E Balans VL '!Z9*100),0,B27*3.6/1000000/'E Balans VL '!Z9*100)</f>
        <v>8.2884141537710232E-2</v>
      </c>
      <c r="D27" s="239" t="s">
        <v>692</v>
      </c>
      <c r="F27" s="6"/>
    </row>
    <row r="28" spans="1:18">
      <c r="A28" s="173" t="s">
        <v>52</v>
      </c>
      <c r="B28" s="33">
        <f>IF(ISERROR(TER_handel_ele_kWh/1000),0,TER_handel_ele_kWh/1000)</f>
        <v>3981.90492910693</v>
      </c>
      <c r="C28" s="39">
        <f>IF(ISERROR(B28*3.6/1000000/'E Balans VL '!Z13*100),0,B28*3.6/1000000/'E Balans VL '!Z13*100)</f>
        <v>0.1139269862550631</v>
      </c>
      <c r="D28" s="239" t="s">
        <v>692</v>
      </c>
      <c r="F28" s="6"/>
    </row>
    <row r="29" spans="1:18">
      <c r="A29" s="233" t="s">
        <v>51</v>
      </c>
      <c r="B29" s="33">
        <f>IF(ISERROR(TER_gezond_ele_kWh/1000),0,TER_gezond_ele_kWh/1000)</f>
        <v>168.05508500480599</v>
      </c>
      <c r="C29" s="39">
        <f>IF(ISERROR(B29*3.6/1000000/'E Balans VL '!Z10*100),0,B29*3.6/1000000/'E Balans VL '!Z10*100)</f>
        <v>1.8321909397349775E-2</v>
      </c>
      <c r="D29" s="239" t="s">
        <v>692</v>
      </c>
      <c r="F29" s="6"/>
    </row>
    <row r="30" spans="1:18">
      <c r="A30" s="233" t="s">
        <v>50</v>
      </c>
      <c r="B30" s="33">
        <f>IF(ISERROR(TER_ander_ele_kWh/1000),0,TER_ander_ele_kWh/1000)</f>
        <v>213.13591691423801</v>
      </c>
      <c r="C30" s="39">
        <f>IF(ISERROR(B30*3.6/1000000/'E Balans VL '!Z14*100),0,B30*3.6/1000000/'E Balans VL '!Z14*100)</f>
        <v>1.55968029124177E-2</v>
      </c>
      <c r="D30" s="239" t="s">
        <v>692</v>
      </c>
      <c r="F30" s="6"/>
    </row>
    <row r="31" spans="1:18">
      <c r="A31" s="233" t="s">
        <v>55</v>
      </c>
      <c r="B31" s="33">
        <f>IF(ISERROR(TER_onderwijs_ele_kWh/1000),0,TER_onderwijs_ele_kWh/1000)</f>
        <v>8.7433620717430003</v>
      </c>
      <c r="C31" s="39">
        <f>IF(ISERROR(B31*3.6/1000000/'E Balans VL '!Z11*100),0,B31*3.6/1000000/'E Balans VL '!Z11*100)</f>
        <v>1.7561107647512222E-3</v>
      </c>
      <c r="D31" s="239" t="s">
        <v>692</v>
      </c>
    </row>
    <row r="32" spans="1:18">
      <c r="A32" s="233" t="s">
        <v>260</v>
      </c>
      <c r="B32" s="33">
        <f>IF(ISERROR(TER_rest_ele_kWh/1000),0,TER_rest_ele_kWh/1000)</f>
        <v>2891.94774290642</v>
      </c>
      <c r="C32" s="39">
        <f>IF(ISERROR(B32*3.6/1000000/'E Balans VL '!Z8*100),0,B32*3.6/1000000/'E Balans VL '!Z8*100)</f>
        <v>2.356761907077401E-2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128885.57189491198</v>
      </c>
      <c r="C5" s="17">
        <f>IF(ISERROR('Eigen informatie GS &amp; warmtenet'!B59),0,'Eigen informatie GS &amp; warmtenet'!B59)</f>
        <v>0</v>
      </c>
      <c r="D5" s="30">
        <f>SUM(D6:D15)</f>
        <v>125159.81342581256</v>
      </c>
      <c r="E5" s="17">
        <f>SUM(E6:E15)</f>
        <v>2085.350886726289</v>
      </c>
      <c r="F5" s="17">
        <f>SUM(F6:F15)</f>
        <v>25028.82724091718</v>
      </c>
      <c r="G5" s="18"/>
      <c r="H5" s="17"/>
      <c r="I5" s="17"/>
      <c r="J5" s="17">
        <f>SUM(J6:J15)</f>
        <v>31.688067440467133</v>
      </c>
      <c r="K5" s="17"/>
      <c r="L5" s="17"/>
      <c r="M5" s="17"/>
      <c r="N5" s="17">
        <f>SUM(N6:N15)</f>
        <v>9192.7419488576161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985.2771380317929</v>
      </c>
      <c r="C8" s="33"/>
      <c r="D8" s="37">
        <f>IF( ISERROR(IND_metaal_Gas_kWH/1000),0,IND_metaal_Gas_kWH/1000)*0.902</f>
        <v>0</v>
      </c>
      <c r="E8" s="33">
        <f>C30*'E Balans VL '!I18/100/3.6*1000000</f>
        <v>28.300857680950013</v>
      </c>
      <c r="F8" s="33">
        <f>C30*'E Balans VL '!L18/100/3.6*1000000+C30*'E Balans VL '!N18/100/3.6*1000000</f>
        <v>252.70463630251882</v>
      </c>
      <c r="G8" s="34"/>
      <c r="H8" s="33"/>
      <c r="I8" s="33"/>
      <c r="J8" s="40">
        <f>C30*'E Balans VL '!D18/100/3.6*1000000+C30*'E Balans VL '!E18/100/3.6*1000000</f>
        <v>0</v>
      </c>
      <c r="K8" s="33"/>
      <c r="L8" s="33"/>
      <c r="M8" s="33"/>
      <c r="N8" s="33">
        <f>C30*'E Balans VL '!Y18/100/3.6*1000000</f>
        <v>26.752285533149173</v>
      </c>
      <c r="O8" s="33"/>
      <c r="P8" s="33"/>
      <c r="R8" s="32"/>
    </row>
    <row r="9" spans="1:18">
      <c r="A9" s="6" t="s">
        <v>33</v>
      </c>
      <c r="B9" s="37">
        <f t="shared" si="0"/>
        <v>1497.2835366059501</v>
      </c>
      <c r="C9" s="33"/>
      <c r="D9" s="37">
        <f>IF( ISERROR(IND_andere_gas_kWh/1000),0,IND_andere_gas_kWh/1000)*0.902</f>
        <v>154.29759488803572</v>
      </c>
      <c r="E9" s="33">
        <f>C31*'E Balans VL '!I19/100/3.6*1000000</f>
        <v>405.27783958835732</v>
      </c>
      <c r="F9" s="33">
        <f>C31*'E Balans VL '!L19/100/3.6*1000000+C31*'E Balans VL '!N19/100/3.6*1000000</f>
        <v>997.34928107549683</v>
      </c>
      <c r="G9" s="34"/>
      <c r="H9" s="33"/>
      <c r="I9" s="33"/>
      <c r="J9" s="40">
        <f>C31*'E Balans VL '!D19/100/3.6*1000000+C31*'E Balans VL '!E19/100/3.6*1000000</f>
        <v>0</v>
      </c>
      <c r="K9" s="33"/>
      <c r="L9" s="33"/>
      <c r="M9" s="33"/>
      <c r="N9" s="33">
        <f>C31*'E Balans VL '!Y19/100/3.6*1000000</f>
        <v>488.83820269298201</v>
      </c>
      <c r="O9" s="33"/>
      <c r="P9" s="33"/>
      <c r="R9" s="32"/>
    </row>
    <row r="10" spans="1:18">
      <c r="A10" s="6" t="s">
        <v>41</v>
      </c>
      <c r="B10" s="37">
        <f t="shared" si="0"/>
        <v>11442.9015815331</v>
      </c>
      <c r="C10" s="33"/>
      <c r="D10" s="37">
        <f>IF( ISERROR(IND_voed_gas_kWh/1000),0,IND_voed_gas_kWh/1000)*0.902</f>
        <v>42.519747547413978</v>
      </c>
      <c r="E10" s="33">
        <f>C32*'E Balans VL '!I20/100/3.6*1000000</f>
        <v>933.30934237213773</v>
      </c>
      <c r="F10" s="33">
        <f>C32*'E Balans VL '!L20/100/3.6*1000000+C32*'E Balans VL '!N20/100/3.6*1000000</f>
        <v>17062.404449064961</v>
      </c>
      <c r="G10" s="34"/>
      <c r="H10" s="33"/>
      <c r="I10" s="33"/>
      <c r="J10" s="40">
        <f>C32*'E Balans VL '!D20/100/3.6*1000000+C32*'E Balans VL '!E20/100/3.6*1000000</f>
        <v>0.15137569810449067</v>
      </c>
      <c r="K10" s="33"/>
      <c r="L10" s="33"/>
      <c r="M10" s="33"/>
      <c r="N10" s="33">
        <f>C32*'E Balans VL '!Y20/100/3.6*1000000</f>
        <v>3361.5207081959634</v>
      </c>
      <c r="O10" s="33"/>
      <c r="P10" s="33"/>
      <c r="R10" s="32"/>
    </row>
    <row r="11" spans="1:18">
      <c r="A11" s="6" t="s">
        <v>40</v>
      </c>
      <c r="B11" s="37">
        <f t="shared" si="0"/>
        <v>101519.45879196399</v>
      </c>
      <c r="C11" s="33"/>
      <c r="D11" s="37">
        <f>IF( ISERROR(IND_textiel_gas_kWh/1000),0,IND_textiel_gas_kWh/1000)*0.902</f>
        <v>0</v>
      </c>
      <c r="E11" s="33">
        <f>C33*'E Balans VL '!I21/100/3.6*1000000</f>
        <v>20.123233791227801</v>
      </c>
      <c r="F11" s="33">
        <f>C33*'E Balans VL '!L21/100/3.6*1000000+C33*'E Balans VL '!N21/100/3.6*1000000</f>
        <v>3739.0841509260727</v>
      </c>
      <c r="G11" s="34"/>
      <c r="H11" s="33"/>
      <c r="I11" s="33"/>
      <c r="J11" s="40">
        <f>C33*'E Balans VL '!D21/100/3.6*1000000+C33*'E Balans VL '!E21/100/3.6*1000000</f>
        <v>0</v>
      </c>
      <c r="K11" s="33"/>
      <c r="L11" s="33"/>
      <c r="M11" s="33"/>
      <c r="N11" s="33">
        <f>C33*'E Balans VL '!Y21/100/3.6*1000000</f>
        <v>472.03985562298294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1136.3519894170499</v>
      </c>
      <c r="C13" s="33"/>
      <c r="D13" s="37">
        <f>IF( ISERROR(IND_papier_gas_kWh/1000),0,IND_papier_gas_kWh/1000)*0.902</f>
        <v>0</v>
      </c>
      <c r="E13" s="33">
        <f>C35*'E Balans VL '!I23/100/3.6*1000000</f>
        <v>11.90535726982294</v>
      </c>
      <c r="F13" s="33">
        <f>C35*'E Balans VL '!L23/100/3.6*1000000+C35*'E Balans VL '!N23/100/3.6*1000000</f>
        <v>84.794786864182498</v>
      </c>
      <c r="G13" s="34"/>
      <c r="H13" s="33"/>
      <c r="I13" s="33"/>
      <c r="J13" s="40">
        <f>C35*'E Balans VL '!D23/100/3.6*1000000+C35*'E Balans VL '!E23/100/3.6*1000000</f>
        <v>0</v>
      </c>
      <c r="K13" s="33"/>
      <c r="L13" s="33"/>
      <c r="M13" s="33"/>
      <c r="N13" s="33">
        <f>C35*'E Balans VL '!Y23/100/3.6*1000000</f>
        <v>2428.8337685620936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12304.2988573601</v>
      </c>
      <c r="C15" s="33"/>
      <c r="D15" s="37">
        <f>IF( ISERROR(IND_rest_gas_kWh/1000),0,IND_rest_gas_kWh/1000)*0.902</f>
        <v>124962.99608337712</v>
      </c>
      <c r="E15" s="33">
        <f>C37*'E Balans VL '!I15/100/3.6*1000000</f>
        <v>686.43425602379284</v>
      </c>
      <c r="F15" s="33">
        <f>C37*'E Balans VL '!L15/100/3.6*1000000+C37*'E Balans VL '!N15/100/3.6*1000000</f>
        <v>2892.4899366839495</v>
      </c>
      <c r="G15" s="34"/>
      <c r="H15" s="33"/>
      <c r="I15" s="33"/>
      <c r="J15" s="40">
        <f>C37*'E Balans VL '!D15/100/3.6*1000000+C37*'E Balans VL '!E15/100/3.6*1000000</f>
        <v>31.536691742362642</v>
      </c>
      <c r="K15" s="33"/>
      <c r="L15" s="33"/>
      <c r="M15" s="33"/>
      <c r="N15" s="33">
        <f>C37*'E Balans VL '!Y15/100/3.6*1000000</f>
        <v>2414.757128250445</v>
      </c>
      <c r="O15" s="33"/>
      <c r="P15" s="33"/>
      <c r="R15" s="32"/>
    </row>
    <row r="16" spans="1:18">
      <c r="A16" s="16" t="s">
        <v>497</v>
      </c>
      <c r="B16" s="249">
        <f>'lokale energieproductie'!N89+'lokale energieproductie'!N58</f>
        <v>1143</v>
      </c>
      <c r="C16" s="249">
        <f>'lokale energieproductie'!O89+'lokale energieproductie'!O58</f>
        <v>1632.8571428571429</v>
      </c>
      <c r="D16" s="312">
        <f>('lokale energieproductie'!P58+'lokale energieproductie'!P89)*(-1)</f>
        <v>-3265.7142857142858</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130028.57189491198</v>
      </c>
      <c r="C18" s="21">
        <f>C5+C16</f>
        <v>1632.8571428571429</v>
      </c>
      <c r="D18" s="21">
        <f>MAX((D5+D16),0)</f>
        <v>121894.09914009827</v>
      </c>
      <c r="E18" s="21">
        <f>MAX((E5+E16),0)</f>
        <v>2085.350886726289</v>
      </c>
      <c r="F18" s="21">
        <f>MAX((F5+F16),0)</f>
        <v>25028.82724091718</v>
      </c>
      <c r="G18" s="21"/>
      <c r="H18" s="21"/>
      <c r="I18" s="21"/>
      <c r="J18" s="21">
        <f>MAX((J5+J16),0)</f>
        <v>31.688067440467133</v>
      </c>
      <c r="K18" s="21"/>
      <c r="L18" s="21">
        <f>MAX((L5+L16),0)</f>
        <v>0</v>
      </c>
      <c r="M18" s="21"/>
      <c r="N18" s="21">
        <f>MAX((N5+N16),0)</f>
        <v>9192.7419488576161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0.21154972324935117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27507.508398876991</v>
      </c>
      <c r="C22" s="23">
        <f ca="1">C18*C20</f>
        <v>388.04369747899159</v>
      </c>
      <c r="D22" s="23">
        <f>D18*D20</f>
        <v>24622.608026299855</v>
      </c>
      <c r="E22" s="23">
        <f>E18*E20</f>
        <v>473.37465128686762</v>
      </c>
      <c r="F22" s="23">
        <f>F18*F20</f>
        <v>6682.6968733248877</v>
      </c>
      <c r="G22" s="23"/>
      <c r="H22" s="23"/>
      <c r="I22" s="23"/>
      <c r="J22" s="23">
        <f>J18*J20</f>
        <v>11.217575873925364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985.2771380317929</v>
      </c>
      <c r="C30" s="39">
        <f>IF(ISERROR(B30*3.6/1000000/'E Balans VL '!Z18*100),0,B30*3.6/1000000/'E Balans VL '!Z18*100)</f>
        <v>9.6948755237720952E-2</v>
      </c>
      <c r="D30" s="239" t="s">
        <v>692</v>
      </c>
    </row>
    <row r="31" spans="1:18">
      <c r="A31" s="6" t="s">
        <v>33</v>
      </c>
      <c r="B31" s="37">
        <f>IF( ISERROR(IND_ander_ele_kWh/1000),0,IND_ander_ele_kWh/1000)</f>
        <v>1497.2835366059501</v>
      </c>
      <c r="C31" s="39">
        <f>IF(ISERROR(B31*3.6/1000000/'E Balans VL '!Z19*100),0,B31*3.6/1000000/'E Balans VL '!Z19*100)</f>
        <v>6.5205503647877305E-2</v>
      </c>
      <c r="D31" s="239" t="s">
        <v>692</v>
      </c>
    </row>
    <row r="32" spans="1:18">
      <c r="A32" s="173" t="s">
        <v>41</v>
      </c>
      <c r="B32" s="37">
        <f>IF( ISERROR(IND_voed_ele_kWh/1000),0,IND_voed_ele_kWh/1000)</f>
        <v>11442.9015815331</v>
      </c>
      <c r="C32" s="39">
        <f>IF(ISERROR(B32*3.6/1000000/'E Balans VL '!Z20*100),0,B32*3.6/1000000/'E Balans VL '!Z20*100)</f>
        <v>2.1711255505025693</v>
      </c>
      <c r="D32" s="239" t="s">
        <v>692</v>
      </c>
    </row>
    <row r="33" spans="1:5">
      <c r="A33" s="173" t="s">
        <v>40</v>
      </c>
      <c r="B33" s="37">
        <f>IF( ISERROR(IND_textiel_ele_kWh/1000),0,IND_textiel_ele_kWh/1000)</f>
        <v>101519.45879196399</v>
      </c>
      <c r="C33" s="39">
        <f>IF(ISERROR(B33*3.6/1000000/'E Balans VL '!Z21*100),0,B33*3.6/1000000/'E Balans VL '!Z21*100)</f>
        <v>5.7962462659210683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1136.3519894170499</v>
      </c>
      <c r="C35" s="39">
        <f>IF(ISERROR(B35*3.6/1000000/'E Balans VL '!Z22*100),0,B35*3.6/1000000/'E Balans VL '!Z22*100)</f>
        <v>0.15978250060304169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12304.2988573601</v>
      </c>
      <c r="C37" s="39">
        <f>IF(ISERROR(B37*3.6/1000000/'E Balans VL '!Z15*100),0,B37*3.6/1000000/'E Balans VL '!Z15*100)</f>
        <v>9.4819735490134699E-2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2580.4204615081662</v>
      </c>
      <c r="C5" s="17">
        <f>'Eigen informatie GS &amp; warmtenet'!B60</f>
        <v>0</v>
      </c>
      <c r="D5" s="30">
        <f>IF(ISERROR(SUM(LB_lb_gas_kWh,LB_rest_gas_kWh,onbekend_gas_kWh)/1000),0,SUM(LB_lb_gas_kWh,LB_rest_gas_kWh,onbekend_gas_kWh)/1000)*0.902</f>
        <v>1335.687217681017</v>
      </c>
      <c r="E5" s="17">
        <f>B17*'E Balans VL '!I25/3.6*1000000/100</f>
        <v>32.516622072447255</v>
      </c>
      <c r="F5" s="17">
        <f>B17*('E Balans VL '!L25/3.6*1000000+'E Balans VL '!N25/3.6*1000000)/100</f>
        <v>8903.0970261547936</v>
      </c>
      <c r="G5" s="18"/>
      <c r="H5" s="17"/>
      <c r="I5" s="17"/>
      <c r="J5" s="17">
        <f>('E Balans VL '!D25+'E Balans VL '!E25)/3.6*1000000*landbouw!B17/100</f>
        <v>388.06590422628619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2580.4204615081662</v>
      </c>
      <c r="C8" s="21">
        <f>C5+C6</f>
        <v>0</v>
      </c>
      <c r="D8" s="21">
        <f>MAX((D5+D6),0)</f>
        <v>1335.687217681017</v>
      </c>
      <c r="E8" s="21">
        <f>MAX((E5+E6),0)</f>
        <v>32.516622072447255</v>
      </c>
      <c r="F8" s="21">
        <f>MAX((F5+F6),0)</f>
        <v>8903.0970261547936</v>
      </c>
      <c r="G8" s="21"/>
      <c r="H8" s="21"/>
      <c r="I8" s="21"/>
      <c r="J8" s="21">
        <f>MAX((J5+J6),0)</f>
        <v>388.06590422628619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0.21154972324935117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545.88723449901556</v>
      </c>
      <c r="C12" s="23">
        <f ca="1">C8*C10</f>
        <v>0</v>
      </c>
      <c r="D12" s="23">
        <f>D8*D10</f>
        <v>269.80881797156547</v>
      </c>
      <c r="E12" s="23">
        <f>E8*E10</f>
        <v>7.381273210445527</v>
      </c>
      <c r="F12" s="23">
        <f>F8*F10</f>
        <v>2377.1269059833298</v>
      </c>
      <c r="G12" s="23"/>
      <c r="H12" s="23"/>
      <c r="I12" s="23"/>
      <c r="J12" s="23">
        <f>J8*J10</f>
        <v>137.3753300961053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0.35988732424835568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393.00589563832563</v>
      </c>
      <c r="C26" s="249">
        <f>B26*'GWP N2O_CH4'!B5</f>
        <v>8253.1238084048382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140.68904547922384</v>
      </c>
      <c r="C27" s="249">
        <f>B27*'GWP N2O_CH4'!B5</f>
        <v>2954.4699550637006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5.6930709458328739</v>
      </c>
      <c r="C28" s="249">
        <f>B28*'GWP N2O_CH4'!B4</f>
        <v>1764.8519932081908</v>
      </c>
      <c r="D28" s="50"/>
    </row>
    <row r="29" spans="1:4">
      <c r="A29" s="41" t="s">
        <v>277</v>
      </c>
      <c r="B29" s="249">
        <f>B34*'ha_N2O bodem landbouw'!B4</f>
        <v>18.245139788843208</v>
      </c>
      <c r="C29" s="249">
        <f>B29*'GWP N2O_CH4'!B4</f>
        <v>5655.9933345413947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4.5556290947490535E-3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4.4747345023826143E-5</v>
      </c>
      <c r="C5" s="448" t="s">
        <v>211</v>
      </c>
      <c r="D5" s="433">
        <f>SUM(D6:D11)</f>
        <v>6.846854002753927E-5</v>
      </c>
      <c r="E5" s="433">
        <f>SUM(E6:E11)</f>
        <v>2.4967294521695753E-3</v>
      </c>
      <c r="F5" s="446" t="s">
        <v>211</v>
      </c>
      <c r="G5" s="433">
        <f>SUM(G6:G11)</f>
        <v>0.84301155878980416</v>
      </c>
      <c r="H5" s="433">
        <f>SUM(H6:H11)</f>
        <v>0.10632567234171586</v>
      </c>
      <c r="I5" s="448" t="s">
        <v>211</v>
      </c>
      <c r="J5" s="448" t="s">
        <v>211</v>
      </c>
      <c r="K5" s="448" t="s">
        <v>211</v>
      </c>
      <c r="L5" s="448" t="s">
        <v>211</v>
      </c>
      <c r="M5" s="433">
        <f>SUM(M6:M11)</f>
        <v>4.2891877430037015E-2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1.0433851979684318E-5</v>
      </c>
      <c r="C6" s="949"/>
      <c r="D6" s="949">
        <f>vkm_2011_GW_PW*SUMIFS(TableVerdeelsleutelVkm[CNG],TableVerdeelsleutelVkm[Voertuigtype],"Lichte voertuigen")*SUMIFS(TableECFTransport[EnergieConsumptieFactor (PJ per km)],TableECFTransport[Index],CONCATENATE($A6,"_CNG_CNG"))</f>
        <v>1.477637506241422E-5</v>
      </c>
      <c r="E6" s="949">
        <f>vkm_2011_GW_PW*SUMIFS(TableVerdeelsleutelVkm[LPG],TableVerdeelsleutelVkm[Voertuigtype],"Lichte voertuigen")*SUMIFS(TableECFTransport[EnergieConsumptieFactor (PJ per km)],TableECFTransport[Index],CONCATENATE($A6,"_LPG_LPG"))</f>
        <v>4.6407729559948426E-4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8.3407397401944069E-2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2.234968328002471E-2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4.7847882529708126E-3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4.2329771792289611E-2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1.5039329095109902E-5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1.9102086364983977E-3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2.8274022833067819E-6</v>
      </c>
      <c r="C8" s="949"/>
      <c r="D8" s="436">
        <f>vkm_2011_NGW_PW*SUMIFS(TableVerdeelsleutelVkm[CNG],TableVerdeelsleutelVkm[Voertuigtype],"Lichte voertuigen")*SUMIFS(TableECFTransport[EnergieConsumptieFactor (PJ per km)],TableECFTransport[Index],CONCATENATE($A8,"_CNG_CNG"))</f>
        <v>7.1334697277076549E-6</v>
      </c>
      <c r="E8" s="436">
        <f>vkm_2011_NGW_PW*SUMIFS(TableVerdeelsleutelVkm[LPG],TableVerdeelsleutelVkm[Voertuigtype],"Lichte voertuigen")*SUMIFS(TableECFTransport[EnergieConsumptieFactor (PJ per km)],TableECFTransport[Index],CONCATENATE($A8,"_LPG_LPG"))</f>
        <v>2.0635523969097475E-4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3.4979214153677246E-2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1.0410877381262715E-2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2.0541064310398071E-3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4.2775569257096635E-3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1.4381461905817938E-6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1.9302887313180715E-4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3.1486090760835042E-5</v>
      </c>
      <c r="C10" s="949"/>
      <c r="D10" s="436">
        <f>vkm_2011_SW_PW*SUMIFS(TableVerdeelsleutelVkm[CNG],TableVerdeelsleutelVkm[Voertuigtype],"Lichte voertuigen")*SUMIFS(TableECFTransport[EnergieConsumptieFactor (PJ per km)],TableECFTransport[Index],CONCATENATE($A10,"_CNG_CNG"))</f>
        <v>4.6558695237417391E-5</v>
      </c>
      <c r="E10" s="436">
        <f>vkm_2011_SW_PW*SUMIFS(TableVerdeelsleutelVkm[LPG],TableVerdeelsleutelVkm[Voertuigtype],"Lichte voertuigen")*SUMIFS(TableECFTransport[EnergieConsumptieFactor (PJ per km)],TableECFTransport[Index],CONCATENATE($A10,"_LPG_LPG"))</f>
        <v>1.8262969168791163E-3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0.2972674482290224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7.340275208438253E-2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1.6767209965744385E-2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0.38075017028716118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1.4588212076022542E-4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1.7182535270651805E-2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12.429818062173929</v>
      </c>
      <c r="C14" s="21"/>
      <c r="D14" s="21">
        <f t="shared" ref="D14:M14" si="0">((D5)*10^9/3600)+D12</f>
        <v>19.019038896538689</v>
      </c>
      <c r="E14" s="21">
        <f t="shared" si="0"/>
        <v>693.53595893599311</v>
      </c>
      <c r="F14" s="21"/>
      <c r="G14" s="21">
        <f t="shared" si="0"/>
        <v>234169.87744161228</v>
      </c>
      <c r="H14" s="21">
        <f t="shared" si="0"/>
        <v>29534.908983809961</v>
      </c>
      <c r="I14" s="21"/>
      <c r="J14" s="21"/>
      <c r="K14" s="21"/>
      <c r="L14" s="21"/>
      <c r="M14" s="21">
        <f t="shared" si="0"/>
        <v>11914.410397232505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0.21154972324935117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2.6295245710926811</v>
      </c>
      <c r="C18" s="23"/>
      <c r="D18" s="23">
        <f t="shared" ref="D18:M18" si="1">D14*D16</f>
        <v>3.8418458571008154</v>
      </c>
      <c r="E18" s="23">
        <f t="shared" si="1"/>
        <v>157.43266267847045</v>
      </c>
      <c r="F18" s="23"/>
      <c r="G18" s="23">
        <f t="shared" si="1"/>
        <v>62523.357276910479</v>
      </c>
      <c r="H18" s="23">
        <f t="shared" si="1"/>
        <v>7354.1923369686801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1.7036436925706299E-3</v>
      </c>
      <c r="H50" s="323">
        <f t="shared" si="2"/>
        <v>0</v>
      </c>
      <c r="I50" s="323">
        <f t="shared" si="2"/>
        <v>0</v>
      </c>
      <c r="J50" s="323">
        <f t="shared" si="2"/>
        <v>0</v>
      </c>
      <c r="K50" s="323">
        <f t="shared" si="2"/>
        <v>0</v>
      </c>
      <c r="L50" s="323">
        <f t="shared" si="2"/>
        <v>0</v>
      </c>
      <c r="M50" s="323">
        <f t="shared" si="2"/>
        <v>7.5765201978626495E-5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1.7036436925706299E-3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7.5765201978626495E-5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473.23435904739722</v>
      </c>
      <c r="H54" s="21">
        <f t="shared" si="3"/>
        <v>0</v>
      </c>
      <c r="I54" s="21">
        <f t="shared" si="3"/>
        <v>0</v>
      </c>
      <c r="J54" s="21">
        <f t="shared" si="3"/>
        <v>0</v>
      </c>
      <c r="K54" s="21">
        <f t="shared" si="3"/>
        <v>0</v>
      </c>
      <c r="L54" s="21">
        <f t="shared" si="3"/>
        <v>0</v>
      </c>
      <c r="M54" s="21">
        <f t="shared" si="3"/>
        <v>21.045889438507363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0.21154972324935117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126.35357386565506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6951.1257970274464</v>
      </c>
      <c r="C6" s="1251"/>
      <c r="D6" s="1236"/>
      <c r="E6" s="1236"/>
      <c r="F6" s="1254"/>
      <c r="G6" s="1257"/>
      <c r="H6" s="1248"/>
      <c r="I6" s="1236"/>
      <c r="J6" s="1236"/>
      <c r="K6" s="1236"/>
      <c r="L6" s="1240"/>
      <c r="M6" s="561"/>
      <c r="N6" s="1214"/>
      <c r="O6" s="1215"/>
      <c r="Q6" s="559"/>
      <c r="R6" s="1202"/>
      <c r="S6" s="1202"/>
    </row>
    <row r="7" spans="1:19" s="549" customFormat="1">
      <c r="A7" s="562" t="s">
        <v>252</v>
      </c>
      <c r="B7" s="563">
        <f>N57</f>
        <v>1143</v>
      </c>
      <c r="C7" s="564">
        <f>B100</f>
        <v>1344.7058823529412</v>
      </c>
      <c r="D7" s="565"/>
      <c r="E7" s="565">
        <f>E100</f>
        <v>0</v>
      </c>
      <c r="F7" s="566"/>
      <c r="G7" s="567"/>
      <c r="H7" s="565">
        <f>I100</f>
        <v>0</v>
      </c>
      <c r="I7" s="565">
        <f>G100+F100</f>
        <v>0</v>
      </c>
      <c r="J7" s="565">
        <f>H100+D100+C100</f>
        <v>0</v>
      </c>
      <c r="K7" s="565"/>
      <c r="L7" s="568"/>
      <c r="M7" s="569">
        <f>C7*$C$11+D7*$D$11+E7*$E$11+F7*$F$11+G7*$G$11+H7*$H$11+I7*$I$11+J7*$J$11</f>
        <v>271.63058823529417</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8094.1257970274464</v>
      </c>
      <c r="C9" s="580">
        <f t="shared" ref="C9:L9" si="0">SUM(C7:C8)</f>
        <v>1344.7058823529412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271.63058823529417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1632.8571428571429</v>
      </c>
      <c r="C16" s="596">
        <f>B101</f>
        <v>1921.0084033613443</v>
      </c>
      <c r="D16" s="597"/>
      <c r="E16" s="597">
        <f>E101</f>
        <v>0</v>
      </c>
      <c r="F16" s="598"/>
      <c r="G16" s="599"/>
      <c r="H16" s="596">
        <f>I101</f>
        <v>0</v>
      </c>
      <c r="I16" s="597">
        <f>G101+F101</f>
        <v>0</v>
      </c>
      <c r="J16" s="597">
        <f>H101+D101+C101</f>
        <v>0</v>
      </c>
      <c r="K16" s="597"/>
      <c r="L16" s="600"/>
      <c r="M16" s="601">
        <f>C16*$C$21+E16*$E$21+H16*$H$21+I16*$I$21+J16*$J$21+D16*$D$21+F16*$F$21+G16*$G$21+K16*$K$21+L16*$L$21</f>
        <v>388.04369747899159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1632.8571428571429</v>
      </c>
      <c r="C19" s="579">
        <f>SUM(C16:C18)</f>
        <v>1921.0084033613443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388.04369747899159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45017</v>
      </c>
      <c r="C27" s="839">
        <v>9770</v>
      </c>
      <c r="D27" s="658" t="s">
        <v>878</v>
      </c>
      <c r="E27" s="657" t="s">
        <v>879</v>
      </c>
      <c r="F27" s="657" t="s">
        <v>880</v>
      </c>
      <c r="G27" s="657" t="s">
        <v>881</v>
      </c>
      <c r="H27" s="657" t="s">
        <v>882</v>
      </c>
      <c r="I27" s="657" t="s">
        <v>883</v>
      </c>
      <c r="J27" s="838">
        <v>40577</v>
      </c>
      <c r="K27" s="838">
        <v>40582</v>
      </c>
      <c r="L27" s="657" t="s">
        <v>884</v>
      </c>
      <c r="M27" s="657">
        <v>254</v>
      </c>
      <c r="N27" s="657">
        <v>1143</v>
      </c>
      <c r="O27" s="657">
        <v>1632.8571428571429</v>
      </c>
      <c r="P27" s="657">
        <v>3265.7142857142858</v>
      </c>
      <c r="Q27" s="657">
        <v>0</v>
      </c>
      <c r="R27" s="657">
        <v>0</v>
      </c>
      <c r="S27" s="657">
        <v>0</v>
      </c>
      <c r="T27" s="657">
        <v>0</v>
      </c>
      <c r="U27" s="657">
        <v>0</v>
      </c>
      <c r="V27" s="657">
        <v>0</v>
      </c>
      <c r="W27" s="657">
        <v>0</v>
      </c>
      <c r="X27" s="657">
        <v>600</v>
      </c>
      <c r="Y27" s="657" t="s">
        <v>40</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254</v>
      </c>
      <c r="N57" s="615">
        <f>SUM(N27:N56)</f>
        <v>1143</v>
      </c>
      <c r="O57" s="615">
        <f t="shared" ref="O57:W57" si="2">SUM(O27:O56)</f>
        <v>1632.8571428571429</v>
      </c>
      <c r="P57" s="615">
        <f t="shared" si="2"/>
        <v>3265.7142857142858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254</v>
      </c>
      <c r="N58" s="615">
        <f t="shared" ref="N58:W58" si="3">SUMIF($Z$27:$Z$56,"industrie",N27:N56)</f>
        <v>1143</v>
      </c>
      <c r="O58" s="615">
        <f t="shared" si="3"/>
        <v>1632.8571428571429</v>
      </c>
      <c r="P58" s="615">
        <f t="shared" si="3"/>
        <v>3265.7142857142858</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1344.7058823529412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1921.0084033613443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2019-01-02T18:05:13Z</dcterms:modified>
</cp:coreProperties>
</file>