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<sst xmlns="http://schemas.openxmlformats.org/spreadsheetml/2006/main" count="2187" uniqueCount="895">
  <si>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</si>
  <si>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</si>
  <si>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</si>
  <si>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</si>
  <si>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</si>
  <si>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</si>
  <si>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</si>
  <si>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</si>
  <si>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</si>
  <si>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</si>
  <si>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</si>
  <si>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</si>
  <si>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</si>
  <si>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</si>
  <si>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</si>
  <si>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</si>
  <si>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</si>
  <si>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</si>
  <si>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</si>
  <si>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</si>
  <si>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</si>
  <si>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</si>
  <si>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</si>
  <si>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</si>
  <si>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</si>
  <si>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</si>
  <si>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</si>
  <si>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</si>
  <si>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</si>
  <si>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</si>
  <si>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</si>
  <si>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</si>
  <si>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</si>
  <si>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</si>
  <si>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</si>
  <si>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</si>
  <si>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</si>
  <si>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</si>
  <si>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</si>
  <si>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</si>
  <si>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</si>
  <si>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</si>
  <si>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</si>
  <si>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</si>
  <si>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</si>
  <si>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</si>
  <si>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</si>
  <si>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</si>
  <si>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</si>
  <si>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</si>
  <si>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</si>
  <si>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</si>
  <si>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</si>
  <si>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</si>
  <si>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</si>
  <si>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</si>
  <si>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</si>
  <si>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</si>
  <si>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</si>
  <si>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</si>
  <si>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</si>
  <si>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</si>
  <si>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</si>
  <si>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</si>
  <si>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</si>
  <si>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</si>
  <si>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</si>
  <si>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</si>
  <si>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</si>
  <si>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</si>
  <si>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</si>
  <si>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</si>
  <si>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</si>
  <si>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</si>
  <si>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</si>
  <si>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</si>
  <si>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</si>
  <si>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</si>
  <si>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</si>
  <si>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</si>
  <si>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</si>
  <si>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</si>
  <si>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</si>
  <si>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</si>
  <si>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</si>
  <si>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</si>
  <si>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</si>
  <si>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</si>
  <si>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</si>
  <si>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</si>
  <si>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</si>
  <si>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</si>
  <si>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</si>
  <si>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</si>
  <si>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</si>
  <si>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</si>
  <si>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</si>
  <si>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</si>
  <si>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</si>
  <si>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</si>
  <si>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</si>
  <si>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</si>
  <si>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</si>
  <si>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</si>
  <si>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</si>
  <si>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</si>
  <si>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</si>
  <si>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</si>
  <si>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</si>
  <si>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</si>
  <si>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</si>
  <si>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</si>
  <si>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</si>
  <si>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</si>
  <si>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</si>
  <si>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</si>
  <si>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</si>
  <si>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</si>
  <si>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</si>
  <si>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</si>
  <si>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</si>
  <si>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</si>
  <si>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</si>
  <si>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</si>
  <si>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</si>
  <si>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</si>
  <si>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</si>
  <si>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</si>
  <si>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</si>
  <si>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</si>
  <si>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</si>
  <si>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</si>
  <si>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</si>
  <si>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</si>
  <si>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</si>
  <si>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</si>
  <si>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</si>
  <si>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</si>
  <si>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</si>
  <si>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</si>
  <si>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</si>
  <si>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</si>
  <si>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</si>
  <si>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</si>
  <si>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</si>
  <si>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</si>
  <si>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</si>
  <si>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</si>
  <si>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</si>
  <si>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</si>
  <si>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</si>
  <si>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</si>
  <si>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</si>
  <si>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</si>
  <si>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</si>
  <si>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</si>
  <si>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</si>
  <si>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</si>
  <si>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</si>
  <si>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</si>
  <si>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</si>
  <si>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</si>
  <si>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</si>
  <si>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</si>
  <si>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</si>
  <si>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</si>
  <si>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</si>
  <si>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</si>
  <si>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</si>
  <si>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</si>
  <si>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</si>
  <si>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</si>
  <si>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</si>
  <si>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</si>
  <si>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</si>
  <si>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</si>
  <si>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</si>
  <si>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</si>
  <si>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</si>
  <si>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</si>
  <si>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</si>
  <si>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</si>
  <si>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</si>
  <si>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</si>
  <si>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</si>
  <si>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</si>
  <si>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</si>
  <si>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</si>
  <si>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</si>
  <si>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</si>
  <si>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</si>
  <si>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</si>
  <si>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</si>
  <si>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</si>
  <si>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</si>
  <si>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</si>
  <si>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</si>
  <si>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</si>
  <si>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</si>
  <si>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</si>
  <si>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</si>
  <si>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</si>
  <si>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</si>
  <si>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</si>
  <si>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</si>
  <si>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</si>
  <si>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</si>
  <si>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</si>
  <si>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</si>
  <si>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</si>
  <si>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</si>
  <si>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</si>
  <si>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</si>
  <si>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</si>
  <si>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</si>
  <si>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</si>
  <si>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</si>
  <si>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</si>
  <si>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</si>
  <si>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</si>
  <si>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</si>
  <si>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</si>
  <si>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</si>
  <si>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</si>
  <si>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</si>
  <si>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</si>
  <si>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</si>
  <si>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</si>
  <si>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</si>
  <si>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</si>
  <si>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</si>
  <si>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</si>
  <si>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</si>
  <si>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</si>
  <si>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</si>
  <si>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</si>
  <si>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</si>
  <si>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</si>
  <si>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</si>
  <si>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</si>
  <si>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</si>
  <si>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</si>
  <si>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</si>
  <si>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</si>
  <si>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</si>
  <si>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</si>
  <si>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</si>
  <si>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</si>
  <si>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</si>
  <si>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</si>
  <si>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</si>
  <si>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</si>
  <si>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</si>
  <si>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</si>
  <si>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</si>
  <si>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</si>
  <si>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</si>
  <si>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</si>
  <si>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</si>
  <si>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</si>
  <si>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</si>
  <si>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</si>
  <si>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</si>
  <si>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</si>
  <si>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</si>
  <si>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</si>
  <si>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</si>
  <si>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</si>
  <si>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</si>
  <si>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</si>
  <si>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</si>
  <si>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</si>
  <si>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</si>
  <si>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</si>
  <si>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</si>
  <si>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</si>
  <si>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</si>
  <si>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</si>
  <si>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</si>
  <si>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</si>
  <si>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</si>
  <si>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</si>
  <si>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</si>
  <si>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</si>
  <si>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</si>
  <si>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</si>
  <si>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</si>
  <si>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</si>
  <si>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</si>
  <si>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</si>
  <si>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</si>
  <si>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</si>
  <si>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</si>
  <si>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</si>
  <si>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</si>
  <si>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</si>
  <si>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</si>
  <si>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</si>
  <si>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</si>
  <si>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</si>
  <si>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</si>
  <si>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</si>
  <si>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</si>
  <si>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</si>
  <si>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</si>
  <si>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</si>
  <si>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</si>
  <si>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</si>
  <si>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</si>
  <si>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</si>
  <si>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</si>
  <si>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</si>
  <si>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</si>
  <si>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</si>
  <si>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</si>
  <si>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</si>
  <si>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</si>
  <si>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</si>
  <si>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</si>
  <si>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</si>
  <si>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</si>
  <si>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</si>
  <si>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</si>
  <si>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</si>
  <si>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</si>
  <si>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</si>
  <si>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</si>
  <si>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</si>
  <si>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</si>
  <si>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</si>
  <si>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</si>
  <si>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</si>
  <si>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</si>
  <si>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</si>
  <si>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</si>
  <si>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</si>
  <si>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</si>
  <si>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</si>
  <si>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</si>
  <si>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</si>
  <si>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</si>
  <si>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</si>
  <si>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</si>
  <si>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</si>
  <si>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</si>
  <si>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</si>
  <si>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</si>
  <si>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</si>
  <si>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</si>
  <si>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</si>
  <si>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</si>
  <si>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</si>
  <si>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</si>
  <si>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</si>
  <si>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</si>
  <si>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</si>
  <si>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</si>
  <si>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</si>
  <si>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</si>
  <si>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</si>
  <si>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</si>
  <si>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</si>
  <si>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</si>
  <si>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</si>
  <si>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</si>
  <si>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</si>
  <si>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</si>
  <si>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</si>
  <si>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</si>
  <si>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</si>
  <si>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</si>
  <si>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</si>
  <si>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</si>
  <si>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</si>
  <si>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</si>
  <si>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</si>
  <si>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</si>
  <si>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</si>
  <si>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</si>
  <si>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</si>
  <si>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</si>
  <si>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</si>
  <si>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</si>
  <si>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</si>
  <si>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</si>
  <si>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</si>
  <si>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</si>
  <si>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</si>
  <si>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</si>
  <si>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</si>
  <si>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</si>
  <si>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</si>
  <si>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</si>
  <si>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</si>
  <si>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</si>
  <si>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</si>
  <si>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</si>
  <si>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</si>
  <si>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</si>
  <si>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</si>
  <si>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</si>
  <si>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</si>
  <si>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</si>
  <si>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</si>
  <si>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</si>
  <si>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</si>
  <si>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</si>
  <si>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</si>
  <si>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</si>
  <si>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</si>
  <si>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</si>
  <si>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</si>
  <si>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</si>
  <si>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</si>
  <si>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</si>
  <si>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</si>
  <si>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</si>
  <si>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</si>
  <si>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</si>
  <si>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</si>
  <si>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</si>
  <si>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</si>
  <si>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</si>
  <si>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</si>
  <si>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</si>
  <si>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</si>
  <si>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</si>
  <si>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</si>
  <si>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</si>
  <si>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</si>
  <si>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</si>
  <si>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</si>
  <si>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</si>
  <si>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</si>
  <si>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</si>
  <si>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</si>
  <si>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</si>
  <si>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</si>
  <si>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</si>
  <si>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</si>
  <si>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</si>
  <si>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</si>
  <si>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</si>
  <si>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</si>
  <si>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</si>
  <si>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</si>
  <si>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</si>
  <si>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</si>
  <si>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</si>
  <si>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</si>
  <si>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</si>
  <si>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</si>
  <si>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</si>
  <si>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</si>
  <si>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</si>
  <si>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</si>
  <si>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</si>
  <si>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</si>
  <si>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</si>
  <si>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</si>
  <si>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</si>
  <si>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</si>
  <si>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</si>
  <si>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</si>
  <si>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</si>
  <si>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</si>
  <si>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</si>
  <si>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</si>
  <si>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</si>
  <si>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</si>
  <si>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</si>
  <si>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</si>
  <si>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</si>
  <si>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</si>
  <si>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</si>
  <si>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</si>
  <si>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</si>
  <si>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</si>
  <si>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</si>
  <si>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</si>
  <si>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</si>
  <si>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</si>
  <si>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</si>
  <si>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</si>
  <si>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</si>
  <si>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</si>
  <si>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</si>
  <si>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</si>
  <si>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</si>
  <si>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</si>
  <si>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</si>
  <si>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</si>
  <si>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</si>
  <si>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</si>
  <si>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</si>
  <si>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</si>
  <si>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</si>
  <si>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</si>
  <si>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</si>
  <si>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</si>
  <si>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</si>
  <si>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</si>
  <si>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</si>
  <si>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</si>
  <si>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</si>
  <si>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</si>
  <si>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</si>
  <si>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</si>
  <si>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</si>
  <si>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</si>
  <si>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</si>
  <si>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</si>
  <si>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</si>
  <si>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</si>
  <si>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</si>
  <si>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</si>
  <si>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</si>
  <si>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</si>
  <si>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</si>
  <si>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</si>
  <si>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</si>
  <si>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</si>
  <si>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</si>
  <si>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</si>
  <si>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</si>
  <si>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</si>
  <si>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</si>
  <si>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</si>
  <si>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</si>
  <si>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</si>
  <si>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</si>
  <si>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</si>
  <si>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</si>
  <si>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</si>
  <si>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</si>
  <si>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</si>
  <si>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</si>
  <si>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</si>
  <si>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</si>
  <si>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</si>
  <si>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</si>
  <si>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</si>
  <si>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</si>
  <si>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</si>
  <si>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</si>
  <si>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</si>
  <si>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</si>
  <si>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</si>
  <si>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</si>
  <si>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</si>
  <si>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</si>
  <si>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</si>
  <si>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</si>
  <si>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</si>
  <si>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</si>
  <si>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</si>
  <si>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</si>
  <si>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</si>
  <si>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</si>
  <si>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</si>
  <si>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</si>
  <si>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</si>
  <si>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</si>
  <si>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</si>
  <si>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</si>
  <si>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</si>
  <si>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</si>
  <si>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</si>
  <si>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</si>
  <si>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</si>
  <si>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</si>
  <si>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</si>
  <si>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</si>
  <si>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</si>
  <si>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</si>
  <si>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</si>
  <si>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</si>
  <si>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</si>
  <si>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</si>
  <si>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</si>
  <si>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</si>
  <si>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</si>
  <si>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</si>
  <si>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</si>
  <si>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</si>
  <si>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</si>
  <si>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</si>
  <si>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</si>
  <si>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</si>
  <si>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</si>
  <si>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</si>
  <si>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</si>
  <si>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</si>
  <si>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</si>
  <si>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</si>
  <si>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</si>
  <si>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</si>
  <si>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</si>
  <si>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</si>
  <si>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</si>
  <si>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</si>
  <si>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</si>
  <si>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</si>
  <si>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</si>
  <si>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</si>
  <si>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</si>
  <si>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</si>
  <si>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</si>
  <si>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</si>
  <si>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</si>
  <si>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</si>
  <si>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</si>
  <si>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</si>
  <si>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</si>
  <si>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</si>
  <si>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</si>
  <si>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</si>
  <si>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</si>
  <si>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</si>
  <si>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</si>
  <si>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</si>
  <si>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</si>
  <si>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</si>
  <si>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</si>
  <si>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</si>
  <si>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</si>
  <si>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</si>
  <si>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</si>
  <si>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</si>
  <si>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</si>
  <si>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</si>
  <si>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</si>
  <si>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</si>
  <si>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</si>
  <si>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</si>
  <si>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</si>
  <si>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</si>
  <si>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</si>
  <si>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</si>
  <si>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</si>
  <si>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</si>
  <si>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</si>
  <si>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</si>
  <si>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</si>
  <si>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</si>
  <si>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</si>
  <si>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</si>
  <si>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</si>
  <si>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</si>
  <si>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</si>
  <si>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</si>
  <si>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</si>
  <si>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</si>
  <si>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</si>
  <si>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</si>
  <si>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</si>
  <si>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</si>
  <si>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</si>
  <si>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</si>
  <si>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</si>
  <si>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</si>
  <si>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</si>
  <si>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</si>
  <si>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</si>
  <si>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</si>
  <si>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</si>
  <si>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</si>
  <si>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</si>
  <si>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</si>
  <si>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</si>
  <si>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</si>
  <si>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</si>
  <si>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</si>
  <si>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</si>
  <si>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</si>
  <si>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</si>
  <si>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</si>
  <si>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</si>
  <si>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</si>
  <si>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</si>
  <si>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</si>
  <si>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</si>
  <si>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</si>
  <si>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</si>
  <si>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</si>
  <si>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</si>
  <si>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</si>
  <si>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</si>
  <si>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</si>
  <si>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</si>
  <si>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</si>
  <si>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</si>
  <si>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</si>
  <si>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</si>
  <si>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</si>
  <si>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</si>
  <si>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</si>
  <si>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</si>
  <si>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</si>
  <si>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</si>
  <si>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</si>
  <si>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</si>
  <si>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</si>
  <si>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</si>
  <si>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</si>
  <si>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</si>
  <si>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</si>
  <si>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</si>
  <si>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</si>
  <si>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</si>
  <si>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</si>
  <si>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</si>
  <si>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</si>
  <si>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</si>
  <si>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</si>
  <si>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</si>
  <si>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</si>
  <si>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</si>
  <si>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</si>
  <si>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</si>
  <si>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</si>
  <si>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</si>
  <si>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</si>
  <si>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</si>
  <si>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</si>
  <si>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</si>
  <si>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</si>
  <si>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</si>
  <si>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</si>
  <si>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</si>
  <si>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</si>
  <si>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</si>
  <si>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</si>
  <si>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</si>
  <si>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</si>
  <si>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</si>
  <si>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</si>
  <si>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</si>
  <si>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</si>
  <si>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</si>
  <si>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</si>
  <si>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</si>
  <si>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</si>
  <si>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</si>
  <si>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</si>
  <si>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</si>
  <si>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</si>
  <si>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</si>
  <si>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</si>
  <si>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</si>
  <si>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</si>
  <si>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</si>
  <si>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</si>
  <si>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</si>
  <si>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</si>
  <si>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</si>
  <si>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</si>
  <si>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</si>
  <si>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</si>
  <si>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</si>
  <si>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</si>
  <si>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</si>
  <si>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</si>
  <si>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</si>
  <si>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</si>
  <si>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</si>
  <si>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</si>
  <si>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</si>
  <si>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</si>
  <si>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</si>
  <si>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</si>
  <si>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</si>
  <si>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</si>
  <si>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</si>
  <si>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</si>
  <si>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</si>
  <si>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</si>
  <si>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</si>
  <si>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</si>
  <si>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</si>
  <si>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</si>
  <si>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</si>
  <si>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</si>
  <si>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</si>
  <si>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</si>
  <si>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</si>
  <si>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</si>
  <si>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</si>
  <si>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</si>
  <si>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</si>
  <si>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</si>
  <si>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</si>
  <si>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</si>
  <si>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</si>
  <si>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</si>
  <si>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</si>
  <si>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</si>
  <si>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</si>
  <si>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</si>
  <si>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</si>
  <si>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</si>
  <si>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</si>
  <si>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</si>
  <si>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</si>
  <si>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</si>
  <si>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</si>
  <si>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</si>
  <si>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</si>
  <si>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</si>
  <si>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</si>
  <si>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</si>
  <si>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</si>
  <si>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</si>
  <si>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</si>
  <si>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</si>
  <si>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</si>
  <si>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</si>
  <si>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</si>
  <si>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</si>
  <si>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</si>
  <si>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</si>
  <si>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</si>
  <si>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</si>
  <si>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</si>
  <si>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</si>
  <si>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</si>
  <si>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</si>
  <si>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</si>
  <si>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</si>
  <si>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</si>
  <si>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</si>
  <si>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</si>
  <si>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</si>
  <si>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</si>
  <si>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</si>
  <si>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</si>
  <si>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</si>
  <si>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</si>
  <si>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</si>
  <si>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</si>
  <si>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</si>
  <si>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</si>
  <si>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</si>
  <si>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</si>
  <si>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</si>
  <si>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</si>
  <si>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</si>
  <si>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</si>
  <si>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</si>
  <si>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</si>
  <si>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</si>
  <si>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</si>
  <si>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</si>
  <si>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</si>
  <si>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</si>
  <si>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</si>
  <si>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</si>
  <si>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</si>
  <si>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</si>
  <si>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</si>
  <si>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</si>
  <si>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</si>
  <si>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</si>
  <si>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</si>
  <si>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</si>
  <si>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</si>
  <si>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</si>
  <si>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</si>
  <si>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</si>
  <si>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</si>
  <si>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</si>
  <si>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44048</t>
  </si>
  <si>
    <t>NAZARETH</t>
  </si>
  <si>
    <t>Cultuurgrond (ha)</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</si>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</sst>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105543.55203815545</c:v>
                </c:pt>
                <c:pt idx="1">
                  <c:v>49587.239991770548</c:v>
                </c:pt>
                <c:pt idx="2">
                  <c:v>1011.422</c:v>
                </c:pt>
                <c:pt idx="3">
                  <c:v>9255.5102605231659</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105543.55203815545</c:v>
                </c:pt>
                <c:pt idx="1">
                  <c:v>49587.239991770548</c:v>
                </c:pt>
                <c:pt idx="2">
                  <c:v>1011.422</c:v>
                </c:pt>
                <c:pt idx="3">
                  <c:v>9255.5102605231659</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21936.664148874064</c:v>
                </c:pt>
                <c:pt idx="1">
                  <c:v>10256.427594833425</c:v>
                </c:pt>
                <c:pt idx="2">
                  <c:v>210.7935090290072</c:v>
                </c:pt>
                <c:pt idx="3">
                  <c:v>2283.3155981282007</c:v>
                </c:pt>
                <c:pt idx="4">
                  <c:v>22148.357578876923</c:v>
                </c:pt>
                <c:pt idx="5">
                  <c:v>87910.221185284099</c:v>
                </c:pt>
                <c:pt idx="6">
                  <c:v>214.5778229284914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33984"/>
        <c:axId val="162656256"/>
      </c:barChart>
      <c:catAx>
        <c:axId val="162633984"/>
        <c:scaling>
          <c:orientation val="minMax"/>
        </c:scaling>
        <c:axPos val="b"/>
        <c:numFmt formatCode="General" sourceLinked="0"/>
        <c:tickLblPos val="nextTo"/>
        <c:crossAx val="162656256"/>
        <c:crosses val="autoZero"/>
        <c:auto val="1"/>
        <c:lblAlgn val="ctr"/>
        <c:lblOffset val="100"/>
      </c:catAx>
      <c:valAx>
        <c:axId val="162656256"/>
        <c:scaling>
          <c:orientation val="minMax"/>
        </c:scaling>
        <c:axPos val="l"/>
        <c:majorGridlines/>
        <c:numFmt formatCode="#,##0" sourceLinked="1"/>
        <c:tickLblPos val="nextTo"/>
        <c:crossAx val="162633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21936.664148874064</c:v>
                </c:pt>
                <c:pt idx="1">
                  <c:v>10256.427594833425</c:v>
                </c:pt>
                <c:pt idx="2">
                  <c:v>210.7935090290072</c:v>
                </c:pt>
                <c:pt idx="3">
                  <c:v>2283.3155981282007</c:v>
                </c:pt>
                <c:pt idx="4">
                  <c:v>22148.357578876923</c:v>
                </c:pt>
                <c:pt idx="5">
                  <c:v>87910.221185284099</c:v>
                </c:pt>
                <c:pt idx="6">
                  <c:v>214.5778229284914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44048</v>
      </c>
      <c r="B6" s="398"/>
      <c r="C6" s="399"/>
    </row>
    <row r="7" spans="1:7" s="396" customFormat="1" ht="15.75" customHeight="1">
      <c r="A7" s="400" t="str">
        <f>txtMunicipality</f>
        <v>NAZARETH</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4522</v>
      </c>
      <c r="C9" s="338">
        <v>4766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2051</v>
      </c>
    </row>
    <row r="15" spans="1:6">
      <c r="A15" s="1269" t="s">
        <v>184</v>
      </c>
      <c r="B15" s="335">
        <v>44</v>
      </c>
    </row>
    <row r="16" spans="1:6">
      <c r="A16" s="1269" t="s">
        <v>6</v>
      </c>
      <c r="B16" s="335">
        <v>1379</v>
      </c>
    </row>
    <row r="17" spans="1:6">
      <c r="A17" s="1269" t="s">
        <v>7</v>
      </c>
      <c r="B17" s="335">
        <v>485</v>
      </c>
    </row>
    <row r="18" spans="1:6">
      <c r="A18" s="1269" t="s">
        <v>8</v>
      </c>
      <c r="B18" s="335">
        <v>1063</v>
      </c>
    </row>
    <row r="19" spans="1:6">
      <c r="A19" s="1269" t="s">
        <v>9</v>
      </c>
      <c r="B19" s="335">
        <v>1233</v>
      </c>
    </row>
    <row r="20" spans="1:6">
      <c r="A20" s="1269" t="s">
        <v>10</v>
      </c>
      <c r="B20" s="335">
        <v>774</v>
      </c>
    </row>
    <row r="21" spans="1:6">
      <c r="A21" s="1269" t="s">
        <v>11</v>
      </c>
      <c r="B21" s="335">
        <v>10486</v>
      </c>
    </row>
    <row r="22" spans="1:6">
      <c r="A22" s="1269" t="s">
        <v>12</v>
      </c>
      <c r="B22" s="335">
        <v>20514</v>
      </c>
    </row>
    <row r="23" spans="1:6">
      <c r="A23" s="1269" t="s">
        <v>13</v>
      </c>
      <c r="B23" s="335">
        <v>159</v>
      </c>
    </row>
    <row r="24" spans="1:6">
      <c r="A24" s="1269" t="s">
        <v>14</v>
      </c>
      <c r="B24" s="335">
        <v>12</v>
      </c>
    </row>
    <row r="25" spans="1:6">
      <c r="A25" s="1269" t="s">
        <v>15</v>
      </c>
      <c r="B25" s="335">
        <v>1062</v>
      </c>
    </row>
    <row r="26" spans="1:6">
      <c r="A26" s="1269" t="s">
        <v>16</v>
      </c>
      <c r="B26" s="335">
        <v>104</v>
      </c>
    </row>
    <row r="27" spans="1:6">
      <c r="A27" s="1269" t="s">
        <v>17</v>
      </c>
      <c r="B27" s="335">
        <v>4</v>
      </c>
    </row>
    <row r="28" spans="1:6" s="341" customFormat="1">
      <c r="A28" s="1270" t="s">
        <v>18</v>
      </c>
      <c r="B28" s="1270">
        <v>71585</v>
      </c>
    </row>
    <row r="29" spans="1:6">
      <c r="A29" s="1270" t="s">
        <v>874</v>
      </c>
      <c r="B29" s="1270">
        <v>130</v>
      </c>
      <c r="C29" s="341"/>
      <c r="D29" s="341"/>
      <c r="E29" s="341"/>
      <c r="F29" s="341"/>
    </row>
    <row r="30" spans="1:6">
      <c r="A30" s="1265" t="s">
        <v>875</v>
      </c>
      <c r="B30" s="1265">
        <v>40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26736.894200610001</v>
      </c>
      <c r="E38" s="335">
        <v>3</v>
      </c>
      <c r="F38" s="335">
        <v>25807.731231834001</v>
      </c>
    </row>
    <row r="39" spans="1:6">
      <c r="A39" s="1269" t="s">
        <v>30</v>
      </c>
      <c r="B39" s="1269" t="s">
        <v>31</v>
      </c>
      <c r="C39" s="335">
        <v>1370</v>
      </c>
      <c r="D39" s="335">
        <v>22868749.330192</v>
      </c>
      <c r="E39" s="335">
        <v>4305</v>
      </c>
      <c r="F39" s="335">
        <v>22407327.496808998</v>
      </c>
    </row>
    <row r="40" spans="1:6">
      <c r="A40" s="1269" t="s">
        <v>30</v>
      </c>
      <c r="B40" s="1269" t="s">
        <v>29</v>
      </c>
      <c r="C40" s="335">
        <v>0</v>
      </c>
      <c r="D40" s="335">
        <v>0</v>
      </c>
      <c r="E40" s="335">
        <v>1</v>
      </c>
      <c r="F40" s="335">
        <v>99</v>
      </c>
    </row>
    <row r="41" spans="1:6">
      <c r="A41" s="1269" t="s">
        <v>32</v>
      </c>
      <c r="B41" s="1269" t="s">
        <v>33</v>
      </c>
      <c r="C41" s="335">
        <v>22</v>
      </c>
      <c r="D41" s="335">
        <v>370830.48187909601</v>
      </c>
      <c r="E41" s="335">
        <v>136</v>
      </c>
      <c r="F41" s="335">
        <v>2723954.9194646101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509997.15418788098</v>
      </c>
    </row>
    <row r="45" spans="1:6">
      <c r="A45" s="1269" t="s">
        <v>32</v>
      </c>
      <c r="B45" s="1269" t="s">
        <v>37</v>
      </c>
      <c r="C45" s="335">
        <v>0</v>
      </c>
      <c r="D45" s="335">
        <v>0</v>
      </c>
      <c r="E45" s="335">
        <v>3</v>
      </c>
      <c r="F45" s="335">
        <v>36670.251633690597</v>
      </c>
    </row>
    <row r="46" spans="1:6">
      <c r="A46" s="1269" t="s">
        <v>32</v>
      </c>
      <c r="B46" s="1269" t="s">
        <v>38</v>
      </c>
      <c r="C46" s="335">
        <v>0</v>
      </c>
      <c r="D46" s="335">
        <v>0</v>
      </c>
      <c r="E46" s="335">
        <v>0</v>
      </c>
      <c r="F46" s="335">
        <v>0</v>
      </c>
    </row>
    <row r="47" spans="1:6">
      <c r="A47" s="1269" t="s">
        <v>32</v>
      </c>
      <c r="B47" s="1269" t="s">
        <v>39</v>
      </c>
      <c r="C47" s="335">
        <v>0</v>
      </c>
      <c r="D47" s="335">
        <v>0</v>
      </c>
      <c r="E47" s="335">
        <v>4</v>
      </c>
      <c r="F47" s="335">
        <v>1622745.8569632701</v>
      </c>
    </row>
    <row r="48" spans="1:6">
      <c r="A48" s="1269" t="s">
        <v>32</v>
      </c>
      <c r="B48" s="1269" t="s">
        <v>29</v>
      </c>
      <c r="C48" s="335">
        <v>30</v>
      </c>
      <c r="D48" s="335">
        <v>43917056.160935797</v>
      </c>
      <c r="E48" s="335">
        <v>48</v>
      </c>
      <c r="F48" s="335">
        <v>40919184.841159798</v>
      </c>
    </row>
    <row r="49" spans="1:6">
      <c r="A49" s="1269" t="s">
        <v>32</v>
      </c>
      <c r="B49" s="1269" t="s">
        <v>40</v>
      </c>
      <c r="C49" s="335">
        <v>0</v>
      </c>
      <c r="D49" s="335">
        <v>0</v>
      </c>
      <c r="E49" s="335">
        <v>0</v>
      </c>
      <c r="F49" s="335">
        <v>0</v>
      </c>
    </row>
    <row r="50" spans="1:6">
      <c r="A50" s="1269" t="s">
        <v>32</v>
      </c>
      <c r="B50" s="1269" t="s">
        <v>41</v>
      </c>
      <c r="C50" s="335">
        <v>0</v>
      </c>
      <c r="D50" s="335">
        <v>0</v>
      </c>
      <c r="E50" s="335">
        <v>5</v>
      </c>
      <c r="F50" s="335">
        <v>1083479.92911404</v>
      </c>
    </row>
    <row r="51" spans="1:6">
      <c r="A51" s="1269" t="s">
        <v>42</v>
      </c>
      <c r="B51" s="1269" t="s">
        <v>43</v>
      </c>
      <c r="C51" s="335">
        <v>3</v>
      </c>
      <c r="D51" s="335">
        <v>65718.550836933195</v>
      </c>
      <c r="E51" s="335">
        <v>106</v>
      </c>
      <c r="F51" s="335">
        <v>1577580.1348912499</v>
      </c>
    </row>
    <row r="52" spans="1:6">
      <c r="A52" s="1269" t="s">
        <v>42</v>
      </c>
      <c r="B52" s="1269" t="s">
        <v>29</v>
      </c>
      <c r="C52" s="335">
        <v>4</v>
      </c>
      <c r="D52" s="335">
        <v>1026669.43823217</v>
      </c>
      <c r="E52" s="335">
        <v>3</v>
      </c>
      <c r="F52" s="335">
        <v>52110.544890483703</v>
      </c>
    </row>
    <row r="53" spans="1:6">
      <c r="A53" s="1269" t="s">
        <v>44</v>
      </c>
      <c r="B53" s="1269" t="s">
        <v>45</v>
      </c>
      <c r="C53" s="335">
        <v>39</v>
      </c>
      <c r="D53" s="335">
        <v>833726.55525623006</v>
      </c>
      <c r="E53" s="335">
        <v>127</v>
      </c>
      <c r="F53" s="335">
        <v>830405.46950422996</v>
      </c>
    </row>
    <row r="54" spans="1:6">
      <c r="A54" s="1269" t="s">
        <v>46</v>
      </c>
      <c r="B54" s="1269" t="s">
        <v>47</v>
      </c>
      <c r="C54" s="335">
        <v>0</v>
      </c>
      <c r="D54" s="335">
        <v>0</v>
      </c>
      <c r="E54" s="335">
        <v>1</v>
      </c>
      <c r="F54" s="335">
        <v>1011422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v>
      </c>
      <c r="D57" s="335">
        <v>262303.30600848002</v>
      </c>
      <c r="E57" s="335">
        <v>58</v>
      </c>
      <c r="F57" s="335">
        <v>931769.24041181698</v>
      </c>
    </row>
    <row r="58" spans="1:6">
      <c r="A58" s="1269" t="s">
        <v>49</v>
      </c>
      <c r="B58" s="1269" t="s">
        <v>51</v>
      </c>
      <c r="C58" s="335">
        <v>3</v>
      </c>
      <c r="D58" s="335">
        <v>154318.57144933799</v>
      </c>
      <c r="E58" s="335">
        <v>21</v>
      </c>
      <c r="F58" s="335">
        <v>974959.47993188002</v>
      </c>
    </row>
    <row r="59" spans="1:6">
      <c r="A59" s="1269" t="s">
        <v>49</v>
      </c>
      <c r="B59" s="1269" t="s">
        <v>52</v>
      </c>
      <c r="C59" s="335">
        <v>33</v>
      </c>
      <c r="D59" s="335">
        <v>4290347.2860850599</v>
      </c>
      <c r="E59" s="335">
        <v>217</v>
      </c>
      <c r="F59" s="335">
        <v>6508923.9509567302</v>
      </c>
    </row>
    <row r="60" spans="1:6">
      <c r="A60" s="1269" t="s">
        <v>49</v>
      </c>
      <c r="B60" s="1269" t="s">
        <v>53</v>
      </c>
      <c r="C60" s="335">
        <v>15</v>
      </c>
      <c r="D60" s="335">
        <v>747456.928325666</v>
      </c>
      <c r="E60" s="335">
        <v>43</v>
      </c>
      <c r="F60" s="335">
        <v>1467994.0751696101</v>
      </c>
    </row>
    <row r="61" spans="1:6">
      <c r="A61" s="1269" t="s">
        <v>49</v>
      </c>
      <c r="B61" s="1269" t="s">
        <v>54</v>
      </c>
      <c r="C61" s="335">
        <v>71</v>
      </c>
      <c r="D61" s="335">
        <v>3943231.8434116002</v>
      </c>
      <c r="E61" s="335">
        <v>251</v>
      </c>
      <c r="F61" s="335">
        <v>4854130.0778901</v>
      </c>
    </row>
    <row r="62" spans="1:6">
      <c r="A62" s="1269" t="s">
        <v>49</v>
      </c>
      <c r="B62" s="1269" t="s">
        <v>55</v>
      </c>
      <c r="C62" s="335">
        <v>4</v>
      </c>
      <c r="D62" s="335">
        <v>308796.31495717698</v>
      </c>
      <c r="E62" s="335">
        <v>9</v>
      </c>
      <c r="F62" s="335">
        <v>233997.163604464</v>
      </c>
    </row>
    <row r="63" spans="1:6">
      <c r="A63" s="1269" t="s">
        <v>49</v>
      </c>
      <c r="B63" s="1269" t="s">
        <v>29</v>
      </c>
      <c r="C63" s="335">
        <v>69</v>
      </c>
      <c r="D63" s="335">
        <v>6742560.4810185898</v>
      </c>
      <c r="E63" s="335">
        <v>108</v>
      </c>
      <c r="F63" s="335">
        <v>12760704.410195</v>
      </c>
    </row>
    <row r="64" spans="1:6">
      <c r="A64" s="1269" t="s">
        <v>56</v>
      </c>
      <c r="B64" s="1269" t="s">
        <v>57</v>
      </c>
      <c r="C64" s="335">
        <v>0</v>
      </c>
      <c r="D64" s="335">
        <v>0</v>
      </c>
      <c r="E64" s="335">
        <v>0</v>
      </c>
      <c r="F64" s="335">
        <v>0</v>
      </c>
    </row>
    <row r="65" spans="1:6">
      <c r="A65" s="1269" t="s">
        <v>56</v>
      </c>
      <c r="B65" s="1269" t="s">
        <v>29</v>
      </c>
      <c r="C65" s="335">
        <v>4</v>
      </c>
      <c r="D65" s="335">
        <v>210065.17011098901</v>
      </c>
      <c r="E65" s="335">
        <v>5</v>
      </c>
      <c r="F65" s="335">
        <v>29803.813905981999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1519764.6819309201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90044768</v>
      </c>
      <c r="E73" s="335">
        <v>101124817.41793402</v>
      </c>
    </row>
    <row r="74" spans="1:6">
      <c r="A74" s="1269" t="s">
        <v>64</v>
      </c>
      <c r="B74" s="1269" t="s">
        <v>727</v>
      </c>
      <c r="C74" s="1269" t="s">
        <v>728</v>
      </c>
      <c r="D74" s="335">
        <v>11892090.857432352</v>
      </c>
      <c r="E74" s="335">
        <v>13110185.119429316</v>
      </c>
    </row>
    <row r="75" spans="1:6">
      <c r="A75" s="1269" t="s">
        <v>65</v>
      </c>
      <c r="B75" s="1269" t="s">
        <v>725</v>
      </c>
      <c r="C75" s="1269" t="s">
        <v>729</v>
      </c>
      <c r="D75" s="335">
        <v>21621850</v>
      </c>
      <c r="E75" s="335">
        <v>24158518.749572985</v>
      </c>
    </row>
    <row r="76" spans="1:6">
      <c r="A76" s="1269" t="s">
        <v>65</v>
      </c>
      <c r="B76" s="1269" t="s">
        <v>727</v>
      </c>
      <c r="C76" s="1269" t="s">
        <v>730</v>
      </c>
      <c r="D76" s="335">
        <v>2182193.8574323524</v>
      </c>
      <c r="E76" s="335">
        <v>2204153.5903103026</v>
      </c>
    </row>
    <row r="77" spans="1:6">
      <c r="A77" s="1269" t="s">
        <v>66</v>
      </c>
      <c r="B77" s="1269" t="s">
        <v>725</v>
      </c>
      <c r="C77" s="1269" t="s">
        <v>731</v>
      </c>
      <c r="D77" s="335">
        <v>170035160</v>
      </c>
      <c r="E77" s="335">
        <v>211825086.31064036</v>
      </c>
    </row>
    <row r="78" spans="1:6">
      <c r="A78" s="1265" t="s">
        <v>66</v>
      </c>
      <c r="B78" s="1265" t="s">
        <v>727</v>
      </c>
      <c r="C78" s="1265" t="s">
        <v>732</v>
      </c>
      <c r="D78" s="1265">
        <v>45690124</v>
      </c>
      <c r="E78" s="1265">
        <v>53541250.376004234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221760.28513529518</v>
      </c>
      <c r="C83" s="335">
        <v>221310.82759064273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2372.1342878632668</v>
      </c>
    </row>
    <row r="92" spans="1:6">
      <c r="A92" s="1265" t="s">
        <v>69</v>
      </c>
      <c r="B92" s="338">
        <v>3560.5043473882665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273</v>
      </c>
    </row>
    <row r="98" spans="1:6">
      <c r="A98" s="1269" t="s">
        <v>72</v>
      </c>
      <c r="B98" s="335">
        <v>0</v>
      </c>
    </row>
    <row r="99" spans="1:6">
      <c r="A99" s="1269" t="s">
        <v>73</v>
      </c>
      <c r="B99" s="335">
        <v>63</v>
      </c>
    </row>
    <row r="100" spans="1:6">
      <c r="A100" s="1269" t="s">
        <v>74</v>
      </c>
      <c r="B100" s="335">
        <v>633</v>
      </c>
    </row>
    <row r="101" spans="1:6">
      <c r="A101" s="1269" t="s">
        <v>75</v>
      </c>
      <c r="B101" s="335">
        <v>90</v>
      </c>
    </row>
    <row r="102" spans="1:6">
      <c r="A102" s="1269" t="s">
        <v>76</v>
      </c>
      <c r="B102" s="335">
        <v>66</v>
      </c>
    </row>
    <row r="103" spans="1:6">
      <c r="A103" s="1269" t="s">
        <v>77</v>
      </c>
      <c r="B103" s="335">
        <v>140</v>
      </c>
    </row>
    <row r="104" spans="1:6">
      <c r="A104" s="1269" t="s">
        <v>78</v>
      </c>
      <c r="B104" s="335">
        <v>2713</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20</v>
      </c>
      <c r="C123" s="335">
        <v>20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104</v>
      </c>
    </row>
    <row r="130" spans="1:6">
      <c r="A130" s="1269" t="s">
        <v>295</v>
      </c>
      <c r="B130" s="335">
        <v>1</v>
      </c>
    </row>
    <row r="131" spans="1:6">
      <c r="A131" s="1269" t="s">
        <v>296</v>
      </c>
      <c r="B131" s="335">
        <v>1</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102973.56684380911</v>
      </c>
      <c r="C3" s="43" t="s">
        <v>170</v>
      </c>
      <c r="D3" s="43"/>
      <c r="E3" s="156"/>
      <c r="F3" s="43"/>
      <c r="G3" s="43"/>
      <c r="H3" s="43"/>
      <c r="I3" s="43"/>
      <c r="J3" s="43"/>
      <c r="K3" s="96"/>
    </row>
    <row r="4" spans="1:11">
      <c r="A4" s="366" t="s">
        <v>171</v>
      </c>
      <c r="B4" s="49">
        <f>IF(ISERROR('SEAP template'!B69),0,'SEAP template'!B69)</f>
        <v>6841.6386352515328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215.87545533391159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0.20841301556522124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312.21025895180281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1314.6428571428571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0.23748674954225696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1011.422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1011.422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0.20841301556522124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210.7935090290072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22407.426496808999</v>
      </c>
      <c r="C5" s="17">
        <f>IF(ISERROR('Eigen informatie GS &amp; warmtenet'!B57),0,'Eigen informatie GS &amp; warmtenet'!B57)</f>
        <v>0</v>
      </c>
      <c r="D5" s="30">
        <f>(SUM(HH_hh_gas_kWh,HH_rest_gas_kWh)/1000)*0.902</f>
        <v>20627.611895833186</v>
      </c>
      <c r="E5" s="17">
        <f>B46*B57</f>
        <v>2281.4898995396234</v>
      </c>
      <c r="F5" s="17">
        <f>B51*B62</f>
        <v>43637.567629129844</v>
      </c>
      <c r="G5" s="18"/>
      <c r="H5" s="17"/>
      <c r="I5" s="17"/>
      <c r="J5" s="17">
        <f>B50*B61+C50*C61</f>
        <v>1232.6971588343163</v>
      </c>
      <c r="K5" s="17"/>
      <c r="L5" s="17"/>
      <c r="M5" s="17"/>
      <c r="N5" s="17">
        <f>B48*B59+C48*C59</f>
        <v>12218.771336812895</v>
      </c>
      <c r="O5" s="17">
        <f>B69*B70*B71</f>
        <v>193.85333333333335</v>
      </c>
      <c r="P5" s="17">
        <f>B77*B78*B79/1000-B77*B78*B79/1000/B80</f>
        <v>572</v>
      </c>
    </row>
    <row r="6" spans="1:16">
      <c r="A6" s="16" t="s">
        <v>634</v>
      </c>
      <c r="B6" s="831">
        <f>kWh_PV_kleiner_dan_10kW</f>
        <v>2372.1342878632668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24779.560784672267</v>
      </c>
      <c r="C8" s="21">
        <f>C5</f>
        <v>0</v>
      </c>
      <c r="D8" s="21">
        <f>D5</f>
        <v>20627.611895833186</v>
      </c>
      <c r="E8" s="21">
        <f>E5</f>
        <v>2281.4898995396234</v>
      </c>
      <c r="F8" s="21">
        <f>F5</f>
        <v>43637.567629129844</v>
      </c>
      <c r="G8" s="21"/>
      <c r="H8" s="21"/>
      <c r="I8" s="21"/>
      <c r="J8" s="21">
        <f>J5</f>
        <v>1232.6971588343163</v>
      </c>
      <c r="K8" s="21"/>
      <c r="L8" s="21">
        <f>L5</f>
        <v>0</v>
      </c>
      <c r="M8" s="21">
        <f>M5</f>
        <v>0</v>
      </c>
      <c r="N8" s="21">
        <f>N5</f>
        <v>12218.771336812895</v>
      </c>
      <c r="O8" s="21">
        <f>O5</f>
        <v>193.85333333333335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0.20841301556522124</v>
      </c>
      <c r="C10" s="25">
        <f ca="1">'EF ele_warmte'!B22</f>
        <v>0.23748674954225696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5164.3829875152469</v>
      </c>
      <c r="C12" s="23">
        <f ca="1">C10*C8</f>
        <v>0</v>
      </c>
      <c r="D12" s="23">
        <f>D8*D10</f>
        <v>4166.7776029583038</v>
      </c>
      <c r="E12" s="23">
        <f>E10*E8</f>
        <v>517.89820719549448</v>
      </c>
      <c r="F12" s="23">
        <f>F10*F8</f>
        <v>11651.230556977669</v>
      </c>
      <c r="G12" s="23"/>
      <c r="H12" s="23"/>
      <c r="I12" s="23"/>
      <c r="J12" s="23">
        <f>J10*J8</f>
        <v>436.37479422734793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273</v>
      </c>
      <c r="C18" s="168" t="s">
        <v>111</v>
      </c>
      <c r="D18" s="230"/>
      <c r="E18" s="15"/>
    </row>
    <row r="19" spans="1:7">
      <c r="A19" s="173" t="s">
        <v>72</v>
      </c>
      <c r="B19" s="37">
        <f>aantalw2001_ander</f>
        <v>0</v>
      </c>
      <c r="C19" s="168" t="s">
        <v>111</v>
      </c>
      <c r="D19" s="231"/>
      <c r="E19" s="15"/>
    </row>
    <row r="20" spans="1:7">
      <c r="A20" s="173" t="s">
        <v>73</v>
      </c>
      <c r="B20" s="37">
        <f>aantalw2001_propaan</f>
        <v>63</v>
      </c>
      <c r="C20" s="169">
        <f>IF(ISERROR(B20/SUM($B$20,$B$21,$B$22)*100),0,B20/SUM($B$20,$B$21,$B$22)*100)</f>
        <v>8.015267175572518</v>
      </c>
      <c r="D20" s="231"/>
      <c r="E20" s="15"/>
    </row>
    <row r="21" spans="1:7">
      <c r="A21" s="173" t="s">
        <v>74</v>
      </c>
      <c r="B21" s="37">
        <f>aantalw2001_elektriciteit</f>
        <v>633</v>
      </c>
      <c r="C21" s="169">
        <f>IF(ISERROR(B21/SUM($B$20,$B$21,$B$22)*100),0,B21/SUM($B$20,$B$21,$B$22)*100)</f>
        <v>80.534351145038158</v>
      </c>
      <c r="D21" s="231"/>
      <c r="E21" s="15"/>
    </row>
    <row r="22" spans="1:7">
      <c r="A22" s="173" t="s">
        <v>75</v>
      </c>
      <c r="B22" s="37">
        <f>aantalw2001_hout</f>
        <v>90</v>
      </c>
      <c r="C22" s="169">
        <f>IF(ISERROR(B22/SUM($B$20,$B$21,$B$22)*100),0,B22/SUM($B$20,$B$21,$B$22)*100)</f>
        <v>11.450381679389313</v>
      </c>
      <c r="D22" s="231"/>
      <c r="E22" s="15"/>
    </row>
    <row r="23" spans="1:7">
      <c r="A23" s="173" t="s">
        <v>76</v>
      </c>
      <c r="B23" s="37">
        <f>aantalw2001_niet_gespec</f>
        <v>66</v>
      </c>
      <c r="C23" s="168" t="s">
        <v>111</v>
      </c>
      <c r="D23" s="230"/>
      <c r="E23" s="15"/>
    </row>
    <row r="24" spans="1:7">
      <c r="A24" s="173" t="s">
        <v>77</v>
      </c>
      <c r="B24" s="37">
        <f>aantalw2001_steenkool</f>
        <v>140</v>
      </c>
      <c r="C24" s="168" t="s">
        <v>111</v>
      </c>
      <c r="D24" s="231"/>
      <c r="E24" s="15"/>
    </row>
    <row r="25" spans="1:7">
      <c r="A25" s="173" t="s">
        <v>78</v>
      </c>
      <c r="B25" s="37">
        <f>aantalw2001_stookolie</f>
        <v>2713</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4522</v>
      </c>
      <c r="C28" s="36"/>
      <c r="D28" s="230"/>
    </row>
    <row r="29" spans="1:7" s="15" customFormat="1">
      <c r="A29" s="232" t="s">
        <v>746</v>
      </c>
      <c r="B29" s="37">
        <f>SUM(HH_hh_gas_aantal,HH_rest_gas_aantal)</f>
        <v>1370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1370</v>
      </c>
      <c r="C32" s="169">
        <f>IF(ISERROR(B32/SUM($B$32,$B$34,$B$35,$B$36,$B$38,$B$39)*100),0,B32/SUM($B$32,$B$34,$B$35,$B$36,$B$38,$B$39)*100)</f>
        <v>30.4986642920748</v>
      </c>
      <c r="D32" s="235"/>
      <c r="G32" s="15"/>
    </row>
    <row r="33" spans="1:7">
      <c r="A33" s="173" t="s">
        <v>72</v>
      </c>
      <c r="B33" s="34" t="s">
        <v>111</v>
      </c>
      <c r="C33" s="169"/>
      <c r="D33" s="235"/>
      <c r="G33" s="15"/>
    </row>
    <row r="34" spans="1:7">
      <c r="A34" s="173" t="s">
        <v>73</v>
      </c>
      <c r="B34" s="33">
        <f>IF((($B$28-$B$32-$B$39-$B$77-$B$38)*C20/100)&lt;0,0,($B$28-$B$32-$B$39-$B$77-$B$38)*C20/100)</f>
        <v>109.48854961832062</v>
      </c>
      <c r="C34" s="169">
        <f>IF(ISERROR(B34/SUM($B$32,$B$34,$B$35,$B$36,$B$38,$B$39)*100),0,B34/SUM($B$32,$B$34,$B$35,$B$36,$B$38,$B$39)*100)</f>
        <v>2.4374120573980544</v>
      </c>
      <c r="D34" s="235"/>
      <c r="G34" s="15"/>
    </row>
    <row r="35" spans="1:7">
      <c r="A35" s="173" t="s">
        <v>74</v>
      </c>
      <c r="B35" s="33">
        <f>IF((($B$28-$B$32-$B$39-$B$77-$B$38)*C21/100)&lt;0,0,($B$28-$B$32-$B$39-$B$77-$B$38)*C21/100)</f>
        <v>1100.0992366412213</v>
      </c>
      <c r="C35" s="169">
        <f>IF(ISERROR(B35/SUM($B$32,$B$34,$B$35,$B$36,$B$38,$B$39)*100),0,B35/SUM($B$32,$B$34,$B$35,$B$36,$B$38,$B$39)*100)</f>
        <v>24.490187814809023</v>
      </c>
      <c r="D35" s="235"/>
      <c r="G35" s="15"/>
    </row>
    <row r="36" spans="1:7">
      <c r="A36" s="173" t="s">
        <v>75</v>
      </c>
      <c r="B36" s="33">
        <f>IF((($B$28-$B$32-$B$39-$B$77-$B$38)*C22/100)&lt;0,0,($B$28-$B$32-$B$39-$B$77-$B$38)*C22/100)</f>
        <v>156.41221374045804</v>
      </c>
      <c r="C36" s="169">
        <f>IF(ISERROR(B36/SUM($B$32,$B$34,$B$35,$B$36,$B$38,$B$39)*100),0,B36/SUM($B$32,$B$34,$B$35,$B$36,$B$38,$B$39)*100)</f>
        <v>3.4820172248543639</v>
      </c>
      <c r="D36" s="235"/>
      <c r="G36" s="15"/>
    </row>
    <row r="37" spans="1:7">
      <c r="A37" s="173" t="s">
        <v>76</v>
      </c>
      <c r="B37" s="34" t="s">
        <v>111</v>
      </c>
      <c r="C37" s="169"/>
      <c r="D37" s="175"/>
      <c r="G37" s="15"/>
    </row>
    <row r="38" spans="1:7">
      <c r="A38" s="173" t="s">
        <v>77</v>
      </c>
      <c r="B38" s="33">
        <f>IF((B24-(B29-B18)*0.1)&lt;0,0,B24-(B29-B18)*0.1)</f>
        <v>30.299999999999997</v>
      </c>
      <c r="C38" s="169">
        <f>IF(ISERROR(B38/SUM($B$32,$B$34,$B$35,$B$36,$B$38,$B$39)*100),0,B38/SUM($B$32,$B$34,$B$35,$B$36,$B$38,$B$39)*100)</f>
        <v>0.67453250222617978</v>
      </c>
      <c r="D38" s="236"/>
      <c r="G38" s="15"/>
    </row>
    <row r="39" spans="1:7">
      <c r="A39" s="173" t="s">
        <v>78</v>
      </c>
      <c r="B39" s="33">
        <f>IF((B25-(B29-B18))&lt;0,0,B25-(B29-B18)*0.9)</f>
        <v>1725.6999999999998</v>
      </c>
      <c r="C39" s="169">
        <f>IF(ISERROR(B39/SUM($B$32,$B$34,$B$35,$B$36,$B$38,$B$39)*100),0,B39/SUM($B$32,$B$34,$B$35,$B$36,$B$38,$B$39)*100)</f>
        <v>38.417186108637573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1370</v>
      </c>
      <c r="C44" s="34" t="s">
        <v>111</v>
      </c>
      <c r="D44" s="176"/>
    </row>
    <row r="45" spans="1:7">
      <c r="A45" s="173" t="s">
        <v>72</v>
      </c>
      <c r="B45" s="33" t="str">
        <f t="shared" si="0"/>
        <v>-</v>
      </c>
      <c r="C45" s="34" t="s">
        <v>111</v>
      </c>
      <c r="D45" s="176"/>
    </row>
    <row r="46" spans="1:7">
      <c r="A46" s="173" t="s">
        <v>73</v>
      </c>
      <c r="B46" s="33">
        <f t="shared" si="0"/>
        <v>109.48854961832062</v>
      </c>
      <c r="C46" s="34" t="s">
        <v>111</v>
      </c>
      <c r="D46" s="176"/>
    </row>
    <row r="47" spans="1:7">
      <c r="A47" s="173" t="s">
        <v>74</v>
      </c>
      <c r="B47" s="33">
        <f t="shared" si="0"/>
        <v>1100.0992366412213</v>
      </c>
      <c r="C47" s="34" t="s">
        <v>111</v>
      </c>
      <c r="D47" s="176"/>
    </row>
    <row r="48" spans="1:7">
      <c r="A48" s="173" t="s">
        <v>75</v>
      </c>
      <c r="B48" s="33">
        <f t="shared" si="0"/>
        <v>156.41221374045804</v>
      </c>
      <c r="C48" s="33">
        <f>B48*10</f>
        <v>1564.1221374045804</v>
      </c>
      <c r="D48" s="236"/>
    </row>
    <row r="49" spans="1:6">
      <c r="A49" s="173" t="s">
        <v>76</v>
      </c>
      <c r="B49" s="33" t="str">
        <f t="shared" si="0"/>
        <v>-</v>
      </c>
      <c r="C49" s="34" t="s">
        <v>111</v>
      </c>
      <c r="D49" s="236"/>
    </row>
    <row r="50" spans="1:6">
      <c r="A50" s="173" t="s">
        <v>77</v>
      </c>
      <c r="B50" s="33">
        <f t="shared" si="0"/>
        <v>30.299999999999997</v>
      </c>
      <c r="C50" s="33">
        <f>B50*2</f>
        <v>60.599999999999994</v>
      </c>
      <c r="D50" s="236"/>
    </row>
    <row r="51" spans="1:6">
      <c r="A51" s="173" t="s">
        <v>78</v>
      </c>
      <c r="B51" s="33">
        <f t="shared" si="0"/>
        <v>1725.6999999999998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27732.478398159605</v>
      </c>
      <c r="C5" s="17">
        <f>IF(ISERROR('Eigen informatie GS &amp; warmtenet'!B58),0,'Eigen informatie GS &amp; warmtenet'!B58)</f>
        <v>0</v>
      </c>
      <c r="D5" s="30">
        <f>SUM(D6:D12)</f>
        <v>14837.011287592832</v>
      </c>
      <c r="E5" s="17">
        <f>SUM(E6:E12)</f>
        <v>355.69213662187144</v>
      </c>
      <c r="F5" s="17">
        <f>SUM(F6:F12)</f>
        <v>5337.9317297896378</v>
      </c>
      <c r="G5" s="18"/>
      <c r="H5" s="17"/>
      <c r="I5" s="17"/>
      <c r="J5" s="17">
        <f>SUM(J6:J12)</f>
        <v>0</v>
      </c>
      <c r="K5" s="17"/>
      <c r="L5" s="17"/>
      <c r="M5" s="17"/>
      <c r="N5" s="17">
        <f>SUM(N6:N12)</f>
        <v>1694.1392967494558</v>
      </c>
      <c r="O5" s="17">
        <f>B38*B39*B40</f>
        <v>1.5633333333333335</v>
      </c>
      <c r="P5" s="17">
        <f>B46*B47*B48/1000-B46*B47*B48/1000/B49</f>
        <v>19.066666666666666</v>
      </c>
      <c r="R5" s="32"/>
    </row>
    <row r="6" spans="1:18">
      <c r="A6" s="32" t="s">
        <v>54</v>
      </c>
      <c r="B6" s="37">
        <f>B26</f>
        <v>4854.1300778900995</v>
      </c>
      <c r="C6" s="33"/>
      <c r="D6" s="37">
        <f>IF(ISERROR(TER_kantoor_gas_kWh/1000),0,TER_kantoor_gas_kWh/1000)*0.902</f>
        <v>3556.7951227572635</v>
      </c>
      <c r="E6" s="33">
        <f>$C$26*'E Balans VL '!I12/100/3.6*1000000</f>
        <v>18.859323031818096</v>
      </c>
      <c r="F6" s="33">
        <f>$C$26*('E Balans VL '!L12+'E Balans VL '!N12)/100/3.6*1000000</f>
        <v>738.26901578483864</v>
      </c>
      <c r="G6" s="34"/>
      <c r="H6" s="33"/>
      <c r="I6" s="33"/>
      <c r="J6" s="33">
        <f>$C$26*('E Balans VL '!D12+'E Balans VL '!E12)/100/3.6*1000000</f>
        <v>0</v>
      </c>
      <c r="K6" s="33"/>
      <c r="L6" s="33"/>
      <c r="M6" s="33"/>
      <c r="N6" s="33">
        <f>$C$26*'E Balans VL '!Y12/100/3.6*1000000</f>
        <v>2.6752071833799511</v>
      </c>
      <c r="O6" s="33"/>
      <c r="P6" s="33"/>
      <c r="R6" s="32"/>
    </row>
    <row r="7" spans="1:18">
      <c r="A7" s="32" t="s">
        <v>53</v>
      </c>
      <c r="B7" s="37">
        <f t="shared" ref="B7:B12" si="0">B27</f>
        <v>1467.9940751696101</v>
      </c>
      <c r="C7" s="33"/>
      <c r="D7" s="37">
        <f>IF(ISERROR(TER_horeca_gas_kWh/1000),0,TER_horeca_gas_kWh/1000)*0.902</f>
        <v>674.20614934975072</v>
      </c>
      <c r="E7" s="33">
        <f>$C$27*'E Balans VL '!I9/100/3.6*1000000</f>
        <v>82.69249873089332</v>
      </c>
      <c r="F7" s="33">
        <f>$C$27*('E Balans VL '!L9+'E Balans VL '!N9)/100/3.6*1000000</f>
        <v>423.28160426776037</v>
      </c>
      <c r="G7" s="34"/>
      <c r="H7" s="33"/>
      <c r="I7" s="33"/>
      <c r="J7" s="33">
        <f>$C$27*('E Balans VL '!D9+'E Balans VL '!E9)/100/3.6*1000000</f>
        <v>0</v>
      </c>
      <c r="K7" s="33"/>
      <c r="L7" s="33"/>
      <c r="M7" s="33"/>
      <c r="N7" s="33">
        <f>$C$27*'E Balans VL '!Y9/100/3.6*1000000</f>
        <v>0.40530553573938061</v>
      </c>
      <c r="O7" s="33"/>
      <c r="P7" s="33"/>
      <c r="R7" s="32"/>
    </row>
    <row r="8" spans="1:18">
      <c r="A8" s="6" t="s">
        <v>52</v>
      </c>
      <c r="B8" s="37">
        <f t="shared" si="0"/>
        <v>6508.9239509567306</v>
      </c>
      <c r="C8" s="33"/>
      <c r="D8" s="37">
        <f>IF(ISERROR(TER_handel_gas_kWh/1000),0,TER_handel_gas_kWh/1000)*0.902</f>
        <v>3869.8932520487242</v>
      </c>
      <c r="E8" s="33">
        <f>$C$28*'E Balans VL '!I13/100/3.6*1000000</f>
        <v>93.815676715572266</v>
      </c>
      <c r="F8" s="33">
        <f>$C$28*('E Balans VL '!L13+'E Balans VL '!N13)/100/3.6*1000000</f>
        <v>1130.7516728913813</v>
      </c>
      <c r="G8" s="34"/>
      <c r="H8" s="33"/>
      <c r="I8" s="33"/>
      <c r="J8" s="33">
        <f>$C$28*('E Balans VL '!D13+'E Balans VL '!E13)/100/3.6*1000000</f>
        <v>0</v>
      </c>
      <c r="K8" s="33"/>
      <c r="L8" s="33"/>
      <c r="M8" s="33"/>
      <c r="N8" s="33">
        <f>$C$28*'E Balans VL '!Y13/100/3.6*1000000</f>
        <v>19.501460745407215</v>
      </c>
      <c r="O8" s="33"/>
      <c r="P8" s="33"/>
      <c r="R8" s="32"/>
    </row>
    <row r="9" spans="1:18">
      <c r="A9" s="32" t="s">
        <v>51</v>
      </c>
      <c r="B9" s="37">
        <f t="shared" si="0"/>
        <v>974.95947993187997</v>
      </c>
      <c r="C9" s="33"/>
      <c r="D9" s="37">
        <f>IF(ISERROR(TER_gezond_gas_kWh/1000),0,TER_gezond_gas_kWh/1000)*0.902</f>
        <v>139.19535144730287</v>
      </c>
      <c r="E9" s="33">
        <f>$C$29*'E Balans VL '!I10/100/3.6*1000000</f>
        <v>1.0415094247843248</v>
      </c>
      <c r="F9" s="33">
        <f>$C$29*('E Balans VL '!L10+'E Balans VL '!N10)/100/3.6*1000000</f>
        <v>159.04552130736249</v>
      </c>
      <c r="G9" s="34"/>
      <c r="H9" s="33"/>
      <c r="I9" s="33"/>
      <c r="J9" s="33">
        <f>$C$29*('E Balans VL '!D10+'E Balans VL '!E10)/100/3.6*1000000</f>
        <v>0</v>
      </c>
      <c r="K9" s="33"/>
      <c r="L9" s="33"/>
      <c r="M9" s="33"/>
      <c r="N9" s="33">
        <f>$C$29*'E Balans VL '!Y10/100/3.6*1000000</f>
        <v>10.036651545117827</v>
      </c>
      <c r="O9" s="33"/>
      <c r="P9" s="33"/>
      <c r="R9" s="32"/>
    </row>
    <row r="10" spans="1:18">
      <c r="A10" s="32" t="s">
        <v>50</v>
      </c>
      <c r="B10" s="37">
        <f t="shared" si="0"/>
        <v>931.76924041181701</v>
      </c>
      <c r="C10" s="33"/>
      <c r="D10" s="37">
        <f>IF(ISERROR(TER_ander_gas_kWh/1000),0,TER_ander_gas_kWh/1000)*0.902</f>
        <v>236.597582019649</v>
      </c>
      <c r="E10" s="33">
        <f>$C$30*'E Balans VL '!I14/100/3.6*1000000</f>
        <v>4.2850650040311526</v>
      </c>
      <c r="F10" s="33">
        <f>$C$30*('E Balans VL '!L14+'E Balans VL '!N14)/100/3.6*1000000</f>
        <v>279.28063199484518</v>
      </c>
      <c r="G10" s="34"/>
      <c r="H10" s="33"/>
      <c r="I10" s="33"/>
      <c r="J10" s="33">
        <f>$C$30*('E Balans VL '!D14+'E Balans VL '!E14)/100/3.6*1000000</f>
        <v>0</v>
      </c>
      <c r="K10" s="33"/>
      <c r="L10" s="33"/>
      <c r="M10" s="33"/>
      <c r="N10" s="33">
        <f>$C$30*'E Balans VL '!Y14/100/3.6*1000000</f>
        <v>648.57289813042189</v>
      </c>
      <c r="O10" s="33"/>
      <c r="P10" s="33"/>
      <c r="R10" s="32"/>
    </row>
    <row r="11" spans="1:18">
      <c r="A11" s="32" t="s">
        <v>55</v>
      </c>
      <c r="B11" s="37">
        <f t="shared" si="0"/>
        <v>233.99716360446399</v>
      </c>
      <c r="C11" s="33"/>
      <c r="D11" s="37">
        <f>IF(ISERROR(TER_onderwijs_gas_kWh/1000),0,TER_onderwijs_gas_kWh/1000)*0.902</f>
        <v>278.53427609137367</v>
      </c>
      <c r="E11" s="33">
        <f>$C$31*'E Balans VL '!I11/100/3.6*1000000</f>
        <v>0.21706314192423373</v>
      </c>
      <c r="F11" s="33">
        <f>$C$31*('E Balans VL '!L11+'E Balans VL '!N11)/100/3.6*1000000</f>
        <v>82.197825536103309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12760.704410195</v>
      </c>
      <c r="C12" s="33"/>
      <c r="D12" s="37">
        <f>IF(ISERROR(TER_rest_gas_kWh/1000),0,TER_rest_gas_kWh/1000)*0.902</f>
        <v>6081.7895538787679</v>
      </c>
      <c r="E12" s="33">
        <f>$C$32*'E Balans VL '!I8/100/3.6*1000000</f>
        <v>154.78100057284806</v>
      </c>
      <c r="F12" s="33">
        <f>$C$32*('E Balans VL '!L8+'E Balans VL '!N8)/100/3.6*1000000</f>
        <v>2525.1054580073464</v>
      </c>
      <c r="G12" s="34"/>
      <c r="H12" s="33"/>
      <c r="I12" s="33"/>
      <c r="J12" s="33">
        <f>$C$32*('E Balans VL '!D8+'E Balans VL '!E8)/100/3.6*1000000</f>
        <v>0</v>
      </c>
      <c r="K12" s="33"/>
      <c r="L12" s="33"/>
      <c r="M12" s="33"/>
      <c r="N12" s="33">
        <f>$C$32*'E Balans VL '!Y8/100/3.6*1000000</f>
        <v>1012.9477736093894</v>
      </c>
      <c r="O12" s="33"/>
      <c r="P12" s="33"/>
      <c r="R12" s="32"/>
    </row>
    <row r="13" spans="1:18">
      <c r="A13" s="16" t="s">
        <v>497</v>
      </c>
      <c r="B13" s="249">
        <f ca="1">'lokale energieproductie'!N90+'lokale energieproductie'!N59</f>
        <v>909</v>
      </c>
      <c r="C13" s="249">
        <f ca="1">'lokale energieproductie'!O90+'lokale energieproductie'!O59</f>
        <v>1314.6428571428571</v>
      </c>
      <c r="D13" s="312">
        <f ca="1">('lokale energieproductie'!P59+'lokale energieproductie'!P90)*(-1)</f>
        <v>-2614.2857142857142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28641.478398159605</v>
      </c>
      <c r="C16" s="21">
        <f t="shared" ca="1" si="1"/>
        <v>1314.6428571428571</v>
      </c>
      <c r="D16" s="21">
        <f t="shared" ca="1" si="1"/>
        <v>12222.725573307118</v>
      </c>
      <c r="E16" s="21">
        <f t="shared" si="1"/>
        <v>355.69213662187144</v>
      </c>
      <c r="F16" s="21">
        <f t="shared" ca="1" si="1"/>
        <v>5337.9317297896378</v>
      </c>
      <c r="G16" s="21">
        <f t="shared" si="1"/>
        <v>0</v>
      </c>
      <c r="H16" s="21">
        <f t="shared" si="1"/>
        <v>0</v>
      </c>
      <c r="I16" s="21">
        <f t="shared" si="1"/>
        <v>0</v>
      </c>
      <c r="J16" s="21">
        <f t="shared" si="1"/>
        <v>0</v>
      </c>
      <c r="K16" s="21">
        <f t="shared" si="1"/>
        <v>0</v>
      </c>
      <c r="L16" s="21">
        <f t="shared" ca="1" si="1"/>
        <v>0</v>
      </c>
      <c r="M16" s="21">
        <f t="shared" si="1"/>
        <v>0</v>
      </c>
      <c r="N16" s="21">
        <f t="shared" ca="1" si="1"/>
        <v>1694.1392967494558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0.20841301556522124</v>
      </c>
      <c r="C18" s="25">
        <f ca="1">'EF ele_warmte'!B22</f>
        <v>0.23748674954225696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5969.2568832065854</v>
      </c>
      <c r="C20" s="23">
        <f t="shared" ref="C20:P20" ca="1" si="2">C16*C18</f>
        <v>312.21025895180281</v>
      </c>
      <c r="D20" s="23">
        <f t="shared" ca="1" si="2"/>
        <v>2468.9905658080379</v>
      </c>
      <c r="E20" s="23">
        <f t="shared" si="2"/>
        <v>80.74211501316482</v>
      </c>
      <c r="F20" s="23">
        <f t="shared" ca="1" si="2"/>
        <v>1425.2277718538335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4854.1300778900995</v>
      </c>
      <c r="C26" s="39">
        <f>IF(ISERROR(B26*3.6/1000000/'E Balans VL '!Z12*100),0,B26*3.6/1000000/'E Balans VL '!Z12*100)</f>
        <v>0.10310412727785553</v>
      </c>
      <c r="D26" s="239" t="s">
        <v>692</v>
      </c>
      <c r="F26" s="6"/>
    </row>
    <row r="27" spans="1:18">
      <c r="A27" s="233" t="s">
        <v>53</v>
      </c>
      <c r="B27" s="33">
        <f>IF(ISERROR(TER_horeca_ele_kWh/1000),0,TER_horeca_ele_kWh/1000)</f>
        <v>1467.9940751696101</v>
      </c>
      <c r="C27" s="39">
        <f>IF(ISERROR(B27*3.6/1000000/'E Balans VL '!Z9*100),0,B27*3.6/1000000/'E Balans VL '!Z9*100)</f>
        <v>0.11414547954329271</v>
      </c>
      <c r="D27" s="239" t="s">
        <v>692</v>
      </c>
      <c r="F27" s="6"/>
    </row>
    <row r="28" spans="1:18">
      <c r="A28" s="173" t="s">
        <v>52</v>
      </c>
      <c r="B28" s="33">
        <f>IF(ISERROR(TER_handel_ele_kWh/1000),0,TER_handel_ele_kWh/1000)</f>
        <v>6508.9239509567306</v>
      </c>
      <c r="C28" s="39">
        <f>IF(ISERROR(B28*3.6/1000000/'E Balans VL '!Z13*100),0,B28*3.6/1000000/'E Balans VL '!Z13*100)</f>
        <v>0.18622797447406989</v>
      </c>
      <c r="D28" s="239" t="s">
        <v>692</v>
      </c>
      <c r="F28" s="6"/>
    </row>
    <row r="29" spans="1:18">
      <c r="A29" s="233" t="s">
        <v>51</v>
      </c>
      <c r="B29" s="33">
        <f>IF(ISERROR(TER_gezond_ele_kWh/1000),0,TER_gezond_ele_kWh/1000)</f>
        <v>974.95947993187997</v>
      </c>
      <c r="C29" s="39">
        <f>IF(ISERROR(B29*3.6/1000000/'E Balans VL '!Z10*100),0,B29*3.6/1000000/'E Balans VL '!Z10*100)</f>
        <v>0.1062932386537921</v>
      </c>
      <c r="D29" s="239" t="s">
        <v>692</v>
      </c>
      <c r="F29" s="6"/>
    </row>
    <row r="30" spans="1:18">
      <c r="A30" s="233" t="s">
        <v>50</v>
      </c>
      <c r="B30" s="33">
        <f>IF(ISERROR(TER_ander_ele_kWh/1000),0,TER_ander_ele_kWh/1000)</f>
        <v>931.76924041181701</v>
      </c>
      <c r="C30" s="39">
        <f>IF(ISERROR(B30*3.6/1000000/'E Balans VL '!Z14*100),0,B30*3.6/1000000/'E Balans VL '!Z14*100)</f>
        <v>6.8184759344920354E-2</v>
      </c>
      <c r="D30" s="239" t="s">
        <v>692</v>
      </c>
      <c r="F30" s="6"/>
    </row>
    <row r="31" spans="1:18">
      <c r="A31" s="233" t="s">
        <v>55</v>
      </c>
      <c r="B31" s="33">
        <f>IF(ISERROR(TER_onderwijs_ele_kWh/1000),0,TER_onderwijs_ele_kWh/1000)</f>
        <v>233.99716360446399</v>
      </c>
      <c r="C31" s="39">
        <f>IF(ISERROR(B31*3.6/1000000/'E Balans VL '!Z11*100),0,B31*3.6/1000000/'E Balans VL '!Z11*100)</f>
        <v>4.6998504071458821E-2</v>
      </c>
      <c r="D31" s="239" t="s">
        <v>692</v>
      </c>
    </row>
    <row r="32" spans="1:18">
      <c r="A32" s="233" t="s">
        <v>260</v>
      </c>
      <c r="B32" s="33">
        <f>IF(ISERROR(TER_rest_ele_kWh/1000),0,TER_rest_ele_kWh/1000)</f>
        <v>12760.704410195</v>
      </c>
      <c r="C32" s="39">
        <f>IF(ISERROR(B32*3.6/1000000/'E Balans VL '!Z8*100),0,B32*3.6/1000000/'E Balans VL '!Z8*100)</f>
        <v>0.10399199686505305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46896.032952523288</v>
      </c>
      <c r="C5" s="17">
        <f>IF(ISERROR('Eigen informatie GS &amp; warmtenet'!B59),0,'Eigen informatie GS &amp; warmtenet'!B59)</f>
        <v>0</v>
      </c>
      <c r="D5" s="30">
        <f>SUM(D6:D15)</f>
        <v>39947.673751819035</v>
      </c>
      <c r="E5" s="17">
        <f>SUM(E6:E15)</f>
        <v>3140.4208793669941</v>
      </c>
      <c r="F5" s="17">
        <f>SUM(F6:F15)</f>
        <v>13314.999463537366</v>
      </c>
      <c r="G5" s="18"/>
      <c r="H5" s="17"/>
      <c r="I5" s="17"/>
      <c r="J5" s="17">
        <f>SUM(J6:J15)</f>
        <v>105.09446030318976</v>
      </c>
      <c r="K5" s="17"/>
      <c r="L5" s="17"/>
      <c r="M5" s="17"/>
      <c r="N5" s="17">
        <f>SUM(N6:N15)</f>
        <v>12720.429545567182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509.99715418788099</v>
      </c>
      <c r="C8" s="33"/>
      <c r="D8" s="37">
        <f>IF( ISERROR(IND_metaal_Gas_kWH/1000),0,IND_metaal_Gas_kWH/1000)*0.902</f>
        <v>0</v>
      </c>
      <c r="E8" s="33">
        <f>C30*'E Balans VL '!I18/100/3.6*1000000</f>
        <v>14.649032562749882</v>
      </c>
      <c r="F8" s="33">
        <f>C30*'E Balans VL '!L18/100/3.6*1000000+C30*'E Balans VL '!N18/100/3.6*1000000</f>
        <v>130.80446139430208</v>
      </c>
      <c r="G8" s="34"/>
      <c r="H8" s="33"/>
      <c r="I8" s="33"/>
      <c r="J8" s="40">
        <f>C30*'E Balans VL '!D18/100/3.6*1000000+C30*'E Balans VL '!E18/100/3.6*1000000</f>
        <v>0</v>
      </c>
      <c r="K8" s="33"/>
      <c r="L8" s="33"/>
      <c r="M8" s="33"/>
      <c r="N8" s="33">
        <f>C30*'E Balans VL '!Y18/100/3.6*1000000</f>
        <v>13.847463787886499</v>
      </c>
      <c r="O8" s="33"/>
      <c r="P8" s="33"/>
      <c r="R8" s="32"/>
    </row>
    <row r="9" spans="1:18">
      <c r="A9" s="6" t="s">
        <v>33</v>
      </c>
      <c r="B9" s="37">
        <f t="shared" si="0"/>
        <v>2723.9549194646102</v>
      </c>
      <c r="C9" s="33"/>
      <c r="D9" s="37">
        <f>IF( ISERROR(IND_andere_gas_kWh/1000),0,IND_andere_gas_kWh/1000)*0.902</f>
        <v>334.48909465494461</v>
      </c>
      <c r="E9" s="33">
        <f>C31*'E Balans VL '!I19/100/3.6*1000000</f>
        <v>737.30762270929279</v>
      </c>
      <c r="F9" s="33">
        <f>C31*'E Balans VL '!L19/100/3.6*1000000+C31*'E Balans VL '!N19/100/3.6*1000000</f>
        <v>1814.4422310074947</v>
      </c>
      <c r="G9" s="34"/>
      <c r="H9" s="33"/>
      <c r="I9" s="33"/>
      <c r="J9" s="40">
        <f>C31*'E Balans VL '!D19/100/3.6*1000000+C31*'E Balans VL '!E19/100/3.6*1000000</f>
        <v>0</v>
      </c>
      <c r="K9" s="33"/>
      <c r="L9" s="33"/>
      <c r="M9" s="33"/>
      <c r="N9" s="33">
        <f>C31*'E Balans VL '!Y19/100/3.6*1000000</f>
        <v>889.32603244019083</v>
      </c>
      <c r="O9" s="33"/>
      <c r="P9" s="33"/>
      <c r="R9" s="32"/>
    </row>
    <row r="10" spans="1:18">
      <c r="A10" s="6" t="s">
        <v>41</v>
      </c>
      <c r="B10" s="37">
        <f t="shared" si="0"/>
        <v>1083.47992911404</v>
      </c>
      <c r="C10" s="33"/>
      <c r="D10" s="37">
        <f>IF( ISERROR(IND_voed_gas_kWh/1000),0,IND_voed_gas_kWh/1000)*0.902</f>
        <v>0</v>
      </c>
      <c r="E10" s="33">
        <f>C32*'E Balans VL '!I20/100/3.6*1000000</f>
        <v>88.371112248905121</v>
      </c>
      <c r="F10" s="33">
        <f>C32*'E Balans VL '!L20/100/3.6*1000000+C32*'E Balans VL '!N20/100/3.6*1000000</f>
        <v>1615.5668762215435</v>
      </c>
      <c r="G10" s="34"/>
      <c r="H10" s="33"/>
      <c r="I10" s="33"/>
      <c r="J10" s="40">
        <f>C32*'E Balans VL '!D20/100/3.6*1000000+C32*'E Balans VL '!E20/100/3.6*1000000</f>
        <v>1.4333124293975423E-2</v>
      </c>
      <c r="K10" s="33"/>
      <c r="L10" s="33"/>
      <c r="M10" s="33"/>
      <c r="N10" s="33">
        <f>C32*'E Balans VL '!Y20/100/3.6*1000000</f>
        <v>318.28817128946878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36.670251633690597</v>
      </c>
      <c r="C12" s="33"/>
      <c r="D12" s="37">
        <f>IF( ISERROR(IND_min_gas_kWh/1000),0,IND_min_gas_kWh/1000)*0.902</f>
        <v>0</v>
      </c>
      <c r="E12" s="33">
        <f>C34*'E Balans VL '!I22/100/3.6*1000000</f>
        <v>0.28565327011872205</v>
      </c>
      <c r="F12" s="33">
        <f>C34*'E Balans VL '!L22/100/3.6*1000000+C34*'E Balans VL '!N22/100/3.6*1000000</f>
        <v>13.829765460439607</v>
      </c>
      <c r="G12" s="34"/>
      <c r="H12" s="33"/>
      <c r="I12" s="33"/>
      <c r="J12" s="40">
        <f>C34*'E Balans VL '!D22/100/3.6*1000000+C34*'E Balans VL '!E22/100/3.6*1000000</f>
        <v>0.20168317779784814</v>
      </c>
      <c r="K12" s="33"/>
      <c r="L12" s="33"/>
      <c r="M12" s="33"/>
      <c r="N12" s="33">
        <f>C34*'E Balans VL '!Y22/100/3.6*1000000</f>
        <v>0</v>
      </c>
      <c r="O12" s="33"/>
      <c r="P12" s="33"/>
      <c r="R12" s="32"/>
    </row>
    <row r="13" spans="1:18">
      <c r="A13" s="6" t="s">
        <v>39</v>
      </c>
      <c r="B13" s="37">
        <f t="shared" si="0"/>
        <v>1622.7458569632702</v>
      </c>
      <c r="C13" s="33"/>
      <c r="D13" s="37">
        <f>IF( ISERROR(IND_papier_gas_kWh/1000),0,IND_papier_gas_kWh/1000)*0.902</f>
        <v>0</v>
      </c>
      <c r="E13" s="33">
        <f>C35*'E Balans VL '!I23/100/3.6*1000000</f>
        <v>17.001219133856214</v>
      </c>
      <c r="F13" s="33">
        <f>C35*'E Balans VL '!L23/100/3.6*1000000+C35*'E Balans VL '!N23/100/3.6*1000000</f>
        <v>121.08958347186493</v>
      </c>
      <c r="G13" s="34"/>
      <c r="H13" s="33"/>
      <c r="I13" s="33"/>
      <c r="J13" s="40">
        <f>C35*'E Balans VL '!D23/100/3.6*1000000+C35*'E Balans VL '!E23/100/3.6*1000000</f>
        <v>0</v>
      </c>
      <c r="K13" s="33"/>
      <c r="L13" s="33"/>
      <c r="M13" s="33"/>
      <c r="N13" s="33">
        <f>C35*'E Balans VL '!Y23/100/3.6*1000000</f>
        <v>3468.4498921927852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40919.184841159797</v>
      </c>
      <c r="C15" s="33"/>
      <c r="D15" s="37">
        <f>IF( ISERROR(IND_rest_gas_kWh/1000),0,IND_rest_gas_kWh/1000)*0.902</f>
        <v>39613.184657164093</v>
      </c>
      <c r="E15" s="33">
        <f>C37*'E Balans VL '!I15/100/3.6*1000000</f>
        <v>2282.8062394420713</v>
      </c>
      <c r="F15" s="33">
        <f>C37*'E Balans VL '!L15/100/3.6*1000000+C37*'E Balans VL '!N15/100/3.6*1000000</f>
        <v>9619.2665459817217</v>
      </c>
      <c r="G15" s="34"/>
      <c r="H15" s="33"/>
      <c r="I15" s="33"/>
      <c r="J15" s="40">
        <f>C37*'E Balans VL '!D15/100/3.6*1000000+C37*'E Balans VL '!E15/100/3.6*1000000</f>
        <v>104.87844400109793</v>
      </c>
      <c r="K15" s="33"/>
      <c r="L15" s="33"/>
      <c r="M15" s="33"/>
      <c r="N15" s="33">
        <f>C37*'E Balans VL '!Y15/100/3.6*1000000</f>
        <v>8030.5179858568499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46896.032952523288</v>
      </c>
      <c r="C18" s="21">
        <f>C5+C16</f>
        <v>0</v>
      </c>
      <c r="D18" s="21">
        <f>MAX((D5+D16),0)</f>
        <v>39947.673751819035</v>
      </c>
      <c r="E18" s="21">
        <f>MAX((E5+E16),0)</f>
        <v>3140.4208793669941</v>
      </c>
      <c r="F18" s="21">
        <f>MAX((F5+F16),0)</f>
        <v>13314.999463537366</v>
      </c>
      <c r="G18" s="21"/>
      <c r="H18" s="21"/>
      <c r="I18" s="21"/>
      <c r="J18" s="21">
        <f>MAX((J5+J16),0)</f>
        <v>105.09446030318976</v>
      </c>
      <c r="K18" s="21"/>
      <c r="L18" s="21">
        <f>MAX((L5+L16),0)</f>
        <v>0</v>
      </c>
      <c r="M18" s="21"/>
      <c r="N18" s="21">
        <f>MAX((N5+N16),0)</f>
        <v>12720.429545567182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0.20841301556522124</v>
      </c>
      <c r="C20" s="25">
        <f ca="1">'EF ele_warmte'!B22</f>
        <v>0.23748674954225696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9773.7436456813648</v>
      </c>
      <c r="C22" s="23">
        <f ca="1">C18*C20</f>
        <v>0</v>
      </c>
      <c r="D22" s="23">
        <f>D18*D20</f>
        <v>8069.4300978674455</v>
      </c>
      <c r="E22" s="23">
        <f>E18*E20</f>
        <v>712.87553961630772</v>
      </c>
      <c r="F22" s="23">
        <f>F18*F20</f>
        <v>3555.1048567644771</v>
      </c>
      <c r="G22" s="23"/>
      <c r="H22" s="23"/>
      <c r="I22" s="23"/>
      <c r="J22" s="23">
        <f>J18*J20</f>
        <v>37.203438947329175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509.99715418788099</v>
      </c>
      <c r="C30" s="39">
        <f>IF(ISERROR(B30*3.6/1000000/'E Balans VL '!Z18*100),0,B30*3.6/1000000/'E Balans VL '!Z18*100)</f>
        <v>5.0182418088036126E-2</v>
      </c>
      <c r="D30" s="239" t="s">
        <v>692</v>
      </c>
    </row>
    <row r="31" spans="1:18">
      <c r="A31" s="6" t="s">
        <v>33</v>
      </c>
      <c r="B31" s="37">
        <f>IF( ISERROR(IND_ander_ele_kWh/1000),0,IND_ander_ele_kWh/1000)</f>
        <v>2723.9549194646102</v>
      </c>
      <c r="C31" s="39">
        <f>IF(ISERROR(B31*3.6/1000000/'E Balans VL '!Z19*100),0,B31*3.6/1000000/'E Balans VL '!Z19*100)</f>
        <v>0.11862606386524878</v>
      </c>
      <c r="D31" s="239" t="s">
        <v>692</v>
      </c>
    </row>
    <row r="32" spans="1:18">
      <c r="A32" s="173" t="s">
        <v>41</v>
      </c>
      <c r="B32" s="37">
        <f>IF( ISERROR(IND_voed_ele_kWh/1000),0,IND_voed_ele_kWh/1000)</f>
        <v>1083.47992911404</v>
      </c>
      <c r="C32" s="39">
        <f>IF(ISERROR(B32*3.6/1000000/'E Balans VL '!Z20*100),0,B32*3.6/1000000/'E Balans VL '!Z20*100)</f>
        <v>0.20557469106896212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36.670251633690597</v>
      </c>
      <c r="C34" s="39">
        <f>IF(ISERROR(B34*3.6/1000000/'E Balans VL '!Z22*100),0,B34*3.6/1000000/'E Balans VL '!Z22*100)</f>
        <v>5.1562056108861729E-3</v>
      </c>
      <c r="D34" s="239" t="s">
        <v>692</v>
      </c>
    </row>
    <row r="35" spans="1:5">
      <c r="A35" s="173" t="s">
        <v>39</v>
      </c>
      <c r="B35" s="37">
        <f>IF( ISERROR(IND_papier_ele_kWh/1000),0,IND_papier_ele_kWh/1000)</f>
        <v>1622.7458569632702</v>
      </c>
      <c r="C35" s="39">
        <f>IF(ISERROR(B35*3.6/1000000/'E Balans VL '!Z22*100),0,B35*3.6/1000000/'E Balans VL '!Z22*100)</f>
        <v>0.22817436259501897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40919.184841159797</v>
      </c>
      <c r="C37" s="39">
        <f>IF(ISERROR(B37*3.6/1000000/'E Balans VL '!Z15*100),0,B37*3.6/1000000/'E Balans VL '!Z15*100)</f>
        <v>0.31533257831996025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1629.6906797817335</v>
      </c>
      <c r="C5" s="17">
        <f>'Eigen informatie GS &amp; warmtenet'!B60</f>
        <v>0</v>
      </c>
      <c r="D5" s="30">
        <f>IF(ISERROR(SUM(LB_lb_gas_kWh,LB_rest_gas_kWh,onbekend_gas_kWh)/1000),0,SUM(LB_lb_gas_kWh,LB_rest_gas_kWh,onbekend_gas_kWh)/1000)*0.902</f>
        <v>1737.3553189814506</v>
      </c>
      <c r="E5" s="17">
        <f>B17*'E Balans VL '!I25/3.6*1000000/100</f>
        <v>20.536202033710538</v>
      </c>
      <c r="F5" s="17">
        <f>B17*('E Balans VL '!L25/3.6*1000000+'E Balans VL '!N25/3.6*1000000)/100</f>
        <v>5622.8411071569162</v>
      </c>
      <c r="G5" s="18"/>
      <c r="H5" s="17"/>
      <c r="I5" s="17"/>
      <c r="J5" s="17">
        <f>('E Balans VL '!D25+'E Balans VL '!E25)/3.6*1000000*landbouw!B17/100</f>
        <v>245.0869525693567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1629.6906797817335</v>
      </c>
      <c r="C8" s="21">
        <f>C5+C6</f>
        <v>0</v>
      </c>
      <c r="D8" s="21">
        <f>MAX((D5+D6),0)</f>
        <v>1737.3553189814506</v>
      </c>
      <c r="E8" s="21">
        <f>MAX((E5+E6),0)</f>
        <v>20.536202033710538</v>
      </c>
      <c r="F8" s="21">
        <f>MAX((F5+F6),0)</f>
        <v>5622.8411071569162</v>
      </c>
      <c r="G8" s="21"/>
      <c r="H8" s="21"/>
      <c r="I8" s="21"/>
      <c r="J8" s="21">
        <f>MAX((J5+J6),0)</f>
        <v>245.0869525693567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0.20841301556522124</v>
      </c>
      <c r="C10" s="31">
        <f ca="1">'EF ele_warmte'!B22</f>
        <v>0.23748674954225696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339.64874901184641</v>
      </c>
      <c r="C12" s="23">
        <f ca="1">C8*C10</f>
        <v>0</v>
      </c>
      <c r="D12" s="23">
        <f>D8*D10</f>
        <v>350.94577443425305</v>
      </c>
      <c r="E12" s="23">
        <f>E8*E10</f>
        <v>4.6617178616522921</v>
      </c>
      <c r="F12" s="23">
        <f>F8*F10</f>
        <v>1501.2985756108967</v>
      </c>
      <c r="G12" s="23"/>
      <c r="H12" s="23"/>
      <c r="I12" s="23"/>
      <c r="J12" s="23">
        <f>J8*J10</f>
        <v>86.760781209552263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0.22729048496086568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424.88758016330144</v>
      </c>
      <c r="C26" s="249">
        <f>B26*'GWP N2O_CH4'!B5</f>
        <v>8922.6391834293299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199.82814193383737</v>
      </c>
      <c r="C27" s="249">
        <f>B27*'GWP N2O_CH4'!B5</f>
        <v>4196.3909806105848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5.7183284819556084</v>
      </c>
      <c r="C28" s="249">
        <f>B28*'GWP N2O_CH4'!B4</f>
        <v>1772.6818294062386</v>
      </c>
      <c r="D28" s="50"/>
    </row>
    <row r="29" spans="1:4">
      <c r="A29" s="41" t="s">
        <v>277</v>
      </c>
      <c r="B29" s="249">
        <f>B34*'ha_N2O bodem landbouw'!B4</f>
        <v>12.217036143296578</v>
      </c>
      <c r="C29" s="249">
        <f>B29*'GWP N2O_CH4'!B4</f>
        <v>3787.2812044219395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3.0504718489488439E-3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5.5375303219936299E-5</v>
      </c>
      <c r="C5" s="448" t="s">
        <v>211</v>
      </c>
      <c r="D5" s="433">
        <f>SUM(D6:D11)</f>
        <v>8.5215815279926716E-5</v>
      </c>
      <c r="E5" s="433">
        <f>SUM(E6:E11)</f>
        <v>3.0362191047718159E-3</v>
      </c>
      <c r="F5" s="446" t="s">
        <v>211</v>
      </c>
      <c r="G5" s="433">
        <f>SUM(G6:G11)</f>
        <v>1.059802075812861</v>
      </c>
      <c r="H5" s="433">
        <f>SUM(H6:H11)</f>
        <v>0.13169343678549078</v>
      </c>
      <c r="I5" s="448" t="s">
        <v>211</v>
      </c>
      <c r="J5" s="448" t="s">
        <v>211</v>
      </c>
      <c r="K5" s="448" t="s">
        <v>211</v>
      </c>
      <c r="L5" s="448" t="s">
        <v>211</v>
      </c>
      <c r="M5" s="433">
        <f>SUM(M6:M11)</f>
        <v>5.3831697491590599E-2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1.7700478735951807E-5</v>
      </c>
      <c r="C6" s="949"/>
      <c r="D6" s="949">
        <f>vkm_2011_GW_PW*SUMIFS(TableVerdeelsleutelVkm[CNG],TableVerdeelsleutelVkm[Voertuigtype],"Lichte voertuigen")*SUMIFS(TableECFTransport[EnergieConsumptieFactor (PJ per km)],TableECFTransport[Index],CONCATENATE($A6,"_CNG_CNG"))</f>
        <v>2.5067339760614926E-5</v>
      </c>
      <c r="E6" s="949">
        <f>vkm_2011_GW_PW*SUMIFS(TableVerdeelsleutelVkm[LPG],TableVerdeelsleutelVkm[Voertuigtype],"Lichte voertuigen")*SUMIFS(TableECFTransport[EnergieConsumptieFactor (PJ per km)],TableECFTransport[Index],CONCATENATE($A6,"_LPG_LPG"))</f>
        <v>7.8728261801977591E-4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0.14149624386169038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3.7915057106771823E-2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8.1171405241944328E-3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0.11225834524685392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3.9884226310604045E-5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5.0658638478324833E-3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4.2502979868518245E-6</v>
      </c>
      <c r="C8" s="949"/>
      <c r="D8" s="436">
        <f>vkm_2011_NGW_PW*SUMIFS(TableVerdeelsleutelVkm[CNG],TableVerdeelsleutelVkm[Voertuigtype],"Lichte voertuigen")*SUMIFS(TableECFTransport[EnergieConsumptieFactor (PJ per km)],TableECFTransport[Index],CONCATENATE($A8,"_CNG_CNG"))</f>
        <v>1.0723402255827681E-5</v>
      </c>
      <c r="E8" s="436">
        <f>vkm_2011_NGW_PW*SUMIFS(TableVerdeelsleutelVkm[LPG],TableVerdeelsleutelVkm[Voertuigtype],"Lichte voertuigen")*SUMIFS(TableECFTransport[EnergieConsumptieFactor (PJ per km)],TableECFTransport[Index],CONCATENATE($A8,"_LPG_LPG"))</f>
        <v>3.1020391580397925E-4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5.2582571775090362E-2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1.5650171691589075E-2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3.0878394914561169E-3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2.6277259510348667E-2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8.834608473963803E-6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1.1857866254890708E-3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3.3424526497132665E-5</v>
      </c>
      <c r="C10" s="949"/>
      <c r="D10" s="436">
        <f>vkm_2011_SW_PW*SUMIFS(TableVerdeelsleutelVkm[CNG],TableVerdeelsleutelVkm[Voertuigtype],"Lichte voertuigen")*SUMIFS(TableECFTransport[EnergieConsumptieFactor (PJ per km)],TableECFTransport[Index],CONCATENATE($A10,"_CNG_CNG"))</f>
        <v>4.9425073263484101E-5</v>
      </c>
      <c r="E10" s="436">
        <f>vkm_2011_SW_PW*SUMIFS(TableVerdeelsleutelVkm[LPG],TableVerdeelsleutelVkm[Voertuigtype],"Lichte voertuigen")*SUMIFS(TableECFTransport[EnergieConsumptieFactor (PJ per km)],TableECFTransport[Index],CONCATENATE($A10,"_LPG_LPG"))</f>
        <v>1.9387325709480611E-3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0.31556866730579342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7.7921779831070889E-2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1.7799480349593791E-2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0.41161898811308434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1.5770932127443771E-4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1.8575586653024712E-2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15.382028672204529</v>
      </c>
      <c r="C14" s="21"/>
      <c r="D14" s="21">
        <f t="shared" ref="D14:M14" si="0">((D5)*10^9/3600)+D12</f>
        <v>23.671059799979641</v>
      </c>
      <c r="E14" s="21">
        <f t="shared" si="0"/>
        <v>843.39419576994896</v>
      </c>
      <c r="F14" s="21"/>
      <c r="G14" s="21">
        <f t="shared" si="0"/>
        <v>294389.46550357249</v>
      </c>
      <c r="H14" s="21">
        <f t="shared" si="0"/>
        <v>36581.510218191885</v>
      </c>
      <c r="I14" s="21"/>
      <c r="J14" s="21"/>
      <c r="K14" s="21"/>
      <c r="L14" s="21"/>
      <c r="M14" s="21">
        <f t="shared" si="0"/>
        <v>14953.249303219611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0.20841301556522124</v>
      </c>
      <c r="C16" s="56">
        <f ca="1">'EF ele_warmte'!B22</f>
        <v>0.23748674954225696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3.205814981084842</v>
      </c>
      <c r="C18" s="23"/>
      <c r="D18" s="23">
        <f t="shared" ref="D18:M18" si="1">D14*D16</f>
        <v>4.781554079595888</v>
      </c>
      <c r="E18" s="23">
        <f t="shared" si="1"/>
        <v>191.45048243977843</v>
      </c>
      <c r="F18" s="23"/>
      <c r="G18" s="23">
        <f t="shared" si="1"/>
        <v>78601.987289453857</v>
      </c>
      <c r="H18" s="23">
        <f t="shared" si="1"/>
        <v>9108.7960443297798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2.8931841293729174E-3</v>
      </c>
      <c r="H50" s="323">
        <f t="shared" si="2"/>
        <v>0</v>
      </c>
      <c r="I50" s="323">
        <f t="shared" si="2"/>
        <v>0</v>
      </c>
      <c r="J50" s="323">
        <f t="shared" si="2"/>
        <v>0</v>
      </c>
      <c r="K50" s="323">
        <f t="shared" si="2"/>
        <v>0</v>
      </c>
      <c r="L50" s="323">
        <f t="shared" si="2"/>
        <v>0</v>
      </c>
      <c r="M50" s="323">
        <f t="shared" si="2"/>
        <v>1.2866697471966134E-4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2.8931841293729174E-3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1.2866697471966134E-4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803.66225815914379</v>
      </c>
      <c r="H54" s="21">
        <f t="shared" si="3"/>
        <v>0</v>
      </c>
      <c r="I54" s="21">
        <f t="shared" si="3"/>
        <v>0</v>
      </c>
      <c r="J54" s="21">
        <f t="shared" si="3"/>
        <v>0</v>
      </c>
      <c r="K54" s="21">
        <f t="shared" si="3"/>
        <v>0</v>
      </c>
      <c r="L54" s="21">
        <f t="shared" si="3"/>
        <v>0</v>
      </c>
      <c r="M54" s="21">
        <f t="shared" si="3"/>
        <v>35.740826311017038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0.20841301556522124</v>
      </c>
      <c r="C56" s="56">
        <f ca="1">'EF ele_warmte'!B22</f>
        <v>0.23748674954225696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214.5778229284914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5932.6386352515328</v>
      </c>
      <c r="C6" s="1251"/>
      <c r="D6" s="1236"/>
      <c r="E6" s="1236"/>
      <c r="F6" s="1254"/>
      <c r="G6" s="1257"/>
      <c r="H6" s="1248"/>
      <c r="I6" s="1236"/>
      <c r="J6" s="1236"/>
      <c r="K6" s="1236"/>
      <c r="L6" s="1240"/>
      <c r="M6" s="561"/>
      <c r="N6" s="1214"/>
      <c r="O6" s="1215"/>
      <c r="Q6" s="559"/>
      <c r="R6" s="1202"/>
      <c r="S6" s="1202"/>
    </row>
    <row r="7" spans="1:19" s="549" customFormat="1">
      <c r="A7" s="562" t="s">
        <v>252</v>
      </c>
      <c r="B7" s="563">
        <f>N57</f>
        <v>909</v>
      </c>
      <c r="C7" s="564">
        <f>B100</f>
        <v>1068.6903729401563</v>
      </c>
      <c r="D7" s="565"/>
      <c r="E7" s="565">
        <f>E100</f>
        <v>0</v>
      </c>
      <c r="F7" s="566"/>
      <c r="G7" s="567"/>
      <c r="H7" s="565">
        <f>I100</f>
        <v>0</v>
      </c>
      <c r="I7" s="565">
        <f>G100+F100</f>
        <v>0</v>
      </c>
      <c r="J7" s="565">
        <f>H100+D100+C100</f>
        <v>0</v>
      </c>
      <c r="K7" s="565"/>
      <c r="L7" s="568"/>
      <c r="M7" s="569">
        <f>C7*$C$11+D7*$D$11+E7*$E$11+F7*$F$11+G7*$G$11+H7*$H$11+I7*$I$11+J7*$J$11</f>
        <v>215.87545533391159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6841.6386352515328</v>
      </c>
      <c r="C9" s="580">
        <f t="shared" ref="C9:L9" si="0">SUM(C7:C8)</f>
        <v>1068.6903729401563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215.87545533391159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1314.6428571428571</v>
      </c>
      <c r="C16" s="596">
        <f>B101</f>
        <v>1545.5953413455584</v>
      </c>
      <c r="D16" s="597"/>
      <c r="E16" s="597">
        <f>E101</f>
        <v>0</v>
      </c>
      <c r="F16" s="598"/>
      <c r="G16" s="599"/>
      <c r="H16" s="596">
        <f>I101</f>
        <v>0</v>
      </c>
      <c r="I16" s="597">
        <f>G101+F101</f>
        <v>0</v>
      </c>
      <c r="J16" s="597">
        <f>H101+D101+C101</f>
        <v>0</v>
      </c>
      <c r="K16" s="597"/>
      <c r="L16" s="600"/>
      <c r="M16" s="601">
        <f>C16*$C$21+E16*$E$21+H16*$H$21+I16*$I$21+J16*$J$21+D16*$D$21+F16*$F$21+G16*$G$21+K16*$K$21+L16*$L$21</f>
        <v>312.21025895180281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1314.6428571428571</v>
      </c>
      <c r="C19" s="579">
        <f>SUM(C16:C18)</f>
        <v>1545.5953413455584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312.21025895180281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44048</v>
      </c>
      <c r="C27" s="839">
        <v>9810</v>
      </c>
      <c r="D27" s="658" t="s">
        <v>878</v>
      </c>
      <c r="E27" s="657" t="s">
        <v>879</v>
      </c>
      <c r="F27" s="657" t="s">
        <v>880</v>
      </c>
      <c r="G27" s="657" t="s">
        <v>881</v>
      </c>
      <c r="H27" s="657" t="s">
        <v>882</v>
      </c>
      <c r="I27" s="657" t="s">
        <v>883</v>
      </c>
      <c r="J27" s="838">
        <v>39785</v>
      </c>
      <c r="K27" s="838">
        <v>40544</v>
      </c>
      <c r="L27" s="657" t="s">
        <v>884</v>
      </c>
      <c r="M27" s="657">
        <v>80</v>
      </c>
      <c r="N27" s="657">
        <v>360</v>
      </c>
      <c r="O27" s="657">
        <v>514.28571428571433</v>
      </c>
      <c r="P27" s="657">
        <v>1028.5714285714287</v>
      </c>
      <c r="Q27" s="657">
        <v>0</v>
      </c>
      <c r="R27" s="657">
        <v>0</v>
      </c>
      <c r="S27" s="657">
        <v>0</v>
      </c>
      <c r="T27" s="657">
        <v>0</v>
      </c>
      <c r="U27" s="657">
        <v>0</v>
      </c>
      <c r="V27" s="657">
        <v>0</v>
      </c>
      <c r="W27" s="657">
        <v>0</v>
      </c>
      <c r="X27" s="657">
        <v>1500</v>
      </c>
      <c r="Y27" s="657" t="s">
        <v>51</v>
      </c>
      <c r="Z27" s="659" t="s">
        <v>156</v>
      </c>
    </row>
    <row r="28" spans="1:26" s="611" customFormat="1" ht="25.5">
      <c r="A28" s="610"/>
      <c r="B28" s="839">
        <v>44048</v>
      </c>
      <c r="C28" s="839">
        <v>9810</v>
      </c>
      <c r="D28" s="658" t="s">
        <v>885</v>
      </c>
      <c r="E28" s="657" t="s">
        <v>886</v>
      </c>
      <c r="F28" s="657" t="s">
        <v>887</v>
      </c>
      <c r="G28" s="657" t="s">
        <v>881</v>
      </c>
      <c r="H28" s="657" t="s">
        <v>882</v>
      </c>
      <c r="I28" s="657" t="s">
        <v>886</v>
      </c>
      <c r="J28" s="838">
        <v>39800</v>
      </c>
      <c r="K28" s="838">
        <v>40087</v>
      </c>
      <c r="L28" s="657" t="s">
        <v>884</v>
      </c>
      <c r="M28" s="657">
        <v>120</v>
      </c>
      <c r="N28" s="657">
        <v>540</v>
      </c>
      <c r="O28" s="657">
        <v>771.42857142857144</v>
      </c>
      <c r="P28" s="657">
        <v>1542.8571428571429</v>
      </c>
      <c r="Q28" s="657">
        <v>0</v>
      </c>
      <c r="R28" s="657">
        <v>0</v>
      </c>
      <c r="S28" s="657">
        <v>0</v>
      </c>
      <c r="T28" s="657">
        <v>0</v>
      </c>
      <c r="U28" s="657">
        <v>0</v>
      </c>
      <c r="V28" s="657">
        <v>0</v>
      </c>
      <c r="W28" s="657">
        <v>0</v>
      </c>
      <c r="X28" s="657">
        <v>1100</v>
      </c>
      <c r="Y28" s="657" t="s">
        <v>52</v>
      </c>
      <c r="Z28" s="659" t="s">
        <v>156</v>
      </c>
    </row>
    <row r="29" spans="1:26" s="611" customFormat="1" ht="63.75">
      <c r="A29" s="610"/>
      <c r="B29" s="839">
        <v>44048</v>
      </c>
      <c r="C29" s="839">
        <v>9810</v>
      </c>
      <c r="D29" s="658" t="s">
        <v>888</v>
      </c>
      <c r="E29" s="657" t="s">
        <v>889</v>
      </c>
      <c r="F29" s="657" t="s">
        <v>890</v>
      </c>
      <c r="G29" s="657" t="s">
        <v>891</v>
      </c>
      <c r="H29" s="657" t="s">
        <v>882</v>
      </c>
      <c r="I29" s="657" t="s">
        <v>889</v>
      </c>
      <c r="J29" s="838">
        <v>40471</v>
      </c>
      <c r="K29" s="838">
        <v>40848</v>
      </c>
      <c r="L29" s="657" t="s">
        <v>884</v>
      </c>
      <c r="M29" s="657">
        <v>1</v>
      </c>
      <c r="N29" s="657">
        <v>4.5</v>
      </c>
      <c r="O29" s="657">
        <v>6.4285714285714288</v>
      </c>
      <c r="P29" s="657">
        <v>12.857142857142858</v>
      </c>
      <c r="Q29" s="657">
        <v>0</v>
      </c>
      <c r="R29" s="657">
        <v>0</v>
      </c>
      <c r="S29" s="657">
        <v>0</v>
      </c>
      <c r="T29" s="657">
        <v>0</v>
      </c>
      <c r="U29" s="657">
        <v>0</v>
      </c>
      <c r="V29" s="657">
        <v>0</v>
      </c>
      <c r="W29" s="657">
        <v>0</v>
      </c>
      <c r="X29" s="657">
        <v>1600</v>
      </c>
      <c r="Y29" s="657" t="s">
        <v>50</v>
      </c>
      <c r="Z29" s="659" t="s">
        <v>156</v>
      </c>
    </row>
    <row r="30" spans="1:26" s="611" customFormat="1" ht="63.75">
      <c r="A30" s="610"/>
      <c r="B30" s="839">
        <v>44048</v>
      </c>
      <c r="C30" s="839">
        <v>9810</v>
      </c>
      <c r="D30" s="658" t="s">
        <v>892</v>
      </c>
      <c r="E30" s="657" t="s">
        <v>893</v>
      </c>
      <c r="F30" s="657" t="s">
        <v>894</v>
      </c>
      <c r="G30" s="657" t="s">
        <v>891</v>
      </c>
      <c r="H30" s="657" t="s">
        <v>891</v>
      </c>
      <c r="I30" s="657" t="s">
        <v>893</v>
      </c>
      <c r="J30" s="838">
        <v>40535</v>
      </c>
      <c r="K30" s="838">
        <v>40634</v>
      </c>
      <c r="L30" s="657" t="s">
        <v>884</v>
      </c>
      <c r="M30" s="657">
        <v>1</v>
      </c>
      <c r="N30" s="657">
        <v>4.5</v>
      </c>
      <c r="O30" s="657">
        <v>22.5</v>
      </c>
      <c r="P30" s="657">
        <v>30</v>
      </c>
      <c r="Q30" s="657">
        <v>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202</v>
      </c>
      <c r="N57" s="615">
        <f>SUM(N27:N56)</f>
        <v>909</v>
      </c>
      <c r="O57" s="615">
        <f t="shared" ref="O57:W57" si="2">SUM(O27:O56)</f>
        <v>1314.6428571428571</v>
      </c>
      <c r="P57" s="615">
        <f t="shared" si="2"/>
        <v>2614.2857142857142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202</v>
      </c>
      <c r="N59" s="615">
        <f ca="1">SUMIF($Z$27:AB56,"tertiair",N27:N56)</f>
        <v>909</v>
      </c>
      <c r="O59" s="615">
        <f ca="1">SUMIF($Z$27:AC56,"tertiair",O27:O56)</f>
        <v>1314.6428571428571</v>
      </c>
      <c r="P59" s="615">
        <f ca="1">SUMIF($Z$27:AD56,"tertiair",P27:P56)</f>
        <v>2614.2857142857142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0.5912113327551316</v>
      </c>
      <c r="C97" s="640">
        <f>IF(ISERROR(N57/(O57+N57)),0,N57/(N57+O57))</f>
        <v>0.40878866724486851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1068.6903729401563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1545.5953413455584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29652.900398159603</v>
      </c>
      <c r="D10" s="704">
        <f ca="1">tertiair!C16</f>
        <v>1314.6428571428571</v>
      </c>
      <c r="E10" s="704">
        <f ca="1">tertiair!D16</f>
        <v>12222.725573307118</v>
      </c>
      <c r="F10" s="704">
        <f>tertiair!E16</f>
        <v>355.69213662187144</v>
      </c>
      <c r="G10" s="704">
        <f ca="1">tertiair!F16</f>
        <v>5337.9317297896378</v>
      </c>
      <c r="H10" s="704">
        <f>tertiair!G16</f>
        <v>0</v>
      </c>
      <c r="I10" s="704">
        <f>tertiair!H16</f>
        <v>0</v>
      </c>
      <c r="J10" s="704">
        <f>tertiair!I16</f>
        <v>0</v>
      </c>
      <c r="K10" s="704">
        <f>tertiair!J16</f>
        <v>0</v>
      </c>
      <c r="L10" s="704">
        <f>tertiair!K16</f>
        <v>0</v>
      </c>
      <c r="M10" s="704">
        <f ca="1">tertiair!L16</f>
        <v>0</v>
      </c>
      <c r="N10" s="704">
        <f>tertiair!M16</f>
        <v>0</v>
      </c>
      <c r="O10" s="704">
        <f ca="1">tertiair!N16</f>
        <v>1694.1392967494558</v>
      </c>
      <c r="P10" s="704">
        <f>tertiair!O16</f>
        <v>1.5633333333333335</v>
      </c>
      <c r="Q10" s="705">
        <f>tertiair!P16</f>
        <v>19.066666666666666</v>
      </c>
      <c r="R10" s="707">
        <f ca="1">SUM(C10:Q10)</f>
        <v>50598.661991770539</v>
      </c>
      <c r="S10" s="67"/>
    </row>
    <row r="11" spans="1:19" s="459" customFormat="1">
      <c r="A11" s="858" t="s">
        <v>225</v>
      </c>
      <c r="B11" s="863"/>
      <c r="C11" s="704">
        <f>huishoudens!B8</f>
        <v>24779.560784672267</v>
      </c>
      <c r="D11" s="704">
        <f>huishoudens!C8</f>
        <v>0</v>
      </c>
      <c r="E11" s="704">
        <f>huishoudens!D8</f>
        <v>20627.611895833186</v>
      </c>
      <c r="F11" s="704">
        <f>huishoudens!E8</f>
        <v>2281.4898995396234</v>
      </c>
      <c r="G11" s="704">
        <f>huishoudens!F8</f>
        <v>43637.567629129844</v>
      </c>
      <c r="H11" s="704">
        <f>huishoudens!G8</f>
        <v>0</v>
      </c>
      <c r="I11" s="704">
        <f>huishoudens!H8</f>
        <v>0</v>
      </c>
      <c r="J11" s="704">
        <f>huishoudens!I8</f>
        <v>0</v>
      </c>
      <c r="K11" s="704">
        <f>huishoudens!J8</f>
        <v>1232.6971588343163</v>
      </c>
      <c r="L11" s="704">
        <f>huishoudens!K8</f>
        <v>0</v>
      </c>
      <c r="M11" s="704">
        <f>huishoudens!L8</f>
        <v>0</v>
      </c>
      <c r="N11" s="704">
        <f>huishoudens!M8</f>
        <v>0</v>
      </c>
      <c r="O11" s="704">
        <f>huishoudens!N8</f>
        <v>12218.771336812895</v>
      </c>
      <c r="P11" s="704">
        <f>huishoudens!O8</f>
        <v>193.85333333333335</v>
      </c>
      <c r="Q11" s="705">
        <f>huishoudens!P8</f>
        <v>572</v>
      </c>
      <c r="R11" s="707">
        <f>SUM(C11:Q11)</f>
        <v>105543.55203815545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46896.032952523288</v>
      </c>
      <c r="D13" s="704">
        <f>industrie!C18</f>
        <v>0</v>
      </c>
      <c r="E13" s="704">
        <f>industrie!D18</f>
        <v>39947.673751819035</v>
      </c>
      <c r="F13" s="704">
        <f>industrie!E18</f>
        <v>3140.4208793669941</v>
      </c>
      <c r="G13" s="704">
        <f>industrie!F18</f>
        <v>13314.999463537366</v>
      </c>
      <c r="H13" s="704">
        <f>industrie!G18</f>
        <v>0</v>
      </c>
      <c r="I13" s="704">
        <f>industrie!H18</f>
        <v>0</v>
      </c>
      <c r="J13" s="704">
        <f>industrie!I18</f>
        <v>0</v>
      </c>
      <c r="K13" s="704">
        <f>industrie!J18</f>
        <v>105.09446030318976</v>
      </c>
      <c r="L13" s="704">
        <f>industrie!K18</f>
        <v>0</v>
      </c>
      <c r="M13" s="704">
        <f>industrie!L18</f>
        <v>0</v>
      </c>
      <c r="N13" s="704">
        <f>industrie!M18</f>
        <v>0</v>
      </c>
      <c r="O13" s="704">
        <f>industrie!N18</f>
        <v>12720.429545567182</v>
      </c>
      <c r="P13" s="704">
        <f>industrie!O18</f>
        <v>0</v>
      </c>
      <c r="Q13" s="705">
        <f>industrie!P18</f>
        <v>0</v>
      </c>
      <c r="R13" s="707">
        <f>SUM(C13:Q13)</f>
        <v>116124.65105311708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101328.49413535517</v>
      </c>
      <c r="D15" s="709">
        <f t="shared" ref="D15:Q15" ca="1" si="0">SUM(D9:D14)</f>
        <v>1314.6428571428571</v>
      </c>
      <c r="E15" s="709">
        <f t="shared" ca="1" si="0"/>
        <v>72798.011220959335</v>
      </c>
      <c r="F15" s="709">
        <f t="shared" si="0"/>
        <v>5777.6029155284887</v>
      </c>
      <c r="G15" s="709">
        <f t="shared" ca="1" si="0"/>
        <v>62290.498822456844</v>
      </c>
      <c r="H15" s="709">
        <f t="shared" si="0"/>
        <v>0</v>
      </c>
      <c r="I15" s="709">
        <f t="shared" si="0"/>
        <v>0</v>
      </c>
      <c r="J15" s="709">
        <f t="shared" si="0"/>
        <v>0</v>
      </c>
      <c r="K15" s="709">
        <f t="shared" si="0"/>
        <v>1337.7916191375061</v>
      </c>
      <c r="L15" s="709">
        <f t="shared" si="0"/>
        <v>0</v>
      </c>
      <c r="M15" s="709">
        <f t="shared" ca="1" si="0"/>
        <v>0</v>
      </c>
      <c r="N15" s="709">
        <f t="shared" si="0"/>
        <v>0</v>
      </c>
      <c r="O15" s="709">
        <f t="shared" ca="1" si="0"/>
        <v>26633.340179129533</v>
      </c>
      <c r="P15" s="709">
        <f t="shared" si="0"/>
        <v>195.41666666666669</v>
      </c>
      <c r="Q15" s="710">
        <f t="shared" si="0"/>
        <v>591.06666666666672</v>
      </c>
      <c r="R15" s="711">
        <f ca="1">SUM(R9:R14)</f>
        <v>272266.86508304306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803.66225815914379</v>
      </c>
      <c r="I18" s="704">
        <f>transport!H54</f>
        <v>0</v>
      </c>
      <c r="J18" s="704">
        <f>transport!I54</f>
        <v>0</v>
      </c>
      <c r="K18" s="704">
        <f>transport!J54</f>
        <v>0</v>
      </c>
      <c r="L18" s="704">
        <f>transport!K54</f>
        <v>0</v>
      </c>
      <c r="M18" s="704">
        <f>transport!L54</f>
        <v>0</v>
      </c>
      <c r="N18" s="704">
        <f>transport!M54</f>
        <v>35.740826311017038</v>
      </c>
      <c r="O18" s="704">
        <f>transport!N54</f>
        <v>0</v>
      </c>
      <c r="P18" s="704">
        <f>transport!O54</f>
        <v>0</v>
      </c>
      <c r="Q18" s="705">
        <f>transport!P54</f>
        <v>0</v>
      </c>
      <c r="R18" s="707">
        <f>SUM(C18:Q18)</f>
        <v>839.40308447016082</v>
      </c>
      <c r="S18" s="67"/>
    </row>
    <row r="19" spans="1:19" s="459" customFormat="1" ht="15" thickBot="1">
      <c r="A19" s="858" t="s">
        <v>307</v>
      </c>
      <c r="B19" s="863"/>
      <c r="C19" s="713">
        <f>transport!B14</f>
        <v>15.382028672204529</v>
      </c>
      <c r="D19" s="713">
        <f>transport!C14</f>
        <v>0</v>
      </c>
      <c r="E19" s="713">
        <f>transport!D14</f>
        <v>23.671059799979641</v>
      </c>
      <c r="F19" s="713">
        <f>transport!E14</f>
        <v>843.39419576994896</v>
      </c>
      <c r="G19" s="713">
        <f>transport!F14</f>
        <v>0</v>
      </c>
      <c r="H19" s="713">
        <f>transport!G14</f>
        <v>294389.46550357249</v>
      </c>
      <c r="I19" s="713">
        <f>transport!H14</f>
        <v>36581.510218191885</v>
      </c>
      <c r="J19" s="713">
        <f>transport!I14</f>
        <v>0</v>
      </c>
      <c r="K19" s="713">
        <f>transport!J14</f>
        <v>0</v>
      </c>
      <c r="L19" s="713">
        <f>transport!K14</f>
        <v>0</v>
      </c>
      <c r="M19" s="713">
        <f>transport!L14</f>
        <v>0</v>
      </c>
      <c r="N19" s="713">
        <f>transport!M14</f>
        <v>14953.249303219611</v>
      </c>
      <c r="O19" s="713">
        <f>transport!N14</f>
        <v>0</v>
      </c>
      <c r="P19" s="713">
        <f>transport!O14</f>
        <v>0</v>
      </c>
      <c r="Q19" s="714">
        <f>transport!P14</f>
        <v>0</v>
      </c>
      <c r="R19" s="715">
        <f>SUM(C19:Q19)</f>
        <v>346806.67230922612</v>
      </c>
      <c r="S19" s="67"/>
    </row>
    <row r="20" spans="1:19" s="459" customFormat="1" ht="15.75" thickBot="1">
      <c r="A20" s="716" t="s">
        <v>230</v>
      </c>
      <c r="B20" s="866"/>
      <c r="C20" s="861">
        <f>SUM(C17:C19)</f>
        <v>15.382028672204529</v>
      </c>
      <c r="D20" s="717">
        <f t="shared" ref="D20:R20" si="1">SUM(D17:D19)</f>
        <v>0</v>
      </c>
      <c r="E20" s="717">
        <f t="shared" si="1"/>
        <v>23.671059799979641</v>
      </c>
      <c r="F20" s="717">
        <f t="shared" si="1"/>
        <v>843.39419576994896</v>
      </c>
      <c r="G20" s="717">
        <f t="shared" si="1"/>
        <v>0</v>
      </c>
      <c r="H20" s="717">
        <f t="shared" si="1"/>
        <v>295193.12776173162</v>
      </c>
      <c r="I20" s="717">
        <f t="shared" si="1"/>
        <v>36581.510218191885</v>
      </c>
      <c r="J20" s="717">
        <f t="shared" si="1"/>
        <v>0</v>
      </c>
      <c r="K20" s="717">
        <f t="shared" si="1"/>
        <v>0</v>
      </c>
      <c r="L20" s="717">
        <f t="shared" si="1"/>
        <v>0</v>
      </c>
      <c r="M20" s="717">
        <f t="shared" si="1"/>
        <v>0</v>
      </c>
      <c r="N20" s="717">
        <f t="shared" si="1"/>
        <v>14988.990129530628</v>
      </c>
      <c r="O20" s="717">
        <f t="shared" si="1"/>
        <v>0</v>
      </c>
      <c r="P20" s="717">
        <f t="shared" si="1"/>
        <v>0</v>
      </c>
      <c r="Q20" s="718">
        <f t="shared" si="1"/>
        <v>0</v>
      </c>
      <c r="R20" s="719">
        <f t="shared" si="1"/>
        <v>347646.07539369626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1629.6906797817335</v>
      </c>
      <c r="D22" s="713">
        <f>+landbouw!C8</f>
        <v>0</v>
      </c>
      <c r="E22" s="713">
        <f>+landbouw!D8</f>
        <v>1737.3553189814506</v>
      </c>
      <c r="F22" s="713">
        <f>+landbouw!E8</f>
        <v>20.536202033710538</v>
      </c>
      <c r="G22" s="713">
        <f>+landbouw!F8</f>
        <v>5622.8411071569162</v>
      </c>
      <c r="H22" s="713">
        <f>+landbouw!G8</f>
        <v>0</v>
      </c>
      <c r="I22" s="713">
        <f>+landbouw!H8</f>
        <v>0</v>
      </c>
      <c r="J22" s="713">
        <f>+landbouw!I8</f>
        <v>0</v>
      </c>
      <c r="K22" s="713">
        <f>+landbouw!J8</f>
        <v>245.0869525693567</v>
      </c>
      <c r="L22" s="713">
        <f>+landbouw!K8</f>
        <v>0</v>
      </c>
      <c r="M22" s="713">
        <f>+landbouw!L8</f>
        <v>0</v>
      </c>
      <c r="N22" s="713">
        <f>+landbouw!M8</f>
        <v>0</v>
      </c>
      <c r="O22" s="713">
        <f>+landbouw!N8</f>
        <v>0</v>
      </c>
      <c r="P22" s="713">
        <f>+landbouw!O8</f>
        <v>0</v>
      </c>
      <c r="Q22" s="714">
        <f>+landbouw!P8</f>
        <v>0</v>
      </c>
      <c r="R22" s="715">
        <f>SUM(C22:Q22)</f>
        <v>9255.5102605231659</v>
      </c>
      <c r="S22" s="67"/>
    </row>
    <row r="23" spans="1:19" s="459" customFormat="1" ht="17.25" thickTop="1" thickBot="1">
      <c r="A23" s="720" t="s">
        <v>116</v>
      </c>
      <c r="B23" s="852"/>
      <c r="C23" s="721">
        <f ca="1">C20+C15+C22</f>
        <v>102973.56684380911</v>
      </c>
      <c r="D23" s="721">
        <f t="shared" ref="D23:Q23" ca="1" si="2">D20+D15+D22</f>
        <v>1314.6428571428571</v>
      </c>
      <c r="E23" s="721">
        <f t="shared" ca="1" si="2"/>
        <v>74559.037599740768</v>
      </c>
      <c r="F23" s="721">
        <f t="shared" si="2"/>
        <v>6641.5333133321483</v>
      </c>
      <c r="G23" s="721">
        <f t="shared" ca="1" si="2"/>
        <v>67913.339929613765</v>
      </c>
      <c r="H23" s="721">
        <f t="shared" si="2"/>
        <v>295193.12776173162</v>
      </c>
      <c r="I23" s="721">
        <f t="shared" si="2"/>
        <v>36581.510218191885</v>
      </c>
      <c r="J23" s="721">
        <f t="shared" si="2"/>
        <v>0</v>
      </c>
      <c r="K23" s="721">
        <f t="shared" si="2"/>
        <v>1582.8785717068629</v>
      </c>
      <c r="L23" s="721">
        <f t="shared" si="2"/>
        <v>0</v>
      </c>
      <c r="M23" s="721">
        <f t="shared" ca="1" si="2"/>
        <v>0</v>
      </c>
      <c r="N23" s="721">
        <f t="shared" si="2"/>
        <v>14988.990129530628</v>
      </c>
      <c r="O23" s="721">
        <f t="shared" ca="1" si="2"/>
        <v>26633.340179129533</v>
      </c>
      <c r="P23" s="721">
        <f t="shared" si="2"/>
        <v>195.41666666666669</v>
      </c>
      <c r="Q23" s="722">
        <f t="shared" si="2"/>
        <v>591.06666666666672</v>
      </c>
      <c r="R23" s="723">
        <f ca="1">R20+R15+R22</f>
        <v>629168.45073726249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6180.0503922355929</v>
      </c>
      <c r="D36" s="704">
        <f ca="1">tertiair!C20</f>
        <v>312.21025895180281</v>
      </c>
      <c r="E36" s="704">
        <f ca="1">tertiair!D20</f>
        <v>2468.9905658080379</v>
      </c>
      <c r="F36" s="704">
        <f>tertiair!E20</f>
        <v>80.74211501316482</v>
      </c>
      <c r="G36" s="704">
        <f ca="1">tertiair!F20</f>
        <v>1425.2277718538335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10467.221103862432</v>
      </c>
    </row>
    <row r="37" spans="1:18">
      <c r="A37" s="873" t="s">
        <v>225</v>
      </c>
      <c r="B37" s="880"/>
      <c r="C37" s="704">
        <f ca="1">huishoudens!B12</f>
        <v>5164.3829875152469</v>
      </c>
      <c r="D37" s="704">
        <f ca="1">huishoudens!C12</f>
        <v>0</v>
      </c>
      <c r="E37" s="704">
        <f>huishoudens!D12</f>
        <v>4166.7776029583038</v>
      </c>
      <c r="F37" s="704">
        <f>huishoudens!E12</f>
        <v>517.89820719549448</v>
      </c>
      <c r="G37" s="704">
        <f>huishoudens!F12</f>
        <v>11651.230556977669</v>
      </c>
      <c r="H37" s="704">
        <f>huishoudens!G12</f>
        <v>0</v>
      </c>
      <c r="I37" s="704">
        <f>huishoudens!H12</f>
        <v>0</v>
      </c>
      <c r="J37" s="704">
        <f>huishoudens!I12</f>
        <v>0</v>
      </c>
      <c r="K37" s="704">
        <f>huishoudens!J12</f>
        <v>436.37479422734793</v>
      </c>
      <c r="L37" s="704">
        <f>huishoudens!K12</f>
        <v>0</v>
      </c>
      <c r="M37" s="704">
        <f>huishoudens!L12</f>
        <v>0</v>
      </c>
      <c r="N37" s="704">
        <f>huishoudens!M12</f>
        <v>0</v>
      </c>
      <c r="O37" s="704">
        <f>huishoudens!N12</f>
        <v>0</v>
      </c>
      <c r="P37" s="704">
        <f>huishoudens!O12</f>
        <v>0</v>
      </c>
      <c r="Q37" s="814">
        <f>huishoudens!P12</f>
        <v>0</v>
      </c>
      <c r="R37" s="905">
        <f ca="1">SUM(C37:Q37)</f>
        <v>21936.664148874064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9773.7436456813648</v>
      </c>
      <c r="D39" s="704">
        <f ca="1">industrie!C22</f>
        <v>0</v>
      </c>
      <c r="E39" s="704">
        <f>industrie!D22</f>
        <v>8069.4300978674455</v>
      </c>
      <c r="F39" s="704">
        <f>industrie!E22</f>
        <v>712.87553961630772</v>
      </c>
      <c r="G39" s="704">
        <f>industrie!F22</f>
        <v>3555.1048567644771</v>
      </c>
      <c r="H39" s="704">
        <f>industrie!G22</f>
        <v>0</v>
      </c>
      <c r="I39" s="704">
        <f>industrie!H22</f>
        <v>0</v>
      </c>
      <c r="J39" s="704">
        <f>industrie!I22</f>
        <v>0</v>
      </c>
      <c r="K39" s="704">
        <f>industrie!J22</f>
        <v>37.203438947329175</v>
      </c>
      <c r="L39" s="704">
        <f>industrie!K22</f>
        <v>0</v>
      </c>
      <c r="M39" s="704">
        <f>industrie!L22</f>
        <v>0</v>
      </c>
      <c r="N39" s="704">
        <f>industrie!M22</f>
        <v>0</v>
      </c>
      <c r="O39" s="704">
        <f>industrie!N22</f>
        <v>0</v>
      </c>
      <c r="P39" s="704">
        <f>industrie!O22</f>
        <v>0</v>
      </c>
      <c r="Q39" s="814">
        <f>industrie!P22</f>
        <v>0</v>
      </c>
      <c r="R39" s="906">
        <f ca="1">SUM(C39:Q39)</f>
        <v>22148.357578876923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21118.177025432204</v>
      </c>
      <c r="D41" s="749">
        <f t="shared" ref="D41:R41" ca="1" si="4">SUM(D35:D40)</f>
        <v>312.21025895180281</v>
      </c>
      <c r="E41" s="749">
        <f t="shared" ca="1" si="4"/>
        <v>14705.198266633786</v>
      </c>
      <c r="F41" s="749">
        <f t="shared" si="4"/>
        <v>1311.515861824967</v>
      </c>
      <c r="G41" s="749">
        <f t="shared" ca="1" si="4"/>
        <v>16631.56318559598</v>
      </c>
      <c r="H41" s="749">
        <f t="shared" si="4"/>
        <v>0</v>
      </c>
      <c r="I41" s="749">
        <f t="shared" si="4"/>
        <v>0</v>
      </c>
      <c r="J41" s="749">
        <f t="shared" si="4"/>
        <v>0</v>
      </c>
      <c r="K41" s="749">
        <f t="shared" si="4"/>
        <v>473.57823317467711</v>
      </c>
      <c r="L41" s="749">
        <f t="shared" si="4"/>
        <v>0</v>
      </c>
      <c r="M41" s="749">
        <f t="shared" ca="1" si="4"/>
        <v>0</v>
      </c>
      <c r="N41" s="749">
        <f t="shared" si="4"/>
        <v>0</v>
      </c>
      <c r="O41" s="749">
        <f t="shared" ca="1" si="4"/>
        <v>0</v>
      </c>
      <c r="P41" s="749">
        <f t="shared" si="4"/>
        <v>0</v>
      </c>
      <c r="Q41" s="750">
        <f t="shared" si="4"/>
        <v>0</v>
      </c>
      <c r="R41" s="751">
        <f t="shared" ca="1" si="4"/>
        <v>54552.242831613417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214.5778229284914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214.5778229284914</v>
      </c>
    </row>
    <row r="45" spans="1:18" ht="15" thickBot="1">
      <c r="A45" s="876" t="s">
        <v>307</v>
      </c>
      <c r="B45" s="886"/>
      <c r="C45" s="713">
        <f ca="1">transport!B18</f>
        <v>3.205814981084842</v>
      </c>
      <c r="D45" s="713">
        <f>transport!C18</f>
        <v>0</v>
      </c>
      <c r="E45" s="713">
        <f>transport!D18</f>
        <v>4.781554079595888</v>
      </c>
      <c r="F45" s="713">
        <f>transport!E18</f>
        <v>191.45048243977843</v>
      </c>
      <c r="G45" s="713">
        <f>transport!F18</f>
        <v>0</v>
      </c>
      <c r="H45" s="713">
        <f>transport!G18</f>
        <v>78601.987289453857</v>
      </c>
      <c r="I45" s="713">
        <f>transport!H18</f>
        <v>9108.7960443297798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87910.221185284099</v>
      </c>
    </row>
    <row r="46" spans="1:18" ht="15.75" thickBot="1">
      <c r="A46" s="874" t="s">
        <v>230</v>
      </c>
      <c r="B46" s="887"/>
      <c r="C46" s="749">
        <f t="shared" ref="C46:R46" ca="1" si="5">SUM(C43:C45)</f>
        <v>3.205814981084842</v>
      </c>
      <c r="D46" s="749">
        <f t="shared" ca="1" si="5"/>
        <v>0</v>
      </c>
      <c r="E46" s="749">
        <f t="shared" si="5"/>
        <v>4.781554079595888</v>
      </c>
      <c r="F46" s="749">
        <f t="shared" si="5"/>
        <v>191.45048243977843</v>
      </c>
      <c r="G46" s="749">
        <f t="shared" si="5"/>
        <v>0</v>
      </c>
      <c r="H46" s="749">
        <f t="shared" si="5"/>
        <v>78816.565112382348</v>
      </c>
      <c r="I46" s="749">
        <f t="shared" si="5"/>
        <v>9108.7960443297798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88124.799008212591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339.64874901184641</v>
      </c>
      <c r="D48" s="704">
        <f ca="1">+landbouw!C12</f>
        <v>0</v>
      </c>
      <c r="E48" s="704">
        <f>+landbouw!D12</f>
        <v>350.94577443425305</v>
      </c>
      <c r="F48" s="704">
        <f>+landbouw!E12</f>
        <v>4.6617178616522921</v>
      </c>
      <c r="G48" s="704">
        <f>+landbouw!F12</f>
        <v>1501.2985756108967</v>
      </c>
      <c r="H48" s="704">
        <f>+landbouw!G12</f>
        <v>0</v>
      </c>
      <c r="I48" s="704">
        <f>+landbouw!H12</f>
        <v>0</v>
      </c>
      <c r="J48" s="704">
        <f>+landbouw!I12</f>
        <v>0</v>
      </c>
      <c r="K48" s="704">
        <f>+landbouw!J12</f>
        <v>86.760781209552263</v>
      </c>
      <c r="L48" s="704">
        <f>+landbouw!K12</f>
        <v>0</v>
      </c>
      <c r="M48" s="704">
        <f>+landbouw!L12</f>
        <v>0</v>
      </c>
      <c r="N48" s="704">
        <f>+landbouw!M12</f>
        <v>0</v>
      </c>
      <c r="O48" s="704">
        <f>+landbouw!N12</f>
        <v>0</v>
      </c>
      <c r="P48" s="704">
        <f>+landbouw!O12</f>
        <v>0</v>
      </c>
      <c r="Q48" s="705">
        <f>+landbouw!P12</f>
        <v>0</v>
      </c>
      <c r="R48" s="747">
        <f ca="1">SUM(C48:Q48)</f>
        <v>2283.3155981282007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21461.031589425133</v>
      </c>
      <c r="D53" s="759">
        <f t="shared" ref="D53:Q53" ca="1" si="6">D41+D46+D48</f>
        <v>312.21025895180281</v>
      </c>
      <c r="E53" s="759">
        <f t="shared" ca="1" si="6"/>
        <v>15060.925595147635</v>
      </c>
      <c r="F53" s="759">
        <f t="shared" si="6"/>
        <v>1507.6280621263977</v>
      </c>
      <c r="G53" s="759">
        <f t="shared" ca="1" si="6"/>
        <v>18132.861761206877</v>
      </c>
      <c r="H53" s="759">
        <f t="shared" si="6"/>
        <v>78816.565112382348</v>
      </c>
      <c r="I53" s="759">
        <f t="shared" si="6"/>
        <v>9108.7960443297798</v>
      </c>
      <c r="J53" s="759">
        <f t="shared" si="6"/>
        <v>0</v>
      </c>
      <c r="K53" s="759">
        <f t="shared" si="6"/>
        <v>560.33901438422936</v>
      </c>
      <c r="L53" s="759">
        <f t="shared" si="6"/>
        <v>0</v>
      </c>
      <c r="M53" s="759">
        <f t="shared" ca="1" si="6"/>
        <v>0</v>
      </c>
      <c r="N53" s="759">
        <f t="shared" si="6"/>
        <v>0</v>
      </c>
      <c r="O53" s="759">
        <f t="shared" ca="1" si="6"/>
        <v>0</v>
      </c>
      <c r="P53" s="759">
        <f>P41+P46+P48</f>
        <v>0</v>
      </c>
      <c r="Q53" s="760">
        <f t="shared" si="6"/>
        <v>0</v>
      </c>
      <c r="R53" s="761">
        <f ca="1">R41+R46+R48</f>
        <v>144960.3574379542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0.20841301556522118</v>
      </c>
      <c r="D55" s="824">
        <f t="shared" ca="1" si="7"/>
        <v>0.23748674954225696</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5932.6386352515328</v>
      </c>
      <c r="C66" s="781">
        <f>'lokale energieproductie'!B6</f>
        <v>5932.6386352515328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909</v>
      </c>
      <c r="C67" s="780">
        <f>B67*IFERROR(SUM(J67:L67)/SUM(D67:M67),0)</f>
        <v>0</v>
      </c>
      <c r="D67" s="812">
        <f>'lokale energieproductie'!C7</f>
        <v>1068.6903729401563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215.87545533391159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6841.6386352515328</v>
      </c>
      <c r="C69" s="789">
        <f>SUM(C64:C68)</f>
        <v>5932.6386352515328</v>
      </c>
      <c r="D69" s="790">
        <f t="shared" ref="D69:M69" si="8">SUM(D67:D68)</f>
        <v>1068.6903729401563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215.87545533391159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1314.6428571428571</v>
      </c>
      <c r="C78" s="803">
        <f>B78*IFERROR(SUM(I78:L78)/SUM(D78:M78),0)</f>
        <v>0</v>
      </c>
      <c r="D78" s="818">
        <f>'lokale energieproductie'!C16</f>
        <v>1545.5953413455584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312.21025895180281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1314.6428571428571</v>
      </c>
      <c r="C81" s="789">
        <f>SUM(C78:C80)</f>
        <v>0</v>
      </c>
      <c r="D81" s="789">
        <f t="shared" ref="D81:P81" si="9">SUM(D78:D80)</f>
        <v>1545.5953413455584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312.21025895180281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24779.560784672267</v>
      </c>
      <c r="C4" s="463">
        <f>huishoudens!C8</f>
        <v>0</v>
      </c>
      <c r="D4" s="463">
        <f>huishoudens!D8</f>
        <v>20627.611895833186</v>
      </c>
      <c r="E4" s="463">
        <f>huishoudens!E8</f>
        <v>2281.4898995396234</v>
      </c>
      <c r="F4" s="463">
        <f>huishoudens!F8</f>
        <v>43637.567629129844</v>
      </c>
      <c r="G4" s="463">
        <f>huishoudens!G8</f>
        <v>0</v>
      </c>
      <c r="H4" s="463">
        <f>huishoudens!H8</f>
        <v>0</v>
      </c>
      <c r="I4" s="463">
        <f>huishoudens!I8</f>
        <v>0</v>
      </c>
      <c r="J4" s="463">
        <f>huishoudens!J8</f>
        <v>1232.6971588343163</v>
      </c>
      <c r="K4" s="463">
        <f>huishoudens!K8</f>
        <v>0</v>
      </c>
      <c r="L4" s="463">
        <f>huishoudens!L8</f>
        <v>0</v>
      </c>
      <c r="M4" s="463">
        <f>huishoudens!M8</f>
        <v>0</v>
      </c>
      <c r="N4" s="463">
        <f>huishoudens!N8</f>
        <v>12218.771336812895</v>
      </c>
      <c r="O4" s="463">
        <f>huishoudens!O8</f>
        <v>193.85333333333335</v>
      </c>
      <c r="P4" s="464">
        <f>huishoudens!P8</f>
        <v>572</v>
      </c>
      <c r="Q4" s="465">
        <f>SUM(B4:P4)</f>
        <v>105543.55203815545</v>
      </c>
    </row>
    <row r="5" spans="1:17">
      <c r="A5" s="462" t="s">
        <v>156</v>
      </c>
      <c r="B5" s="463">
        <f ca="1">tertiair!B16</f>
        <v>28641.478398159605</v>
      </c>
      <c r="C5" s="463">
        <f ca="1">tertiair!C16</f>
        <v>1314.6428571428571</v>
      </c>
      <c r="D5" s="463">
        <f ca="1">tertiair!D16</f>
        <v>12222.725573307118</v>
      </c>
      <c r="E5" s="463">
        <f>tertiair!E16</f>
        <v>355.69213662187144</v>
      </c>
      <c r="F5" s="463">
        <f ca="1">tertiair!F16</f>
        <v>5337.9317297896378</v>
      </c>
      <c r="G5" s="463">
        <f>tertiair!G16</f>
        <v>0</v>
      </c>
      <c r="H5" s="463">
        <f>tertiair!H16</f>
        <v>0</v>
      </c>
      <c r="I5" s="463">
        <f>tertiair!I16</f>
        <v>0</v>
      </c>
      <c r="J5" s="463">
        <f>tertiair!J16</f>
        <v>0</v>
      </c>
      <c r="K5" s="463">
        <f>tertiair!K16</f>
        <v>0</v>
      </c>
      <c r="L5" s="463">
        <f ca="1">tertiair!L16</f>
        <v>0</v>
      </c>
      <c r="M5" s="463">
        <f>tertiair!M16</f>
        <v>0</v>
      </c>
      <c r="N5" s="463">
        <f ca="1">tertiair!N16</f>
        <v>1694.1392967494558</v>
      </c>
      <c r="O5" s="463">
        <f>tertiair!O16</f>
        <v>1.5633333333333335</v>
      </c>
      <c r="P5" s="464">
        <f>tertiair!P16</f>
        <v>19.066666666666666</v>
      </c>
      <c r="Q5" s="462">
        <f t="shared" ref="Q5:Q13" ca="1" si="0">SUM(B5:P5)</f>
        <v>49587.239991770548</v>
      </c>
    </row>
    <row r="6" spans="1:17">
      <c r="A6" s="462" t="s">
        <v>194</v>
      </c>
      <c r="B6" s="463">
        <f>'openbare verlichting'!B8</f>
        <v>1011.422</v>
      </c>
      <c r="C6" s="463"/>
      <c r="D6" s="463"/>
      <c r="E6" s="463"/>
      <c r="F6" s="463"/>
      <c r="G6" s="463"/>
      <c r="H6" s="463"/>
      <c r="I6" s="463"/>
      <c r="J6" s="463"/>
      <c r="K6" s="463"/>
      <c r="L6" s="463"/>
      <c r="M6" s="463"/>
      <c r="N6" s="463"/>
      <c r="O6" s="463"/>
      <c r="P6" s="464"/>
      <c r="Q6" s="462">
        <f t="shared" si="0"/>
        <v>1011.422</v>
      </c>
    </row>
    <row r="7" spans="1:17">
      <c r="A7" s="462" t="s">
        <v>112</v>
      </c>
      <c r="B7" s="463">
        <f>landbouw!B8</f>
        <v>1629.6906797817335</v>
      </c>
      <c r="C7" s="463">
        <f>landbouw!C8</f>
        <v>0</v>
      </c>
      <c r="D7" s="463">
        <f>landbouw!D8</f>
        <v>1737.3553189814506</v>
      </c>
      <c r="E7" s="463">
        <f>landbouw!E8</f>
        <v>20.536202033710538</v>
      </c>
      <c r="F7" s="463">
        <f>landbouw!F8</f>
        <v>5622.8411071569162</v>
      </c>
      <c r="G7" s="463">
        <f>landbouw!G8</f>
        <v>0</v>
      </c>
      <c r="H7" s="463">
        <f>landbouw!H8</f>
        <v>0</v>
      </c>
      <c r="I7" s="463">
        <f>landbouw!I8</f>
        <v>0</v>
      </c>
      <c r="J7" s="463">
        <f>landbouw!J8</f>
        <v>245.0869525693567</v>
      </c>
      <c r="K7" s="463">
        <f>landbouw!K8</f>
        <v>0</v>
      </c>
      <c r="L7" s="463">
        <f>landbouw!L8</f>
        <v>0</v>
      </c>
      <c r="M7" s="463">
        <f>landbouw!M8</f>
        <v>0</v>
      </c>
      <c r="N7" s="463">
        <f>landbouw!N8</f>
        <v>0</v>
      </c>
      <c r="O7" s="463">
        <f>landbouw!O8</f>
        <v>0</v>
      </c>
      <c r="P7" s="464">
        <f>landbouw!P8</f>
        <v>0</v>
      </c>
      <c r="Q7" s="462">
        <f t="shared" si="0"/>
        <v>9255.5102605231659</v>
      </c>
    </row>
    <row r="8" spans="1:17">
      <c r="A8" s="462" t="s">
        <v>657</v>
      </c>
      <c r="B8" s="463">
        <f>industrie!B18</f>
        <v>46896.032952523288</v>
      </c>
      <c r="C8" s="463">
        <f>industrie!C18</f>
        <v>0</v>
      </c>
      <c r="D8" s="463">
        <f>industrie!D18</f>
        <v>39947.673751819035</v>
      </c>
      <c r="E8" s="463">
        <f>industrie!E18</f>
        <v>3140.4208793669941</v>
      </c>
      <c r="F8" s="463">
        <f>industrie!F18</f>
        <v>13314.999463537366</v>
      </c>
      <c r="G8" s="463">
        <f>industrie!G18</f>
        <v>0</v>
      </c>
      <c r="H8" s="463">
        <f>industrie!H18</f>
        <v>0</v>
      </c>
      <c r="I8" s="463">
        <f>industrie!I18</f>
        <v>0</v>
      </c>
      <c r="J8" s="463">
        <f>industrie!J18</f>
        <v>105.09446030318976</v>
      </c>
      <c r="K8" s="463">
        <f>industrie!K18</f>
        <v>0</v>
      </c>
      <c r="L8" s="463">
        <f>industrie!L18</f>
        <v>0</v>
      </c>
      <c r="M8" s="463">
        <f>industrie!M18</f>
        <v>0</v>
      </c>
      <c r="N8" s="463">
        <f>industrie!N18</f>
        <v>12720.429545567182</v>
      </c>
      <c r="O8" s="463">
        <f>industrie!O18</f>
        <v>0</v>
      </c>
      <c r="P8" s="464">
        <f>industrie!P18</f>
        <v>0</v>
      </c>
      <c r="Q8" s="462">
        <f t="shared" si="0"/>
        <v>116124.65105311708</v>
      </c>
    </row>
    <row r="9" spans="1:17" s="468" customFormat="1">
      <c r="A9" s="466" t="s">
        <v>574</v>
      </c>
      <c r="B9" s="467">
        <f>transport!B14</f>
        <v>15.382028672204529</v>
      </c>
      <c r="C9" s="467"/>
      <c r="D9" s="467">
        <f>transport!D14</f>
        <v>23.671059799979641</v>
      </c>
      <c r="E9" s="467">
        <f>transport!E14</f>
        <v>843.39419576994896</v>
      </c>
      <c r="F9" s="467"/>
      <c r="G9" s="467">
        <f>transport!G14</f>
        <v>294389.46550357249</v>
      </c>
      <c r="H9" s="467">
        <f>transport!H14</f>
        <v>36581.510218191885</v>
      </c>
      <c r="I9" s="467"/>
      <c r="J9" s="467"/>
      <c r="K9" s="467"/>
      <c r="L9" s="467"/>
      <c r="M9" s="467">
        <f>transport!M14</f>
        <v>14953.249303219611</v>
      </c>
      <c r="N9" s="467"/>
      <c r="O9" s="467"/>
      <c r="P9" s="467"/>
      <c r="Q9" s="466">
        <f>SUM(B9:P9)</f>
        <v>346806.67230922612</v>
      </c>
    </row>
    <row r="10" spans="1:17">
      <c r="A10" s="462" t="s">
        <v>564</v>
      </c>
      <c r="B10" s="463">
        <f>transport!B54</f>
        <v>0</v>
      </c>
      <c r="C10" s="463"/>
      <c r="D10" s="463">
        <f>transport!D54</f>
        <v>0</v>
      </c>
      <c r="E10" s="463"/>
      <c r="F10" s="463"/>
      <c r="G10" s="463">
        <f>transport!G54</f>
        <v>803.66225815914379</v>
      </c>
      <c r="H10" s="463"/>
      <c r="I10" s="463"/>
      <c r="J10" s="463"/>
      <c r="K10" s="463"/>
      <c r="L10" s="463"/>
      <c r="M10" s="463">
        <f>transport!M54</f>
        <v>35.740826311017038</v>
      </c>
      <c r="N10" s="463"/>
      <c r="O10" s="463"/>
      <c r="P10" s="464"/>
      <c r="Q10" s="462">
        <f t="shared" si="0"/>
        <v>839.40308447016082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102973.56684380909</v>
      </c>
      <c r="C14" s="473">
        <f t="shared" ref="C14:Q14" ca="1" si="1">SUM(C4:C13)</f>
        <v>1314.6428571428571</v>
      </c>
      <c r="D14" s="473">
        <f t="shared" ca="1" si="1"/>
        <v>74559.037599740768</v>
      </c>
      <c r="E14" s="473">
        <f t="shared" si="1"/>
        <v>6641.5333133321483</v>
      </c>
      <c r="F14" s="473">
        <f t="shared" ca="1" si="1"/>
        <v>67913.33992961375</v>
      </c>
      <c r="G14" s="473">
        <f t="shared" si="1"/>
        <v>295193.12776173162</v>
      </c>
      <c r="H14" s="473">
        <f t="shared" si="1"/>
        <v>36581.510218191885</v>
      </c>
      <c r="I14" s="473">
        <f t="shared" si="1"/>
        <v>0</v>
      </c>
      <c r="J14" s="473">
        <f t="shared" si="1"/>
        <v>1582.8785717068629</v>
      </c>
      <c r="K14" s="473">
        <f t="shared" si="1"/>
        <v>0</v>
      </c>
      <c r="L14" s="473">
        <f t="shared" ca="1" si="1"/>
        <v>0</v>
      </c>
      <c r="M14" s="473">
        <f t="shared" si="1"/>
        <v>14988.990129530628</v>
      </c>
      <c r="N14" s="473">
        <f t="shared" ca="1" si="1"/>
        <v>26633.340179129533</v>
      </c>
      <c r="O14" s="473">
        <f t="shared" si="1"/>
        <v>195.41666666666669</v>
      </c>
      <c r="P14" s="474">
        <f t="shared" si="1"/>
        <v>591.06666666666672</v>
      </c>
      <c r="Q14" s="474">
        <f t="shared" ca="1" si="1"/>
        <v>629168.45073726261</v>
      </c>
    </row>
    <row r="16" spans="1:17">
      <c r="A16" s="476" t="s">
        <v>569</v>
      </c>
      <c r="B16" s="829">
        <f ca="1">huishoudens!B10</f>
        <v>0.20841301556522124</v>
      </c>
      <c r="C16" s="829">
        <f ca="1">huishoudens!C10</f>
        <v>0.23748674954225696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5164.3829875152469</v>
      </c>
      <c r="C21" s="463">
        <f t="shared" ref="C21:C28" ca="1" si="3">C4*$C$16</f>
        <v>0</v>
      </c>
      <c r="D21" s="463">
        <f t="shared" ref="D21:D30" si="4">D4*$D$16</f>
        <v>4166.7776029583038</v>
      </c>
      <c r="E21" s="463">
        <f t="shared" ref="E21:E30" si="5">E4*$E$16</f>
        <v>517.89820719549448</v>
      </c>
      <c r="F21" s="463">
        <f t="shared" ref="F21:F28" si="6">F4*$F$16</f>
        <v>11651.230556977669</v>
      </c>
      <c r="G21" s="463">
        <f t="shared" ref="G21:G30" si="7">G4*$G$16</f>
        <v>0</v>
      </c>
      <c r="H21" s="463">
        <f t="shared" ref="H21:H30" si="8">H4*$H$16</f>
        <v>0</v>
      </c>
      <c r="I21" s="463">
        <f t="shared" ref="I21:I28" si="9">I4*$I$16</f>
        <v>0</v>
      </c>
      <c r="J21" s="463">
        <f t="shared" ref="J21:J28" si="10">J4*$J$16</f>
        <v>436.37479422734793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21936.664148874064</v>
      </c>
    </row>
    <row r="22" spans="1:17">
      <c r="A22" s="462" t="s">
        <v>156</v>
      </c>
      <c r="B22" s="463">
        <f t="shared" ca="1" si="2"/>
        <v>5969.2568832065854</v>
      </c>
      <c r="C22" s="463">
        <f t="shared" ca="1" si="3"/>
        <v>312.21025895180281</v>
      </c>
      <c r="D22" s="463">
        <f t="shared" ca="1" si="4"/>
        <v>2468.9905658080379</v>
      </c>
      <c r="E22" s="463">
        <f t="shared" si="5"/>
        <v>80.74211501316482</v>
      </c>
      <c r="F22" s="463">
        <f t="shared" ca="1" si="6"/>
        <v>1425.2277718538335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10256.427594833425</v>
      </c>
    </row>
    <row r="23" spans="1:17">
      <c r="A23" s="462" t="s">
        <v>194</v>
      </c>
      <c r="B23" s="463">
        <f t="shared" ca="1" si="2"/>
        <v>210.7935090290072</v>
      </c>
      <c r="C23" s="463"/>
      <c r="D23" s="463"/>
      <c r="E23" s="463"/>
      <c r="F23" s="463"/>
      <c r="G23" s="463"/>
      <c r="H23" s="463"/>
      <c r="I23" s="463"/>
      <c r="J23" s="463"/>
      <c r="K23" s="463"/>
      <c r="L23" s="463"/>
      <c r="M23" s="463"/>
      <c r="N23" s="463"/>
      <c r="O23" s="463"/>
      <c r="P23" s="464"/>
      <c r="Q23" s="462">
        <f t="shared" ca="1" si="17"/>
        <v>210.7935090290072</v>
      </c>
    </row>
    <row r="24" spans="1:17">
      <c r="A24" s="462" t="s">
        <v>112</v>
      </c>
      <c r="B24" s="463">
        <f t="shared" ca="1" si="2"/>
        <v>339.64874901184641</v>
      </c>
      <c r="C24" s="463">
        <f t="shared" ca="1" si="3"/>
        <v>0</v>
      </c>
      <c r="D24" s="463">
        <f t="shared" si="4"/>
        <v>350.94577443425305</v>
      </c>
      <c r="E24" s="463">
        <f t="shared" si="5"/>
        <v>4.6617178616522921</v>
      </c>
      <c r="F24" s="463">
        <f t="shared" si="6"/>
        <v>1501.2985756108967</v>
      </c>
      <c r="G24" s="463">
        <f t="shared" si="7"/>
        <v>0</v>
      </c>
      <c r="H24" s="463">
        <f t="shared" si="8"/>
        <v>0</v>
      </c>
      <c r="I24" s="463">
        <f t="shared" si="9"/>
        <v>0</v>
      </c>
      <c r="J24" s="463">
        <f t="shared" si="10"/>
        <v>86.760781209552263</v>
      </c>
      <c r="K24" s="463">
        <f t="shared" si="11"/>
        <v>0</v>
      </c>
      <c r="L24" s="463">
        <f t="shared" si="12"/>
        <v>0</v>
      </c>
      <c r="M24" s="463">
        <f t="shared" si="13"/>
        <v>0</v>
      </c>
      <c r="N24" s="463">
        <f t="shared" si="14"/>
        <v>0</v>
      </c>
      <c r="O24" s="463">
        <f t="shared" si="15"/>
        <v>0</v>
      </c>
      <c r="P24" s="464">
        <f t="shared" si="16"/>
        <v>0</v>
      </c>
      <c r="Q24" s="462">
        <f t="shared" ca="1" si="17"/>
        <v>2283.3155981282007</v>
      </c>
    </row>
    <row r="25" spans="1:17">
      <c r="A25" s="462" t="s">
        <v>657</v>
      </c>
      <c r="B25" s="463">
        <f t="shared" ca="1" si="2"/>
        <v>9773.7436456813648</v>
      </c>
      <c r="C25" s="463">
        <f t="shared" ca="1" si="3"/>
        <v>0</v>
      </c>
      <c r="D25" s="463">
        <f t="shared" si="4"/>
        <v>8069.4300978674455</v>
      </c>
      <c r="E25" s="463">
        <f t="shared" si="5"/>
        <v>712.87553961630772</v>
      </c>
      <c r="F25" s="463">
        <f t="shared" si="6"/>
        <v>3555.1048567644771</v>
      </c>
      <c r="G25" s="463">
        <f t="shared" si="7"/>
        <v>0</v>
      </c>
      <c r="H25" s="463">
        <f t="shared" si="8"/>
        <v>0</v>
      </c>
      <c r="I25" s="463">
        <f t="shared" si="9"/>
        <v>0</v>
      </c>
      <c r="J25" s="463">
        <f t="shared" si="10"/>
        <v>37.203438947329175</v>
      </c>
      <c r="K25" s="463">
        <f t="shared" si="11"/>
        <v>0</v>
      </c>
      <c r="L25" s="463">
        <f t="shared" si="12"/>
        <v>0</v>
      </c>
      <c r="M25" s="463">
        <f t="shared" si="13"/>
        <v>0</v>
      </c>
      <c r="N25" s="463">
        <f t="shared" si="14"/>
        <v>0</v>
      </c>
      <c r="O25" s="463">
        <f t="shared" si="15"/>
        <v>0</v>
      </c>
      <c r="P25" s="464">
        <f t="shared" si="16"/>
        <v>0</v>
      </c>
      <c r="Q25" s="462">
        <f t="shared" ca="1" si="17"/>
        <v>22148.357578876923</v>
      </c>
    </row>
    <row r="26" spans="1:17" s="468" customFormat="1">
      <c r="A26" s="466" t="s">
        <v>574</v>
      </c>
      <c r="B26" s="823">
        <f t="shared" ca="1" si="2"/>
        <v>3.205814981084842</v>
      </c>
      <c r="C26" s="467"/>
      <c r="D26" s="467">
        <f t="shared" si="4"/>
        <v>4.781554079595888</v>
      </c>
      <c r="E26" s="467">
        <f t="shared" si="5"/>
        <v>191.45048243977843</v>
      </c>
      <c r="F26" s="467"/>
      <c r="G26" s="467">
        <f t="shared" si="7"/>
        <v>78601.987289453857</v>
      </c>
      <c r="H26" s="467">
        <f t="shared" si="8"/>
        <v>9108.7960443297798</v>
      </c>
      <c r="I26" s="467"/>
      <c r="J26" s="467"/>
      <c r="K26" s="467"/>
      <c r="L26" s="467"/>
      <c r="M26" s="467">
        <f t="shared" si="13"/>
        <v>0</v>
      </c>
      <c r="N26" s="467"/>
      <c r="O26" s="467"/>
      <c r="P26" s="478"/>
      <c r="Q26" s="466">
        <f t="shared" ca="1" si="17"/>
        <v>87910.221185284099</v>
      </c>
    </row>
    <row r="27" spans="1:17">
      <c r="A27" s="462" t="s">
        <v>564</v>
      </c>
      <c r="B27" s="463">
        <f t="shared" ca="1" si="2"/>
        <v>0</v>
      </c>
      <c r="C27" s="463"/>
      <c r="D27" s="467">
        <f t="shared" si="4"/>
        <v>0</v>
      </c>
      <c r="E27" s="463"/>
      <c r="F27" s="463"/>
      <c r="G27" s="463">
        <f t="shared" si="7"/>
        <v>214.5778229284914</v>
      </c>
      <c r="H27" s="463"/>
      <c r="I27" s="463"/>
      <c r="J27" s="463"/>
      <c r="K27" s="463"/>
      <c r="L27" s="463"/>
      <c r="M27" s="463">
        <f t="shared" si="13"/>
        <v>0</v>
      </c>
      <c r="N27" s="463"/>
      <c r="O27" s="463"/>
      <c r="P27" s="464"/>
      <c r="Q27" s="462">
        <f t="shared" ca="1" si="17"/>
        <v>214.5778229284914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21461.031589425133</v>
      </c>
      <c r="C31" s="473">
        <f t="shared" ca="1" si="18"/>
        <v>312.21025895180281</v>
      </c>
      <c r="D31" s="473">
        <f t="shared" ca="1" si="18"/>
        <v>15060.925595147637</v>
      </c>
      <c r="E31" s="473">
        <f t="shared" si="18"/>
        <v>1507.6280621263977</v>
      </c>
      <c r="F31" s="473">
        <f t="shared" ca="1" si="18"/>
        <v>18132.861761206877</v>
      </c>
      <c r="G31" s="473">
        <f t="shared" si="18"/>
        <v>78816.565112382348</v>
      </c>
      <c r="H31" s="473">
        <f t="shared" si="18"/>
        <v>9108.7960443297798</v>
      </c>
      <c r="I31" s="473">
        <f t="shared" si="18"/>
        <v>0</v>
      </c>
      <c r="J31" s="473">
        <f t="shared" si="18"/>
        <v>560.33901438422936</v>
      </c>
      <c r="K31" s="473">
        <f t="shared" si="18"/>
        <v>0</v>
      </c>
      <c r="L31" s="473">
        <f t="shared" ca="1" si="18"/>
        <v>0</v>
      </c>
      <c r="M31" s="473">
        <f t="shared" si="18"/>
        <v>0</v>
      </c>
      <c r="N31" s="473">
        <f t="shared" ca="1" si="18"/>
        <v>0</v>
      </c>
      <c r="O31" s="473">
        <f t="shared" si="18"/>
        <v>0</v>
      </c>
      <c r="P31" s="474">
        <f t="shared" si="18"/>
        <v>0</v>
      </c>
      <c r="Q31" s="474">
        <f t="shared" ca="1" si="18"/>
        <v>144960.35743795423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0.20841301556522124</v>
      </c>
      <c r="C17" s="513">
        <f ca="1">'EF ele_warmte'!B22</f>
        <v>0.23748674954225696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0.20841301556522124</v>
      </c>
      <c r="C17" s="513">
        <f ca="1">'EF ele_warmte'!B22</f>
        <v>0.23748674954225696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0.20841301556522124</v>
      </c>
      <c r="C29" s="514">
        <f ca="1">'EF ele_warmte'!B22</f>
        <v>0.23748674954225696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2019-01-02T18:05:06Z</dcterms:modified>
</cp:coreProperties>
</file>