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3" i="15" l="1"/>
  <c r="D6" i="17"/>
  <c r="D8" s="1"/>
  <c r="J15" i="16"/>
  <c r="F16"/>
  <c r="B8" i="9"/>
  <c r="C16" i="15"/>
  <c r="D10" i="14" s="1"/>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E22"/>
  <c r="J12" i="17"/>
  <c r="K48" i="14" s="1"/>
  <c r="J7" i="48"/>
  <c r="J24" s="1"/>
  <c r="I5"/>
  <c r="I22" s="1"/>
  <c r="I20" i="15"/>
  <c r="J36" i="14" s="1"/>
  <c r="J41" s="1"/>
  <c r="J53" s="1"/>
  <c r="J15"/>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12" i="17"/>
  <c r="F48" i="14" s="1"/>
  <c r="C5" i="48"/>
  <c r="L7" l="1"/>
  <c r="L24" s="1"/>
  <c r="P15" i="14"/>
  <c r="P23" s="1"/>
  <c r="E13"/>
  <c r="E7" i="48"/>
  <c r="E24"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L31" i="48" l="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8"/>
  <c r="Q4"/>
  <c r="N22"/>
  <c r="R11" i="14"/>
  <c r="J21" i="48"/>
  <c r="R10" i="14"/>
  <c r="O13" l="1"/>
  <c r="O15" s="1"/>
  <c r="F13"/>
  <c r="F15" s="1"/>
  <c r="F23" s="1"/>
  <c r="N55"/>
  <c r="F22" i="16"/>
  <c r="G39" i="14" s="1"/>
  <c r="G41" s="1"/>
  <c r="N22" i="16"/>
  <c r="O39" i="14" s="1"/>
  <c r="O41" s="1"/>
  <c r="E22" i="16"/>
  <c r="F39" i="14" s="1"/>
  <c r="F41" s="1"/>
  <c r="F53" s="1"/>
  <c r="F55" s="1"/>
  <c r="K13"/>
  <c r="K15" s="1"/>
  <c r="K23" s="1"/>
  <c r="N25" i="48"/>
  <c r="N31" s="1"/>
  <c r="N14"/>
  <c r="E25"/>
  <c r="E31" s="1"/>
  <c r="E14"/>
  <c r="H55" i="14"/>
  <c r="E55"/>
  <c r="C78"/>
  <c r="C81" s="1"/>
  <c r="J14" i="48"/>
  <c r="J31"/>
  <c r="Q8"/>
  <c r="Q14" s="1"/>
  <c r="R19" i="14"/>
  <c r="R20" s="1"/>
  <c r="H14" i="48"/>
  <c r="G31"/>
  <c r="H26"/>
  <c r="H31" s="1"/>
  <c r="O53" i="14"/>
  <c r="G53"/>
  <c r="G55" s="1"/>
  <c r="O69" s="1"/>
  <c r="B9" i="6" s="1"/>
  <c r="B12" s="1"/>
  <c r="M53" i="14"/>
  <c r="M55" s="1"/>
  <c r="C12" i="13"/>
  <c r="D37" i="14" s="1"/>
  <c r="D41" s="1"/>
  <c r="C24" i="48"/>
  <c r="C28"/>
  <c r="C22"/>
  <c r="C25"/>
  <c r="C21"/>
  <c r="K55" i="14"/>
  <c r="F25" i="48"/>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<sst xmlns="http://schemas.openxmlformats.org/spreadsheetml/2006/main" count="2151" uniqueCount="878">
  <si>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</si>
  <si>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</si>
  <si>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</si>
  <si>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</si>
  <si>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</si>
  <si>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</si>
  <si>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</si>
  <si>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</si>
  <si>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</si>
  <si>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</si>
  <si>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</si>
  <si>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</si>
  <si>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</si>
  <si>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</si>
  <si>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</si>
  <si>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</si>
  <si>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</si>
  <si>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</si>
  <si>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</si>
  <si>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</si>
  <si>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</si>
  <si>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</si>
  <si>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</si>
  <si>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</si>
  <si>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</si>
  <si>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</si>
  <si>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</si>
  <si>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</si>
  <si>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</si>
  <si>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</si>
  <si>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</si>
  <si>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</si>
  <si>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</si>
  <si>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</si>
  <si>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</si>
  <si>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</si>
  <si>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</si>
  <si>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</si>
  <si>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</si>
  <si>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</si>
  <si>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</si>
  <si>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</si>
  <si>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</si>
  <si>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</si>
  <si>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</si>
  <si>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</si>
  <si>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</si>
  <si>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</si>
  <si>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</si>
  <si>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</si>
  <si>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</si>
  <si>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</si>
  <si>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</si>
  <si>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</si>
  <si>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</si>
  <si>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</si>
  <si>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</si>
  <si>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</si>
  <si>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</si>
  <si>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</si>
  <si>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</si>
  <si>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</si>
  <si>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</si>
  <si>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</si>
  <si>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</si>
  <si>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</si>
  <si>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</si>
  <si>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</si>
  <si>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</si>
  <si>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</si>
  <si>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</si>
  <si>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</si>
  <si>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</si>
  <si>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</si>
  <si>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</si>
  <si>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</si>
  <si>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</si>
  <si>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</si>
  <si>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</si>
  <si>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</si>
  <si>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</si>
  <si>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</si>
  <si>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</si>
  <si>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</si>
  <si>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</si>
  <si>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</si>
  <si>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</si>
  <si>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</si>
  <si>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</si>
  <si>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</si>
  <si>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</si>
  <si>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</si>
  <si>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</si>
  <si>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</si>
  <si>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</si>
  <si>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</si>
  <si>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</si>
  <si>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</si>
  <si>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</si>
  <si>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</si>
  <si>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</si>
  <si>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</si>
  <si>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</si>
  <si>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</si>
  <si>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</si>
  <si>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</si>
  <si>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</si>
  <si>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</si>
  <si>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</si>
  <si>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</si>
  <si>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</si>
  <si>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</si>
  <si>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</si>
  <si>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</si>
  <si>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</si>
  <si>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</si>
  <si>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</si>
  <si>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</si>
  <si>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</si>
  <si>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</si>
  <si>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</si>
  <si>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</si>
  <si>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</si>
  <si>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</si>
  <si>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</si>
  <si>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</si>
  <si>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</si>
  <si>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</si>
  <si>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</si>
  <si>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</si>
  <si>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</si>
  <si>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</si>
  <si>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</si>
  <si>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</si>
  <si>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</si>
  <si>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</si>
  <si>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</si>
  <si>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</si>
  <si>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</si>
  <si>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</si>
  <si>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</si>
  <si>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</si>
  <si>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</si>
  <si>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</si>
  <si>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</si>
  <si>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</si>
  <si>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</si>
  <si>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</si>
  <si>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</si>
  <si>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</si>
  <si>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</si>
  <si>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</si>
  <si>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</si>
  <si>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</si>
  <si>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</si>
  <si>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</si>
  <si>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</si>
  <si>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</si>
  <si>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</si>
  <si>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</si>
  <si>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</si>
  <si>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</si>
  <si>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</si>
  <si>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</si>
  <si>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</si>
  <si>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</si>
  <si>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</si>
  <si>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</si>
  <si>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</si>
  <si>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</si>
  <si>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</si>
  <si>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</si>
  <si>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</si>
  <si>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</si>
  <si>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</si>
  <si>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</si>
  <si>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</si>
  <si>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</si>
  <si>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</si>
  <si>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</si>
  <si>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</si>
  <si>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</si>
  <si>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</si>
  <si>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</si>
  <si>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</si>
  <si>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</si>
  <si>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</si>
  <si>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</si>
  <si>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</si>
  <si>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</si>
  <si>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</si>
  <si>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</si>
  <si>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</si>
  <si>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</si>
  <si>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</si>
  <si>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</si>
  <si>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</si>
  <si>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</si>
  <si>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</si>
  <si>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</si>
  <si>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</si>
  <si>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</si>
  <si>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</si>
  <si>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</si>
  <si>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</si>
  <si>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</si>
  <si>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</si>
  <si>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</si>
  <si>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</si>
  <si>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</si>
  <si>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</si>
  <si>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</si>
  <si>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</si>
  <si>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</si>
  <si>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</si>
  <si>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</si>
  <si>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</si>
  <si>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</si>
  <si>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</si>
  <si>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</si>
  <si>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</si>
  <si>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</si>
  <si>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</si>
  <si>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</si>
  <si>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</si>
  <si>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</si>
  <si>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</si>
  <si>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</si>
  <si>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</si>
  <si>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</si>
  <si>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</si>
  <si>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</si>
  <si>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</si>
  <si>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</si>
  <si>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</si>
  <si>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</si>
  <si>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</si>
  <si>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</si>
  <si>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</si>
  <si>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</si>
  <si>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</si>
  <si>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</si>
  <si>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</si>
  <si>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</si>
  <si>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</si>
  <si>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</si>
  <si>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</si>
  <si>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</si>
  <si>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</si>
  <si>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</si>
  <si>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</si>
  <si>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</si>
  <si>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</si>
  <si>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</si>
  <si>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</si>
  <si>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</si>
  <si>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</si>
  <si>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</si>
  <si>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</si>
  <si>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</si>
  <si>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</si>
  <si>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</si>
  <si>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</si>
  <si>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</si>
  <si>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</si>
  <si>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</si>
  <si>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</si>
  <si>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</si>
  <si>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</si>
  <si>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</si>
  <si>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</si>
  <si>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</si>
  <si>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</si>
  <si>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</si>
  <si>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</si>
  <si>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</si>
  <si>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</si>
  <si>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</si>
  <si>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</si>
  <si>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</si>
  <si>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</si>
  <si>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</si>
  <si>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</si>
  <si>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</si>
  <si>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</si>
  <si>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</si>
  <si>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</si>
  <si>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</si>
  <si>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</si>
  <si>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</si>
  <si>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</si>
  <si>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</si>
  <si>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</si>
  <si>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</si>
  <si>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</si>
  <si>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</si>
  <si>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</si>
  <si>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</si>
  <si>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</si>
  <si>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</si>
  <si>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</si>
  <si>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</si>
  <si>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</si>
  <si>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</si>
  <si>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</si>
  <si>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</si>
  <si>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</si>
  <si>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</si>
  <si>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</si>
  <si>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</si>
  <si>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</si>
  <si>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</si>
  <si>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</si>
  <si>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</si>
  <si>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</si>
  <si>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</si>
  <si>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</si>
  <si>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</si>
  <si>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</si>
  <si>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</si>
  <si>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</si>
  <si>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</si>
  <si>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</si>
  <si>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</si>
  <si>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</si>
  <si>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</si>
  <si>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</si>
  <si>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</si>
  <si>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</si>
  <si>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</si>
  <si>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</si>
  <si>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</si>
  <si>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</si>
  <si>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</si>
  <si>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</si>
  <si>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</si>
  <si>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</si>
  <si>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</si>
  <si>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</si>
  <si>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</si>
  <si>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</si>
  <si>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</si>
  <si>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</si>
  <si>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</si>
  <si>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</si>
  <si>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</si>
  <si>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</si>
  <si>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</si>
  <si>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</si>
  <si>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</si>
  <si>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</si>
  <si>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</si>
  <si>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</si>
  <si>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</si>
  <si>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</si>
  <si>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</si>
  <si>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</si>
  <si>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</si>
  <si>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</si>
  <si>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</si>
  <si>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</si>
  <si>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</si>
  <si>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</si>
  <si>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</si>
  <si>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</si>
  <si>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</si>
  <si>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</si>
  <si>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</si>
  <si>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</si>
  <si>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</si>
  <si>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</si>
  <si>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</si>
  <si>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</si>
  <si>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</si>
  <si>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</si>
  <si>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</si>
  <si>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</si>
  <si>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</si>
  <si>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</si>
  <si>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</si>
  <si>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</si>
  <si>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</si>
  <si>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</si>
  <si>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</si>
  <si>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</si>
  <si>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</si>
  <si>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</si>
  <si>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</si>
  <si>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</si>
  <si>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</si>
  <si>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</si>
  <si>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</si>
  <si>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</si>
  <si>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</si>
  <si>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</si>
  <si>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</si>
  <si>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</si>
  <si>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</si>
  <si>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</si>
  <si>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</si>
  <si>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</si>
  <si>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</si>
  <si>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</si>
  <si>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</si>
  <si>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</si>
  <si>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</si>
  <si>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</si>
  <si>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</si>
  <si>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</si>
  <si>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</si>
  <si>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</si>
  <si>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</si>
  <si>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</si>
  <si>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</si>
  <si>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</si>
  <si>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</si>
  <si>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</si>
  <si>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</si>
  <si>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</si>
  <si>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</si>
  <si>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</si>
  <si>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</si>
  <si>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</si>
  <si>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</si>
  <si>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</si>
  <si>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</si>
  <si>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</si>
  <si>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</si>
  <si>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</si>
  <si>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</si>
  <si>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</si>
  <si>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</si>
  <si>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</si>
  <si>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</si>
  <si>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</si>
  <si>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</si>
  <si>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</si>
  <si>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</si>
  <si>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</si>
  <si>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</si>
  <si>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</si>
  <si>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</si>
  <si>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</si>
  <si>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</si>
  <si>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</si>
  <si>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</si>
  <si>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</si>
  <si>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</si>
  <si>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</si>
  <si>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</si>
  <si>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</si>
  <si>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</si>
  <si>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</si>
  <si>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</si>
  <si>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</si>
  <si>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</si>
  <si>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</si>
  <si>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</si>
  <si>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</si>
  <si>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</si>
  <si>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</si>
  <si>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</si>
  <si>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</si>
  <si>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</si>
  <si>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</si>
  <si>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</si>
  <si>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</si>
  <si>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</si>
  <si>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</si>
  <si>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</si>
  <si>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</si>
  <si>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</si>
  <si>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</si>
  <si>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</si>
  <si>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</si>
  <si>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</si>
  <si>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</si>
  <si>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</si>
  <si>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</si>
  <si>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</si>
  <si>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</si>
  <si>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</si>
  <si>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</si>
  <si>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</si>
  <si>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</si>
  <si>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</si>
  <si>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</si>
  <si>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</si>
  <si>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</si>
  <si>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</si>
  <si>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</si>
  <si>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</si>
  <si>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</si>
  <si>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</si>
  <si>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</si>
  <si>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</si>
  <si>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</si>
  <si>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</si>
  <si>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</si>
  <si>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</si>
  <si>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</si>
  <si>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</si>
  <si>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</si>
  <si>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</si>
  <si>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</si>
  <si>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</si>
  <si>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</si>
  <si>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</si>
  <si>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</si>
  <si>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</si>
  <si>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</si>
  <si>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</si>
  <si>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</si>
  <si>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</si>
  <si>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</si>
  <si>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</si>
  <si>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</si>
  <si>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</si>
  <si>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</si>
  <si>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</si>
  <si>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</si>
  <si>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</si>
  <si>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</si>
  <si>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</si>
  <si>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</si>
  <si>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</si>
  <si>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</si>
  <si>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</si>
  <si>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</si>
  <si>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</si>
  <si>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</si>
  <si>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</si>
  <si>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</si>
  <si>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</si>
  <si>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</si>
  <si>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</si>
  <si>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</si>
  <si>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</si>
  <si>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</si>
  <si>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</si>
  <si>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</si>
  <si>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</si>
  <si>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</si>
  <si>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</si>
  <si>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</si>
  <si>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</si>
  <si>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</si>
  <si>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</si>
  <si>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</si>
  <si>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</si>
  <si>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</si>
  <si>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</si>
  <si>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</si>
  <si>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</si>
  <si>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</si>
  <si>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</si>
  <si>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</si>
  <si>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</si>
  <si>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</si>
  <si>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</si>
  <si>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</si>
  <si>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</si>
  <si>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</si>
  <si>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</si>
  <si>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</si>
  <si>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</si>
  <si>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</si>
  <si>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</si>
  <si>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</si>
  <si>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</si>
  <si>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</si>
  <si>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</si>
  <si>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</si>
  <si>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</si>
  <si>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</si>
  <si>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</si>
  <si>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</si>
  <si>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</si>
  <si>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</si>
  <si>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</si>
  <si>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</si>
  <si>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</si>
  <si>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</si>
  <si>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</si>
  <si>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</si>
  <si>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</si>
  <si>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</si>
  <si>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</si>
  <si>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</si>
  <si>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</si>
  <si>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</si>
  <si>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</si>
  <si>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</si>
  <si>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</si>
  <si>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</si>
  <si>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</si>
  <si>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</si>
  <si>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</si>
  <si>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</si>
  <si>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</si>
  <si>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</si>
  <si>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</si>
  <si>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</si>
  <si>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</si>
  <si>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</si>
  <si>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</si>
  <si>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</si>
  <si>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</si>
  <si>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</si>
  <si>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</si>
  <si>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</si>
  <si>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</si>
  <si>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</si>
  <si>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</si>
  <si>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</si>
  <si>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</si>
  <si>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</si>
  <si>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</si>
  <si>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</si>
  <si>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</si>
  <si>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</si>
  <si>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</si>
  <si>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</si>
  <si>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</si>
  <si>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</si>
  <si>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</si>
  <si>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</si>
  <si>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</si>
  <si>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</si>
  <si>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</si>
  <si>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</si>
  <si>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</si>
  <si>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</si>
  <si>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</si>
  <si>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</si>
  <si>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</si>
  <si>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</si>
  <si>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</si>
  <si>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</si>
  <si>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</si>
  <si>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</si>
  <si>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</si>
  <si>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</si>
  <si>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</si>
  <si>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</si>
  <si>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</si>
  <si>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</si>
  <si>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</si>
  <si>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</si>
  <si>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</si>
  <si>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</si>
  <si>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</si>
  <si>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</si>
  <si>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</si>
  <si>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</si>
  <si>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</si>
  <si>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</si>
  <si>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</si>
  <si>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</si>
  <si>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</si>
  <si>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</si>
  <si>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</si>
  <si>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</si>
  <si>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</si>
  <si>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</si>
  <si>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</si>
  <si>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</si>
  <si>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</si>
  <si>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</si>
  <si>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</si>
  <si>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</si>
  <si>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</si>
  <si>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</si>
  <si>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</si>
  <si>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</si>
  <si>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</si>
  <si>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</si>
  <si>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</si>
  <si>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</si>
  <si>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</si>
  <si>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</si>
  <si>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</si>
  <si>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</si>
  <si>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</si>
  <si>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</si>
  <si>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</si>
  <si>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</si>
  <si>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</si>
  <si>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</si>
  <si>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</si>
  <si>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</si>
  <si>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</si>
  <si>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</si>
  <si>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</si>
  <si>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</si>
  <si>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</si>
  <si>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</si>
  <si>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</si>
  <si>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</si>
  <si>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</si>
  <si>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</si>
  <si>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</si>
  <si>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</si>
  <si>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</si>
  <si>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</si>
  <si>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</si>
  <si>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</si>
  <si>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</si>
  <si>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</si>
  <si>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</si>
  <si>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</si>
  <si>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</si>
  <si>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</si>
  <si>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</si>
  <si>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</si>
  <si>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</si>
  <si>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</si>
  <si>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</si>
  <si>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</si>
  <si>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</si>
  <si>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</si>
  <si>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</si>
  <si>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</si>
  <si>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</si>
  <si>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</si>
  <si>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</si>
  <si>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</si>
  <si>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</si>
  <si>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</si>
  <si>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</si>
  <si>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</si>
  <si>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</si>
  <si>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</si>
  <si>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</si>
  <si>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</si>
  <si>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</si>
  <si>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</si>
  <si>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</si>
  <si>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</si>
  <si>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</si>
  <si>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</si>
  <si>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</si>
  <si>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</si>
  <si>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</si>
  <si>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</si>
  <si>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</si>
  <si>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</si>
  <si>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</si>
  <si>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</si>
  <si>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</si>
  <si>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</si>
  <si>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</si>
  <si>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</si>
  <si>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</si>
  <si>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</si>
  <si>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</si>
  <si>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</si>
  <si>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</si>
  <si>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</si>
  <si>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</si>
  <si>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</si>
  <si>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</si>
  <si>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</si>
  <si>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</si>
  <si>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</si>
  <si>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</si>
  <si>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</si>
  <si>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</si>
  <si>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</si>
  <si>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</si>
  <si>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</si>
  <si>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</si>
  <si>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</si>
  <si>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</si>
  <si>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</si>
  <si>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</si>
  <si>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</si>
  <si>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</si>
  <si>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</si>
  <si>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</si>
  <si>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</si>
  <si>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</si>
  <si>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</si>
  <si>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</si>
  <si>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</si>
  <si>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</si>
  <si>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</si>
  <si>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</si>
  <si>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</si>
  <si>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</si>
  <si>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</si>
  <si>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</si>
  <si>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</si>
  <si>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</si>
  <si>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</si>
  <si>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</si>
  <si>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</si>
  <si>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</si>
  <si>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</si>
  <si>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</si>
  <si>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</si>
  <si>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</si>
  <si>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</si>
  <si>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</si>
  <si>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</si>
  <si>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</si>
  <si>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</si>
  <si>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</si>
  <si>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</si>
  <si>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</si>
  <si>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</si>
  <si>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</si>
  <si>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</si>
  <si>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</si>
  <si>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</si>
  <si>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</si>
  <si>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</si>
  <si>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</si>
  <si>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</si>
  <si>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</si>
  <si>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</si>
  <si>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</si>
  <si>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</si>
  <si>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</si>
  <si>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</si>
  <si>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</si>
  <si>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</si>
  <si>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</si>
  <si>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</si>
  <si>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</si>
  <si>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</si>
  <si>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</si>
  <si>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</si>
  <si>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</si>
  <si>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</si>
  <si>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</si>
  <si>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</si>
  <si>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</si>
  <si>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</si>
  <si>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</si>
  <si>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</si>
  <si>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</si>
  <si>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</si>
  <si>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</si>
  <si>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</si>
  <si>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</si>
  <si>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</si>
  <si>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</si>
  <si>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</si>
  <si>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</si>
  <si>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</si>
  <si>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</si>
  <si>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</si>
  <si>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</si>
  <si>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</si>
  <si>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</si>
  <si>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</si>
  <si>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</si>
  <si>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</si>
  <si>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</si>
  <si>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</si>
  <si>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</si>
  <si>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</si>
  <si>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</si>
  <si>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</si>
  <si>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</si>
  <si>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</si>
  <si>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</si>
  <si>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</si>
  <si>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</si>
  <si>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</si>
  <si>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44045</t>
  </si>
  <si>
    <t>MOERBEKE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</si>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</sst>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58143.470248431651</c:v>
                </c:pt>
                <c:pt idx="1">
                  <c:v>11207.390301189558</c:v>
                </c:pt>
                <c:pt idx="2">
                  <c:v>616.15300000000002</c:v>
                </c:pt>
                <c:pt idx="3">
                  <c:v>18854.412629837232</c:v>
                </c:pt>
                <c:pt idx="4">
                  <c:v>1490.4553580120919</c:v>
                </c:pt>
                <c:pt idx="5">
                  <c:v>75131.699137493488</c:v>
                </c:pt>
                <c:pt idx="6">
                  <c:v>736.65376997975829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62549120"/>
        <c:axId val="162550912"/>
      </c:barChart>
      <c:catAx>
        <c:axId val="162549120"/>
        <c:scaling>
          <c:orientation val="minMax"/>
        </c:scaling>
        <c:axPos val="b"/>
        <c:numFmt formatCode="General" sourceLinked="0"/>
        <c:tickLblPos val="nextTo"/>
        <c:crossAx val="162550912"/>
        <c:crosses val="autoZero"/>
        <c:auto val="1"/>
        <c:lblAlgn val="ctr"/>
        <c:lblOffset val="100"/>
      </c:catAx>
      <c:valAx>
        <c:axId val="162550912"/>
        <c:scaling>
          <c:orientation val="minMax"/>
        </c:scaling>
        <c:axPos val="l"/>
        <c:majorGridlines/>
        <c:numFmt formatCode="#,##0" sourceLinked="1"/>
        <c:tickLblPos val="nextTo"/>
        <c:crossAx val="1625491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58143.470248431651</c:v>
                </c:pt>
                <c:pt idx="1">
                  <c:v>11207.390301189558</c:v>
                </c:pt>
                <c:pt idx="2">
                  <c:v>616.15300000000002</c:v>
                </c:pt>
                <c:pt idx="3">
                  <c:v>18854.412629837232</c:v>
                </c:pt>
                <c:pt idx="4">
                  <c:v>1490.4553580120919</c:v>
                </c:pt>
                <c:pt idx="5">
                  <c:v>75131.699137493488</c:v>
                </c:pt>
                <c:pt idx="6">
                  <c:v>736.65376997975829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11349.736927731814</c:v>
                </c:pt>
                <c:pt idx="1">
                  <c:v>2199.8197226091279</c:v>
                </c:pt>
                <c:pt idx="2">
                  <c:v>128.53889529611612</c:v>
                </c:pt>
                <c:pt idx="3">
                  <c:v>4362.1931147099622</c:v>
                </c:pt>
                <c:pt idx="4">
                  <c:v>307.4174596984592</c:v>
                </c:pt>
                <c:pt idx="5">
                  <c:v>19016.775472470461</c:v>
                </c:pt>
                <c:pt idx="6">
                  <c:v>188.3118672527838</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62646272"/>
        <c:axId val="180289536"/>
      </c:barChart>
      <c:catAx>
        <c:axId val="162646272"/>
        <c:scaling>
          <c:orientation val="minMax"/>
        </c:scaling>
        <c:axPos val="b"/>
        <c:numFmt formatCode="General" sourceLinked="0"/>
        <c:tickLblPos val="nextTo"/>
        <c:crossAx val="180289536"/>
        <c:crosses val="autoZero"/>
        <c:auto val="1"/>
        <c:lblAlgn val="ctr"/>
        <c:lblOffset val="100"/>
      </c:catAx>
      <c:valAx>
        <c:axId val="180289536"/>
        <c:scaling>
          <c:orientation val="minMax"/>
        </c:scaling>
        <c:axPos val="l"/>
        <c:majorGridlines/>
        <c:numFmt formatCode="#,##0" sourceLinked="1"/>
        <c:tickLblPos val="nextTo"/>
        <c:crossAx val="1626462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11349.736927731814</c:v>
                </c:pt>
                <c:pt idx="1">
                  <c:v>2199.8197226091279</c:v>
                </c:pt>
                <c:pt idx="2">
                  <c:v>128.53889529611612</c:v>
                </c:pt>
                <c:pt idx="3">
                  <c:v>4362.1931147099622</c:v>
                </c:pt>
                <c:pt idx="4">
                  <c:v>307.4174596984592</c:v>
                </c:pt>
                <c:pt idx="5">
                  <c:v>19016.775472470461</c:v>
                </c:pt>
                <c:pt idx="6">
                  <c:v>188.3118672527838</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44045</v>
      </c>
      <c r="B6" s="398"/>
      <c r="C6" s="399"/>
    </row>
    <row r="7" spans="1:7" s="396" customFormat="1" ht="15.75" customHeight="1">
      <c r="A7" s="400" t="str">
        <f>txtMunicipality</f>
        <v>MOERBEKE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44045</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2550</v>
      </c>
      <c r="C9" s="338">
        <v>2636</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2294</v>
      </c>
    </row>
    <row r="15" spans="1:6">
      <c r="A15" s="1269" t="s">
        <v>184</v>
      </c>
      <c r="B15" s="335">
        <v>10</v>
      </c>
    </row>
    <row r="16" spans="1:6">
      <c r="A16" s="1269" t="s">
        <v>6</v>
      </c>
      <c r="B16" s="335">
        <v>620</v>
      </c>
    </row>
    <row r="17" spans="1:6">
      <c r="A17" s="1269" t="s">
        <v>7</v>
      </c>
      <c r="B17" s="335">
        <v>621</v>
      </c>
    </row>
    <row r="18" spans="1:6">
      <c r="A18" s="1269" t="s">
        <v>8</v>
      </c>
      <c r="B18" s="335">
        <v>1047</v>
      </c>
    </row>
    <row r="19" spans="1:6">
      <c r="A19" s="1269" t="s">
        <v>9</v>
      </c>
      <c r="B19" s="335">
        <v>1247</v>
      </c>
    </row>
    <row r="20" spans="1:6">
      <c r="A20" s="1269" t="s">
        <v>10</v>
      </c>
      <c r="B20" s="335">
        <v>674</v>
      </c>
    </row>
    <row r="21" spans="1:6">
      <c r="A21" s="1269" t="s">
        <v>11</v>
      </c>
      <c r="B21" s="335">
        <v>4048</v>
      </c>
    </row>
    <row r="22" spans="1:6">
      <c r="A22" s="1269" t="s">
        <v>12</v>
      </c>
      <c r="B22" s="335">
        <v>7623</v>
      </c>
    </row>
    <row r="23" spans="1:6">
      <c r="A23" s="1269" t="s">
        <v>13</v>
      </c>
      <c r="B23" s="335">
        <v>406</v>
      </c>
    </row>
    <row r="24" spans="1:6">
      <c r="A24" s="1269" t="s">
        <v>14</v>
      </c>
      <c r="B24" s="335">
        <v>9</v>
      </c>
    </row>
    <row r="25" spans="1:6">
      <c r="A25" s="1269" t="s">
        <v>15</v>
      </c>
      <c r="B25" s="335">
        <v>1102</v>
      </c>
    </row>
    <row r="26" spans="1:6">
      <c r="A26" s="1269" t="s">
        <v>16</v>
      </c>
      <c r="B26" s="335">
        <v>42</v>
      </c>
    </row>
    <row r="27" spans="1:6">
      <c r="A27" s="1269" t="s">
        <v>17</v>
      </c>
      <c r="B27" s="335">
        <v>0</v>
      </c>
    </row>
    <row r="28" spans="1:6" s="341" customFormat="1">
      <c r="A28" s="1270" t="s">
        <v>18</v>
      </c>
      <c r="B28" s="1270">
        <v>34205</v>
      </c>
    </row>
    <row r="29" spans="1:6">
      <c r="A29" s="1270" t="s">
        <v>874</v>
      </c>
      <c r="B29" s="1270">
        <v>68</v>
      </c>
      <c r="C29" s="341"/>
      <c r="D29" s="341"/>
      <c r="E29" s="341"/>
      <c r="F29" s="341"/>
    </row>
    <row r="30" spans="1:6">
      <c r="A30" s="1265" t="s">
        <v>875</v>
      </c>
      <c r="B30" s="1265">
        <v>31</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0</v>
      </c>
      <c r="F38" s="335">
        <v>0</v>
      </c>
    </row>
    <row r="39" spans="1:6">
      <c r="A39" s="1269" t="s">
        <v>30</v>
      </c>
      <c r="B39" s="1269" t="s">
        <v>31</v>
      </c>
      <c r="C39" s="335">
        <v>1342</v>
      </c>
      <c r="D39" s="335">
        <v>24295481.882030901</v>
      </c>
      <c r="E39" s="335">
        <v>2418</v>
      </c>
      <c r="F39" s="335">
        <v>11358827.3939631</v>
      </c>
    </row>
    <row r="40" spans="1:6">
      <c r="A40" s="1269" t="s">
        <v>30</v>
      </c>
      <c r="B40" s="1269" t="s">
        <v>29</v>
      </c>
      <c r="C40" s="335">
        <v>0</v>
      </c>
      <c r="D40" s="335">
        <v>0</v>
      </c>
      <c r="E40" s="335">
        <v>0</v>
      </c>
      <c r="F40" s="335">
        <v>0</v>
      </c>
    </row>
    <row r="41" spans="1:6">
      <c r="A41" s="1269" t="s">
        <v>32</v>
      </c>
      <c r="B41" s="1269" t="s">
        <v>33</v>
      </c>
      <c r="C41" s="335">
        <v>8</v>
      </c>
      <c r="D41" s="335">
        <v>101354.614146719</v>
      </c>
      <c r="E41" s="335">
        <v>32</v>
      </c>
      <c r="F41" s="335">
        <v>169122.754488726</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0</v>
      </c>
      <c r="F44" s="335">
        <v>0</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10</v>
      </c>
      <c r="D48" s="335">
        <v>281316.34612604103</v>
      </c>
      <c r="E48" s="335">
        <v>18</v>
      </c>
      <c r="F48" s="335">
        <v>109678.9036607</v>
      </c>
    </row>
    <row r="49" spans="1:6">
      <c r="A49" s="1269" t="s">
        <v>32</v>
      </c>
      <c r="B49" s="1269" t="s">
        <v>40</v>
      </c>
      <c r="C49" s="335">
        <v>0</v>
      </c>
      <c r="D49" s="335">
        <v>0</v>
      </c>
      <c r="E49" s="335">
        <v>0</v>
      </c>
      <c r="F49" s="335">
        <v>0</v>
      </c>
    </row>
    <row r="50" spans="1:6">
      <c r="A50" s="1269" t="s">
        <v>32</v>
      </c>
      <c r="B50" s="1269" t="s">
        <v>41</v>
      </c>
      <c r="C50" s="335">
        <v>0</v>
      </c>
      <c r="D50" s="335">
        <v>0</v>
      </c>
      <c r="E50" s="335">
        <v>3</v>
      </c>
      <c r="F50" s="335">
        <v>209015.91760899799</v>
      </c>
    </row>
    <row r="51" spans="1:6">
      <c r="A51" s="1269" t="s">
        <v>42</v>
      </c>
      <c r="B51" s="1269" t="s">
        <v>43</v>
      </c>
      <c r="C51" s="335">
        <v>15</v>
      </c>
      <c r="D51" s="335">
        <v>8575391.0728198197</v>
      </c>
      <c r="E51" s="335">
        <v>83</v>
      </c>
      <c r="F51" s="335">
        <v>2115757.8709777002</v>
      </c>
    </row>
    <row r="52" spans="1:6">
      <c r="A52" s="1269" t="s">
        <v>42</v>
      </c>
      <c r="B52" s="1269" t="s">
        <v>29</v>
      </c>
      <c r="C52" s="335">
        <v>7</v>
      </c>
      <c r="D52" s="335">
        <v>102170.821467042</v>
      </c>
      <c r="E52" s="335">
        <v>7</v>
      </c>
      <c r="F52" s="335">
        <v>63299.550508200497</v>
      </c>
    </row>
    <row r="53" spans="1:6">
      <c r="A53" s="1269" t="s">
        <v>44</v>
      </c>
      <c r="B53" s="1269" t="s">
        <v>45</v>
      </c>
      <c r="C53" s="335">
        <v>34</v>
      </c>
      <c r="D53" s="335">
        <v>1080638.5729797101</v>
      </c>
      <c r="E53" s="335">
        <v>70</v>
      </c>
      <c r="F53" s="335">
        <v>500240.327942768</v>
      </c>
    </row>
    <row r="54" spans="1:6">
      <c r="A54" s="1269" t="s">
        <v>46</v>
      </c>
      <c r="B54" s="1269" t="s">
        <v>47</v>
      </c>
      <c r="C54" s="335">
        <v>0</v>
      </c>
      <c r="D54" s="335">
        <v>0</v>
      </c>
      <c r="E54" s="335">
        <v>1</v>
      </c>
      <c r="F54" s="335">
        <v>616153</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6</v>
      </c>
      <c r="D57" s="335">
        <v>162674.00826636201</v>
      </c>
      <c r="E57" s="335">
        <v>22</v>
      </c>
      <c r="F57" s="335">
        <v>1052421.6292856401</v>
      </c>
    </row>
    <row r="58" spans="1:6">
      <c r="A58" s="1269" t="s">
        <v>49</v>
      </c>
      <c r="B58" s="1269" t="s">
        <v>51</v>
      </c>
      <c r="C58" s="335">
        <v>0</v>
      </c>
      <c r="D58" s="335">
        <v>0</v>
      </c>
      <c r="E58" s="335">
        <v>10</v>
      </c>
      <c r="F58" s="335">
        <v>150508.01238615799</v>
      </c>
    </row>
    <row r="59" spans="1:6">
      <c r="A59" s="1269" t="s">
        <v>49</v>
      </c>
      <c r="B59" s="1269" t="s">
        <v>52</v>
      </c>
      <c r="C59" s="335">
        <v>3</v>
      </c>
      <c r="D59" s="335">
        <v>129609.33824769501</v>
      </c>
      <c r="E59" s="335">
        <v>30</v>
      </c>
      <c r="F59" s="335">
        <v>1153539.55325386</v>
      </c>
    </row>
    <row r="60" spans="1:6">
      <c r="A60" s="1269" t="s">
        <v>49</v>
      </c>
      <c r="B60" s="1269" t="s">
        <v>53</v>
      </c>
      <c r="C60" s="335">
        <v>11</v>
      </c>
      <c r="D60" s="335">
        <v>375620.23286722502</v>
      </c>
      <c r="E60" s="335">
        <v>22</v>
      </c>
      <c r="F60" s="335">
        <v>408640.34520014998</v>
      </c>
    </row>
    <row r="61" spans="1:6">
      <c r="A61" s="1269" t="s">
        <v>49</v>
      </c>
      <c r="B61" s="1269" t="s">
        <v>54</v>
      </c>
      <c r="C61" s="335">
        <v>20</v>
      </c>
      <c r="D61" s="335">
        <v>2797971.4963350301</v>
      </c>
      <c r="E61" s="335">
        <v>63</v>
      </c>
      <c r="F61" s="335">
        <v>1172667.22713157</v>
      </c>
    </row>
    <row r="62" spans="1:6">
      <c r="A62" s="1269" t="s">
        <v>49</v>
      </c>
      <c r="B62" s="1269" t="s">
        <v>55</v>
      </c>
      <c r="C62" s="335">
        <v>0</v>
      </c>
      <c r="D62" s="335">
        <v>0</v>
      </c>
      <c r="E62" s="335">
        <v>0</v>
      </c>
      <c r="F62" s="335">
        <v>0</v>
      </c>
    </row>
    <row r="63" spans="1:6">
      <c r="A63" s="1269" t="s">
        <v>49</v>
      </c>
      <c r="B63" s="1269" t="s">
        <v>29</v>
      </c>
      <c r="C63" s="335">
        <v>54</v>
      </c>
      <c r="D63" s="335">
        <v>1491389.6720984399</v>
      </c>
      <c r="E63" s="335">
        <v>82</v>
      </c>
      <c r="F63" s="335">
        <v>910559.00133764895</v>
      </c>
    </row>
    <row r="64" spans="1:6">
      <c r="A64" s="1269" t="s">
        <v>56</v>
      </c>
      <c r="B64" s="1269" t="s">
        <v>57</v>
      </c>
      <c r="C64" s="335">
        <v>0</v>
      </c>
      <c r="D64" s="335">
        <v>0</v>
      </c>
      <c r="E64" s="335">
        <v>0</v>
      </c>
      <c r="F64" s="335">
        <v>0</v>
      </c>
    </row>
    <row r="65" spans="1:6">
      <c r="A65" s="1269" t="s">
        <v>56</v>
      </c>
      <c r="B65" s="1269" t="s">
        <v>29</v>
      </c>
      <c r="C65" s="335">
        <v>1</v>
      </c>
      <c r="D65" s="335">
        <v>7519.6079430789996</v>
      </c>
      <c r="E65" s="335">
        <v>1</v>
      </c>
      <c r="F65" s="335">
        <v>1614.407744802</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4</v>
      </c>
      <c r="D68" s="335">
        <v>86028.684621068503</v>
      </c>
      <c r="E68" s="335">
        <v>4</v>
      </c>
      <c r="F68" s="335">
        <v>55790.774951790998</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562632</v>
      </c>
      <c r="E73" s="335">
        <v>734052.66951286804</v>
      </c>
    </row>
    <row r="74" spans="1:6">
      <c r="A74" s="1269" t="s">
        <v>64</v>
      </c>
      <c r="B74" s="1269" t="s">
        <v>727</v>
      </c>
      <c r="C74" s="1269" t="s">
        <v>728</v>
      </c>
      <c r="D74" s="335">
        <v>2820.5</v>
      </c>
      <c r="E74" s="335">
        <v>3327.8356843258148</v>
      </c>
    </row>
    <row r="75" spans="1:6">
      <c r="A75" s="1269" t="s">
        <v>65</v>
      </c>
      <c r="B75" s="1269" t="s">
        <v>725</v>
      </c>
      <c r="C75" s="1269" t="s">
        <v>729</v>
      </c>
      <c r="D75" s="335">
        <v>25187081</v>
      </c>
      <c r="E75" s="335">
        <v>30916260.618094262</v>
      </c>
    </row>
    <row r="76" spans="1:6">
      <c r="A76" s="1269" t="s">
        <v>65</v>
      </c>
      <c r="B76" s="1269" t="s">
        <v>727</v>
      </c>
      <c r="C76" s="1269" t="s">
        <v>730</v>
      </c>
      <c r="D76" s="335">
        <v>2015514.429239871</v>
      </c>
      <c r="E76" s="335">
        <v>2283233.7425238001</v>
      </c>
    </row>
    <row r="77" spans="1:6">
      <c r="A77" s="1269" t="s">
        <v>66</v>
      </c>
      <c r="B77" s="1269" t="s">
        <v>725</v>
      </c>
      <c r="C77" s="1269" t="s">
        <v>731</v>
      </c>
      <c r="D77" s="335">
        <v>33636491</v>
      </c>
      <c r="E77" s="335">
        <v>40383959.868076131</v>
      </c>
    </row>
    <row r="78" spans="1:6">
      <c r="A78" s="1265" t="s">
        <v>66</v>
      </c>
      <c r="B78" s="1265" t="s">
        <v>727</v>
      </c>
      <c r="C78" s="1265" t="s">
        <v>732</v>
      </c>
      <c r="D78" s="1265">
        <v>8352830</v>
      </c>
      <c r="E78" s="1265">
        <v>10231343.314133627</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194615.14152025792</v>
      </c>
      <c r="C83" s="335">
        <v>194220.70099360315</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1127.9161757836073</v>
      </c>
    </row>
    <row r="92" spans="1:6">
      <c r="A92" s="1265" t="s">
        <v>69</v>
      </c>
      <c r="B92" s="338">
        <v>27.698433346899147</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597</v>
      </c>
    </row>
    <row r="98" spans="1:6">
      <c r="A98" s="1269" t="s">
        <v>72</v>
      </c>
      <c r="B98" s="335">
        <v>0</v>
      </c>
    </row>
    <row r="99" spans="1:6">
      <c r="A99" s="1269" t="s">
        <v>73</v>
      </c>
      <c r="B99" s="335">
        <v>68</v>
      </c>
    </row>
    <row r="100" spans="1:6">
      <c r="A100" s="1269" t="s">
        <v>74</v>
      </c>
      <c r="B100" s="335">
        <v>283</v>
      </c>
    </row>
    <row r="101" spans="1:6">
      <c r="A101" s="1269" t="s">
        <v>75</v>
      </c>
      <c r="B101" s="335">
        <v>56</v>
      </c>
    </row>
    <row r="102" spans="1:6">
      <c r="A102" s="1269" t="s">
        <v>76</v>
      </c>
      <c r="B102" s="335">
        <v>62</v>
      </c>
    </row>
    <row r="103" spans="1:6">
      <c r="A103" s="1269" t="s">
        <v>77</v>
      </c>
      <c r="B103" s="335">
        <v>168</v>
      </c>
    </row>
    <row r="104" spans="1:6">
      <c r="A104" s="1269" t="s">
        <v>78</v>
      </c>
      <c r="B104" s="335">
        <v>1024</v>
      </c>
    </row>
    <row r="105" spans="1:6">
      <c r="A105" s="1265" t="s">
        <v>79</v>
      </c>
      <c r="B105" s="1265">
        <v>6</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17</v>
      </c>
      <c r="C123" s="335">
        <v>17</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27</v>
      </c>
    </row>
    <row r="130" spans="1:6">
      <c r="A130" s="1269" t="s">
        <v>295</v>
      </c>
      <c r="B130" s="335">
        <v>0</v>
      </c>
    </row>
    <row r="131" spans="1:6">
      <c r="A131" s="1269" t="s">
        <v>296</v>
      </c>
      <c r="B131" s="335">
        <v>0</v>
      </c>
    </row>
    <row r="132" spans="1:6">
      <c r="A132" s="1265" t="s">
        <v>297</v>
      </c>
      <c r="B132" s="338">
        <v>4</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20621.350056662039</v>
      </c>
      <c r="C3" s="43" t="s">
        <v>170</v>
      </c>
      <c r="D3" s="43"/>
      <c r="E3" s="156"/>
      <c r="F3" s="43"/>
      <c r="G3" s="43"/>
      <c r="H3" s="43"/>
      <c r="I3" s="43"/>
      <c r="J3" s="43"/>
      <c r="K3" s="96"/>
    </row>
    <row r="4" spans="1:11">
      <c r="A4" s="366" t="s">
        <v>171</v>
      </c>
      <c r="B4" s="49">
        <f>IF(ISERROR('SEAP template'!B69),0,'SEAP template'!B69)</f>
        <v>1155.6146091305063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0.20861522267377766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616.15300000000002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616.15300000000002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0.20861522267377766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128.53889529611612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11358.8273939631</v>
      </c>
      <c r="C5" s="17">
        <f>IF(ISERROR('Eigen informatie GS &amp; warmtenet'!B57),0,'Eigen informatie GS &amp; warmtenet'!B57)</f>
        <v>0</v>
      </c>
      <c r="D5" s="30">
        <f>(SUM(HH_hh_gas_kWh,HH_rest_gas_kWh)/1000)*0.902</f>
        <v>21914.524657591872</v>
      </c>
      <c r="E5" s="17">
        <f>B46*B57</f>
        <v>2576.2978488206427</v>
      </c>
      <c r="F5" s="17">
        <f>B51*B62</f>
        <v>8938.9118368762829</v>
      </c>
      <c r="G5" s="18"/>
      <c r="H5" s="17"/>
      <c r="I5" s="17"/>
      <c r="J5" s="17">
        <f>B50*B61+C50*C61</f>
        <v>3803.8674703303159</v>
      </c>
      <c r="K5" s="17"/>
      <c r="L5" s="17"/>
      <c r="M5" s="17"/>
      <c r="N5" s="17">
        <f>B48*B59+C48*C59</f>
        <v>7953.9381983991634</v>
      </c>
      <c r="O5" s="17">
        <f>B69*B70*B71</f>
        <v>68.786666666666676</v>
      </c>
      <c r="P5" s="17">
        <f>B77*B78*B79/1000-B77*B78*B79/1000/B80</f>
        <v>400.4</v>
      </c>
    </row>
    <row r="6" spans="1:16">
      <c r="A6" s="16" t="s">
        <v>634</v>
      </c>
      <c r="B6" s="831">
        <f>kWh_PV_kleiner_dan_10kW</f>
        <v>1127.9161757836073</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12486.743569746708</v>
      </c>
      <c r="C8" s="21">
        <f>C5</f>
        <v>0</v>
      </c>
      <c r="D8" s="21">
        <f>D5</f>
        <v>21914.524657591872</v>
      </c>
      <c r="E8" s="21">
        <f>E5</f>
        <v>2576.2978488206427</v>
      </c>
      <c r="F8" s="21">
        <f>F5</f>
        <v>8938.9118368762829</v>
      </c>
      <c r="G8" s="21"/>
      <c r="H8" s="21"/>
      <c r="I8" s="21"/>
      <c r="J8" s="21">
        <f>J5</f>
        <v>3803.8674703303159</v>
      </c>
      <c r="K8" s="21"/>
      <c r="L8" s="21">
        <f>L5</f>
        <v>0</v>
      </c>
      <c r="M8" s="21">
        <f>M5</f>
        <v>0</v>
      </c>
      <c r="N8" s="21">
        <f>N5</f>
        <v>7953.9381983991634</v>
      </c>
      <c r="O8" s="21">
        <f>O5</f>
        <v>68.786666666666676</v>
      </c>
      <c r="P8" s="21">
        <f>P5</f>
        <v>400.4</v>
      </c>
    </row>
    <row r="9" spans="1:16">
      <c r="B9" s="19"/>
      <c r="C9" s="19"/>
      <c r="D9" s="261"/>
      <c r="E9" s="19"/>
      <c r="F9" s="19"/>
      <c r="G9" s="19"/>
      <c r="H9" s="19"/>
      <c r="I9" s="19"/>
      <c r="J9" s="19"/>
      <c r="K9" s="19"/>
      <c r="L9" s="19"/>
      <c r="M9" s="19"/>
      <c r="N9" s="19"/>
      <c r="O9" s="19"/>
      <c r="P9" s="19"/>
    </row>
    <row r="10" spans="1:16">
      <c r="A10" s="24" t="s">
        <v>214</v>
      </c>
      <c r="B10" s="25">
        <f ca="1">'EF ele_warmte'!B12</f>
        <v>0.20861522267377766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2604.9247902730708</v>
      </c>
      <c r="C12" s="23">
        <f ca="1">C10*C8</f>
        <v>0</v>
      </c>
      <c r="D12" s="23">
        <f>D8*D10</f>
        <v>4426.7339808335582</v>
      </c>
      <c r="E12" s="23">
        <f>E10*E8</f>
        <v>584.81961168228588</v>
      </c>
      <c r="F12" s="23">
        <f>F10*F8</f>
        <v>2386.6894604459676</v>
      </c>
      <c r="G12" s="23"/>
      <c r="H12" s="23"/>
      <c r="I12" s="23"/>
      <c r="J12" s="23">
        <f>J10*J8</f>
        <v>1346.5690844969317</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597</v>
      </c>
      <c r="C18" s="168" t="s">
        <v>111</v>
      </c>
      <c r="D18" s="230"/>
      <c r="E18" s="15"/>
    </row>
    <row r="19" spans="1:7">
      <c r="A19" s="173" t="s">
        <v>72</v>
      </c>
      <c r="B19" s="37">
        <f>aantalw2001_ander</f>
        <v>0</v>
      </c>
      <c r="C19" s="168" t="s">
        <v>111</v>
      </c>
      <c r="D19" s="231"/>
      <c r="E19" s="15"/>
    </row>
    <row r="20" spans="1:7">
      <c r="A20" s="173" t="s">
        <v>73</v>
      </c>
      <c r="B20" s="37">
        <f>aantalw2001_propaan</f>
        <v>68</v>
      </c>
      <c r="C20" s="169">
        <f>IF(ISERROR(B20/SUM($B$20,$B$21,$B$22)*100),0,B20/SUM($B$20,$B$21,$B$22)*100)</f>
        <v>16.707616707616708</v>
      </c>
      <c r="D20" s="231"/>
      <c r="E20" s="15"/>
    </row>
    <row r="21" spans="1:7">
      <c r="A21" s="173" t="s">
        <v>74</v>
      </c>
      <c r="B21" s="37">
        <f>aantalw2001_elektriciteit</f>
        <v>283</v>
      </c>
      <c r="C21" s="169">
        <f>IF(ISERROR(B21/SUM($B$20,$B$21,$B$22)*100),0,B21/SUM($B$20,$B$21,$B$22)*100)</f>
        <v>69.533169533169541</v>
      </c>
      <c r="D21" s="231"/>
      <c r="E21" s="15"/>
    </row>
    <row r="22" spans="1:7">
      <c r="A22" s="173" t="s">
        <v>75</v>
      </c>
      <c r="B22" s="37">
        <f>aantalw2001_hout</f>
        <v>56</v>
      </c>
      <c r="C22" s="169">
        <f>IF(ISERROR(B22/SUM($B$20,$B$21,$B$22)*100),0,B22/SUM($B$20,$B$21,$B$22)*100)</f>
        <v>13.759213759213759</v>
      </c>
      <c r="D22" s="231"/>
      <c r="E22" s="15"/>
    </row>
    <row r="23" spans="1:7">
      <c r="A23" s="173" t="s">
        <v>76</v>
      </c>
      <c r="B23" s="37">
        <f>aantalw2001_niet_gespec</f>
        <v>62</v>
      </c>
      <c r="C23" s="168" t="s">
        <v>111</v>
      </c>
      <c r="D23" s="230"/>
      <c r="E23" s="15"/>
    </row>
    <row r="24" spans="1:7">
      <c r="A24" s="173" t="s">
        <v>77</v>
      </c>
      <c r="B24" s="37">
        <f>aantalw2001_steenkool</f>
        <v>168</v>
      </c>
      <c r="C24" s="168" t="s">
        <v>111</v>
      </c>
      <c r="D24" s="231"/>
      <c r="E24" s="15"/>
    </row>
    <row r="25" spans="1:7">
      <c r="A25" s="173" t="s">
        <v>78</v>
      </c>
      <c r="B25" s="37">
        <f>aantalw2001_stookolie</f>
        <v>1024</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2550</v>
      </c>
      <c r="C28" s="36"/>
      <c r="D28" s="230"/>
    </row>
    <row r="29" spans="1:7" s="15" customFormat="1">
      <c r="A29" s="232" t="s">
        <v>746</v>
      </c>
      <c r="B29" s="37">
        <f>SUM(HH_hh_gas_aantal,HH_rest_gas_aantal)</f>
        <v>1342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1342</v>
      </c>
      <c r="C32" s="169">
        <f>IF(ISERROR(B32/SUM($B$32,$B$34,$B$35,$B$36,$B$38,$B$39)*100),0,B32/SUM($B$32,$B$34,$B$35,$B$36,$B$38,$B$39)*100)</f>
        <v>53.064452352708571</v>
      </c>
      <c r="D32" s="235"/>
      <c r="G32" s="15"/>
    </row>
    <row r="33" spans="1:7">
      <c r="A33" s="173" t="s">
        <v>72</v>
      </c>
      <c r="B33" s="34" t="s">
        <v>111</v>
      </c>
      <c r="C33" s="169"/>
      <c r="D33" s="235"/>
      <c r="G33" s="15"/>
    </row>
    <row r="34" spans="1:7">
      <c r="A34" s="173" t="s">
        <v>73</v>
      </c>
      <c r="B34" s="33">
        <f>IF((($B$28-$B$32-$B$39-$B$77-$B$38)*C20/100)&lt;0,0,($B$28-$B$32-$B$39-$B$77-$B$38)*C20/100)</f>
        <v>123.63636363636364</v>
      </c>
      <c r="C34" s="169">
        <f>IF(ISERROR(B34/SUM($B$32,$B$34,$B$35,$B$36,$B$38,$B$39)*100),0,B34/SUM($B$32,$B$34,$B$35,$B$36,$B$38,$B$39)*100)</f>
        <v>4.8887451022682331</v>
      </c>
      <c r="D34" s="235"/>
      <c r="G34" s="15"/>
    </row>
    <row r="35" spans="1:7">
      <c r="A35" s="173" t="s">
        <v>74</v>
      </c>
      <c r="B35" s="33">
        <f>IF((($B$28-$B$32-$B$39-$B$77-$B$38)*C21/100)&lt;0,0,($B$28-$B$32-$B$39-$B$77-$B$38)*C21/100)</f>
        <v>514.54545454545462</v>
      </c>
      <c r="C35" s="169">
        <f>IF(ISERROR(B35/SUM($B$32,$B$34,$B$35,$B$36,$B$38,$B$39)*100),0,B35/SUM($B$32,$B$34,$B$35,$B$36,$B$38,$B$39)*100)</f>
        <v>20.345806822675151</v>
      </c>
      <c r="D35" s="235"/>
      <c r="G35" s="15"/>
    </row>
    <row r="36" spans="1:7">
      <c r="A36" s="173" t="s">
        <v>75</v>
      </c>
      <c r="B36" s="33">
        <f>IF((($B$28-$B$32-$B$39-$B$77-$B$38)*C22/100)&lt;0,0,($B$28-$B$32-$B$39-$B$77-$B$38)*C22/100)</f>
        <v>101.81818181818181</v>
      </c>
      <c r="C36" s="169">
        <f>IF(ISERROR(B36/SUM($B$32,$B$34,$B$35,$B$36,$B$38,$B$39)*100),0,B36/SUM($B$32,$B$34,$B$35,$B$36,$B$38,$B$39)*100)</f>
        <v>4.0260253783385451</v>
      </c>
      <c r="D36" s="235"/>
      <c r="G36" s="15"/>
    </row>
    <row r="37" spans="1:7">
      <c r="A37" s="173" t="s">
        <v>76</v>
      </c>
      <c r="B37" s="34" t="s">
        <v>111</v>
      </c>
      <c r="C37" s="169"/>
      <c r="D37" s="175"/>
      <c r="G37" s="15"/>
    </row>
    <row r="38" spans="1:7">
      <c r="A38" s="173" t="s">
        <v>77</v>
      </c>
      <c r="B38" s="33">
        <f>IF((B24-(B29-B18)*0.1)&lt;0,0,B24-(B29-B18)*0.1)</f>
        <v>93.5</v>
      </c>
      <c r="C38" s="169">
        <f>IF(ISERROR(B38/SUM($B$32,$B$34,$B$35,$B$36,$B$38,$B$39)*100),0,B38/SUM($B$32,$B$34,$B$35,$B$36,$B$38,$B$39)*100)</f>
        <v>3.6971134835903516</v>
      </c>
      <c r="D38" s="236"/>
      <c r="G38" s="15"/>
    </row>
    <row r="39" spans="1:7">
      <c r="A39" s="173" t="s">
        <v>78</v>
      </c>
      <c r="B39" s="33">
        <f>IF((B25-(B29-B18))&lt;0,0,B25-(B29-B18)*0.9)</f>
        <v>353.5</v>
      </c>
      <c r="C39" s="169">
        <f>IF(ISERROR(B39/SUM($B$32,$B$34,$B$35,$B$36,$B$38,$B$39)*100),0,B39/SUM($B$32,$B$34,$B$35,$B$36,$B$38,$B$39)*100)</f>
        <v>13.977856860419136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1342</v>
      </c>
      <c r="C44" s="34" t="s">
        <v>111</v>
      </c>
      <c r="D44" s="176"/>
    </row>
    <row r="45" spans="1:7">
      <c r="A45" s="173" t="s">
        <v>72</v>
      </c>
      <c r="B45" s="33" t="str">
        <f t="shared" si="0"/>
        <v>-</v>
      </c>
      <c r="C45" s="34" t="s">
        <v>111</v>
      </c>
      <c r="D45" s="176"/>
    </row>
    <row r="46" spans="1:7">
      <c r="A46" s="173" t="s">
        <v>73</v>
      </c>
      <c r="B46" s="33">
        <f t="shared" si="0"/>
        <v>123.63636363636364</v>
      </c>
      <c r="C46" s="34" t="s">
        <v>111</v>
      </c>
      <c r="D46" s="176"/>
    </row>
    <row r="47" spans="1:7">
      <c r="A47" s="173" t="s">
        <v>74</v>
      </c>
      <c r="B47" s="33">
        <f t="shared" si="0"/>
        <v>514.54545454545462</v>
      </c>
      <c r="C47" s="34" t="s">
        <v>111</v>
      </c>
      <c r="D47" s="176"/>
    </row>
    <row r="48" spans="1:7">
      <c r="A48" s="173" t="s">
        <v>75</v>
      </c>
      <c r="B48" s="33">
        <f t="shared" si="0"/>
        <v>101.81818181818181</v>
      </c>
      <c r="C48" s="33">
        <f>B48*10</f>
        <v>1018.1818181818181</v>
      </c>
      <c r="D48" s="236"/>
    </row>
    <row r="49" spans="1:6">
      <c r="A49" s="173" t="s">
        <v>76</v>
      </c>
      <c r="B49" s="33" t="str">
        <f t="shared" si="0"/>
        <v>-</v>
      </c>
      <c r="C49" s="34" t="s">
        <v>111</v>
      </c>
      <c r="D49" s="236"/>
    </row>
    <row r="50" spans="1:6">
      <c r="A50" s="173" t="s">
        <v>77</v>
      </c>
      <c r="B50" s="33">
        <f t="shared" si="0"/>
        <v>93.5</v>
      </c>
      <c r="C50" s="33">
        <f>B50*2</f>
        <v>187</v>
      </c>
      <c r="D50" s="236"/>
    </row>
    <row r="51" spans="1:6">
      <c r="A51" s="173" t="s">
        <v>78</v>
      </c>
      <c r="B51" s="33">
        <f t="shared" si="0"/>
        <v>353.5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4848.3357685950268</v>
      </c>
      <c r="C5" s="17">
        <f>IF(ISERROR('Eigen informatie GS &amp; warmtenet'!B58),0,'Eigen informatie GS &amp; warmtenet'!B58)</f>
        <v>0</v>
      </c>
      <c r="D5" s="30">
        <f>SUM(D6:D12)</f>
        <v>4471.4528025289073</v>
      </c>
      <c r="E5" s="17">
        <f>SUM(E6:E12)</f>
        <v>60.246635437304064</v>
      </c>
      <c r="F5" s="17">
        <f>SUM(F6:F12)</f>
        <v>1016.7551471585318</v>
      </c>
      <c r="G5" s="18"/>
      <c r="H5" s="17"/>
      <c r="I5" s="17"/>
      <c r="J5" s="17">
        <f>SUM(J6:J12)</f>
        <v>0</v>
      </c>
      <c r="K5" s="17"/>
      <c r="L5" s="17"/>
      <c r="M5" s="17"/>
      <c r="N5" s="17">
        <f>SUM(N6:N12)</f>
        <v>810.5999474697868</v>
      </c>
      <c r="O5" s="17">
        <f>B38*B39*B40</f>
        <v>0</v>
      </c>
      <c r="P5" s="17">
        <f>B46*B47*B48/1000-B46*B47*B48/1000/B49</f>
        <v>0</v>
      </c>
      <c r="R5" s="32"/>
    </row>
    <row r="6" spans="1:18">
      <c r="A6" s="32" t="s">
        <v>54</v>
      </c>
      <c r="B6" s="37">
        <f>B26</f>
        <v>1172.6672271315699</v>
      </c>
      <c r="C6" s="33"/>
      <c r="D6" s="37">
        <f>IF(ISERROR(TER_kantoor_gas_kWh/1000),0,TER_kantoor_gas_kWh/1000)*0.902</f>
        <v>2523.7702896941973</v>
      </c>
      <c r="E6" s="33">
        <f>$C$26*'E Balans VL '!I12/100/3.6*1000000</f>
        <v>4.5560604455234355</v>
      </c>
      <c r="F6" s="33">
        <f>$C$26*('E Balans VL '!L12+'E Balans VL '!N12)/100/3.6*1000000</f>
        <v>178.35201482566464</v>
      </c>
      <c r="G6" s="34"/>
      <c r="H6" s="33"/>
      <c r="I6" s="33"/>
      <c r="J6" s="33">
        <f>$C$26*('E Balans VL '!D12+'E Balans VL '!E12)/100/3.6*1000000</f>
        <v>0</v>
      </c>
      <c r="K6" s="33"/>
      <c r="L6" s="33"/>
      <c r="M6" s="33"/>
      <c r="N6" s="33">
        <f>$C$26*'E Balans VL '!Y12/100/3.6*1000000</f>
        <v>0.64628012422366143</v>
      </c>
      <c r="O6" s="33"/>
      <c r="P6" s="33"/>
      <c r="R6" s="32"/>
    </row>
    <row r="7" spans="1:18">
      <c r="A7" s="32" t="s">
        <v>53</v>
      </c>
      <c r="B7" s="37">
        <f t="shared" ref="B7:B12" si="0">B27</f>
        <v>408.64034520014997</v>
      </c>
      <c r="C7" s="33"/>
      <c r="D7" s="37">
        <f>IF(ISERROR(TER_horeca_gas_kWh/1000),0,TER_horeca_gas_kWh/1000)*0.902</f>
        <v>338.80945004623698</v>
      </c>
      <c r="E7" s="33">
        <f>$C$27*'E Balans VL '!I9/100/3.6*1000000</f>
        <v>23.018819897451564</v>
      </c>
      <c r="F7" s="33">
        <f>$C$27*('E Balans VL '!L9+'E Balans VL '!N9)/100/3.6*1000000</f>
        <v>117.82741075768045</v>
      </c>
      <c r="G7" s="34"/>
      <c r="H7" s="33"/>
      <c r="I7" s="33"/>
      <c r="J7" s="33">
        <f>$C$27*('E Balans VL '!D9+'E Balans VL '!E9)/100/3.6*1000000</f>
        <v>0</v>
      </c>
      <c r="K7" s="33"/>
      <c r="L7" s="33"/>
      <c r="M7" s="33"/>
      <c r="N7" s="33">
        <f>$C$27*'E Balans VL '!Y9/100/3.6*1000000</f>
        <v>0.11282347581473463</v>
      </c>
      <c r="O7" s="33"/>
      <c r="P7" s="33"/>
      <c r="R7" s="32"/>
    </row>
    <row r="8" spans="1:18">
      <c r="A8" s="6" t="s">
        <v>52</v>
      </c>
      <c r="B8" s="37">
        <f t="shared" si="0"/>
        <v>1153.53955325386</v>
      </c>
      <c r="C8" s="33"/>
      <c r="D8" s="37">
        <f>IF(ISERROR(TER_handel_gas_kWh/1000),0,TER_handel_gas_kWh/1000)*0.902</f>
        <v>116.9076230994209</v>
      </c>
      <c r="E8" s="33">
        <f>$C$28*'E Balans VL '!I13/100/3.6*1000000</f>
        <v>16.626418532787259</v>
      </c>
      <c r="F8" s="33">
        <f>$C$28*('E Balans VL '!L13+'E Balans VL '!N13)/100/3.6*1000000</f>
        <v>200.39668452363057</v>
      </c>
      <c r="G8" s="34"/>
      <c r="H8" s="33"/>
      <c r="I8" s="33"/>
      <c r="J8" s="33">
        <f>$C$28*('E Balans VL '!D13+'E Balans VL '!E13)/100/3.6*1000000</f>
        <v>0</v>
      </c>
      <c r="K8" s="33"/>
      <c r="L8" s="33"/>
      <c r="M8" s="33"/>
      <c r="N8" s="33">
        <f>$C$28*'E Balans VL '!Y13/100/3.6*1000000</f>
        <v>3.4561329162169958</v>
      </c>
      <c r="O8" s="33"/>
      <c r="P8" s="33"/>
      <c r="R8" s="32"/>
    </row>
    <row r="9" spans="1:18">
      <c r="A9" s="32" t="s">
        <v>51</v>
      </c>
      <c r="B9" s="37">
        <f t="shared" si="0"/>
        <v>150.50801238615799</v>
      </c>
      <c r="C9" s="33"/>
      <c r="D9" s="37">
        <f>IF(ISERROR(TER_gezond_gas_kWh/1000),0,TER_gezond_gas_kWh/1000)*0.902</f>
        <v>0</v>
      </c>
      <c r="E9" s="33">
        <f>$C$29*'E Balans VL '!I10/100/3.6*1000000</f>
        <v>0.16078156747262137</v>
      </c>
      <c r="F9" s="33">
        <f>$C$29*('E Balans VL '!L10+'E Balans VL '!N10)/100/3.6*1000000</f>
        <v>24.552430930323357</v>
      </c>
      <c r="G9" s="34"/>
      <c r="H9" s="33"/>
      <c r="I9" s="33"/>
      <c r="J9" s="33">
        <f>$C$29*('E Balans VL '!D10+'E Balans VL '!E10)/100/3.6*1000000</f>
        <v>0</v>
      </c>
      <c r="K9" s="33"/>
      <c r="L9" s="33"/>
      <c r="M9" s="33"/>
      <c r="N9" s="33">
        <f>$C$29*'E Balans VL '!Y10/100/3.6*1000000</f>
        <v>1.5493941093569243</v>
      </c>
      <c r="O9" s="33"/>
      <c r="P9" s="33"/>
      <c r="R9" s="32"/>
    </row>
    <row r="10" spans="1:18">
      <c r="A10" s="32" t="s">
        <v>50</v>
      </c>
      <c r="B10" s="37">
        <f t="shared" si="0"/>
        <v>1052.4216292856402</v>
      </c>
      <c r="C10" s="33"/>
      <c r="D10" s="37">
        <f>IF(ISERROR(TER_ander_gas_kWh/1000),0,TER_ander_gas_kWh/1000)*0.902</f>
        <v>146.73195545625856</v>
      </c>
      <c r="E10" s="33">
        <f>$C$30*'E Balans VL '!I14/100/3.6*1000000</f>
        <v>4.8399269878711371</v>
      </c>
      <c r="F10" s="33">
        <f>$C$30*('E Balans VL '!L14+'E Balans VL '!N14)/100/3.6*1000000</f>
        <v>315.44395865872644</v>
      </c>
      <c r="G10" s="34"/>
      <c r="H10" s="33"/>
      <c r="I10" s="33"/>
      <c r="J10" s="33">
        <f>$C$30*('E Balans VL '!D14+'E Balans VL '!E14)/100/3.6*1000000</f>
        <v>0</v>
      </c>
      <c r="K10" s="33"/>
      <c r="L10" s="33"/>
      <c r="M10" s="33"/>
      <c r="N10" s="33">
        <f>$C$30*'E Balans VL '!Y14/100/3.6*1000000</f>
        <v>732.55492514353591</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910.55900133764897</v>
      </c>
      <c r="C12" s="33"/>
      <c r="D12" s="37">
        <f>IF(ISERROR(TER_rest_gas_kWh/1000),0,TER_rest_gas_kWh/1000)*0.902</f>
        <v>1345.2334842327928</v>
      </c>
      <c r="E12" s="33">
        <f>$C$32*'E Balans VL '!I8/100/3.6*1000000</f>
        <v>11.044628006198044</v>
      </c>
      <c r="F12" s="33">
        <f>$C$32*('E Balans VL '!L8+'E Balans VL '!N8)/100/3.6*1000000</f>
        <v>180.1826474625064</v>
      </c>
      <c r="G12" s="34"/>
      <c r="H12" s="33"/>
      <c r="I12" s="33"/>
      <c r="J12" s="33">
        <f>$C$32*('E Balans VL '!D8+'E Balans VL '!E8)/100/3.6*1000000</f>
        <v>0</v>
      </c>
      <c r="K12" s="33"/>
      <c r="L12" s="33"/>
      <c r="M12" s="33"/>
      <c r="N12" s="33">
        <f>$C$32*'E Balans VL '!Y8/100/3.6*1000000</f>
        <v>72.28039170063856</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4848.3357685950268</v>
      </c>
      <c r="C16" s="21">
        <f t="shared" ca="1" si="1"/>
        <v>0</v>
      </c>
      <c r="D16" s="21">
        <f t="shared" ca="1" si="1"/>
        <v>4471.4528025289073</v>
      </c>
      <c r="E16" s="21">
        <f t="shared" si="1"/>
        <v>60.246635437304064</v>
      </c>
      <c r="F16" s="21">
        <f t="shared" ca="1" si="1"/>
        <v>1016.7551471585318</v>
      </c>
      <c r="G16" s="21">
        <f t="shared" si="1"/>
        <v>0</v>
      </c>
      <c r="H16" s="21">
        <f t="shared" si="1"/>
        <v>0</v>
      </c>
      <c r="I16" s="21">
        <f t="shared" si="1"/>
        <v>0</v>
      </c>
      <c r="J16" s="21">
        <f t="shared" si="1"/>
        <v>0</v>
      </c>
      <c r="K16" s="21">
        <f t="shared" si="1"/>
        <v>0</v>
      </c>
      <c r="L16" s="21">
        <f t="shared" ca="1" si="1"/>
        <v>0</v>
      </c>
      <c r="M16" s="21">
        <f t="shared" si="1"/>
        <v>0</v>
      </c>
      <c r="N16" s="21">
        <f t="shared" ca="1" si="1"/>
        <v>810.5999474697868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0.20861522267377766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1011.4366459626925</v>
      </c>
      <c r="C20" s="23">
        <f t="shared" ref="C20:P20" ca="1" si="2">C16*C18</f>
        <v>0</v>
      </c>
      <c r="D20" s="23">
        <f t="shared" ca="1" si="2"/>
        <v>903.23346611083934</v>
      </c>
      <c r="E20" s="23">
        <f t="shared" si="2"/>
        <v>13.675986244268023</v>
      </c>
      <c r="F20" s="23">
        <f t="shared" ca="1" si="2"/>
        <v>271.47362429132801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1172.6672271315699</v>
      </c>
      <c r="C26" s="39">
        <f>IF(ISERROR(B26*3.6/1000000/'E Balans VL '!Z12*100),0,B26*3.6/1000000/'E Balans VL '!Z12*100)</f>
        <v>2.4908032768107602E-2</v>
      </c>
      <c r="D26" s="239" t="s">
        <v>692</v>
      </c>
      <c r="F26" s="6"/>
    </row>
    <row r="27" spans="1:18">
      <c r="A27" s="233" t="s">
        <v>53</v>
      </c>
      <c r="B27" s="33">
        <f>IF(ISERROR(TER_horeca_ele_kWh/1000),0,TER_horeca_ele_kWh/1000)</f>
        <v>408.64034520014997</v>
      </c>
      <c r="C27" s="39">
        <f>IF(ISERROR(B27*3.6/1000000/'E Balans VL '!Z9*100),0,B27*3.6/1000000/'E Balans VL '!Z9*100)</f>
        <v>3.1774275491008752E-2</v>
      </c>
      <c r="D27" s="239" t="s">
        <v>692</v>
      </c>
      <c r="F27" s="6"/>
    </row>
    <row r="28" spans="1:18">
      <c r="A28" s="173" t="s">
        <v>52</v>
      </c>
      <c r="B28" s="33">
        <f>IF(ISERROR(TER_handel_ele_kWh/1000),0,TER_handel_ele_kWh/1000)</f>
        <v>1153.53955325386</v>
      </c>
      <c r="C28" s="39">
        <f>IF(ISERROR(B28*3.6/1000000/'E Balans VL '!Z13*100),0,B28*3.6/1000000/'E Balans VL '!Z13*100)</f>
        <v>3.3004124198841474E-2</v>
      </c>
      <c r="D28" s="239" t="s">
        <v>692</v>
      </c>
      <c r="F28" s="6"/>
    </row>
    <row r="29" spans="1:18">
      <c r="A29" s="233" t="s">
        <v>51</v>
      </c>
      <c r="B29" s="33">
        <f>IF(ISERROR(TER_gezond_ele_kWh/1000),0,TER_gezond_ele_kWh/1000)</f>
        <v>150.50801238615799</v>
      </c>
      <c r="C29" s="39">
        <f>IF(ISERROR(B29*3.6/1000000/'E Balans VL '!Z10*100),0,B29*3.6/1000000/'E Balans VL '!Z10*100)</f>
        <v>1.6408870736851093E-2</v>
      </c>
      <c r="D29" s="239" t="s">
        <v>692</v>
      </c>
      <c r="F29" s="6"/>
    </row>
    <row r="30" spans="1:18">
      <c r="A30" s="233" t="s">
        <v>50</v>
      </c>
      <c r="B30" s="33">
        <f>IF(ISERROR(TER_ander_ele_kWh/1000),0,TER_ander_ele_kWh/1000)</f>
        <v>1052.4216292856402</v>
      </c>
      <c r="C30" s="39">
        <f>IF(ISERROR(B30*3.6/1000000/'E Balans VL '!Z14*100),0,B30*3.6/1000000/'E Balans VL '!Z14*100)</f>
        <v>7.701382746925059E-2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910.55900133764897</v>
      </c>
      <c r="C32" s="39">
        <f>IF(ISERROR(B32*3.6/1000000/'E Balans VL '!Z8*100),0,B32*3.6/1000000/'E Balans VL '!Z8*100)</f>
        <v>7.4205032707205876E-3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487.81757575842403</v>
      </c>
      <c r="C5" s="17">
        <f>IF(ISERROR('Eigen informatie GS &amp; warmtenet'!B59),0,'Eigen informatie GS &amp; warmtenet'!B59)</f>
        <v>0</v>
      </c>
      <c r="D5" s="30">
        <f>SUM(D6:D15)</f>
        <v>345.16920616602954</v>
      </c>
      <c r="E5" s="17">
        <f>SUM(E6:E15)</f>
        <v>68.943974638641308</v>
      </c>
      <c r="F5" s="17">
        <f>SUM(F6:F15)</f>
        <v>450.09862347984205</v>
      </c>
      <c r="G5" s="18"/>
      <c r="H5" s="17"/>
      <c r="I5" s="17"/>
      <c r="J5" s="17">
        <f>SUM(J6:J15)</f>
        <v>0.28387895425364307</v>
      </c>
      <c r="K5" s="17"/>
      <c r="L5" s="17"/>
      <c r="M5" s="17"/>
      <c r="N5" s="17">
        <f>SUM(N6:N15)</f>
        <v>138.14209901490136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169.122754488726</v>
      </c>
      <c r="C9" s="33"/>
      <c r="D9" s="37">
        <f>IF( ISERROR(IND_andere_gas_kWh/1000),0,IND_andere_gas_kWh/1000)*0.902</f>
        <v>91.421861960340536</v>
      </c>
      <c r="E9" s="33">
        <f>C31*'E Balans VL '!I19/100/3.6*1000000</f>
        <v>45.77737141209321</v>
      </c>
      <c r="F9" s="33">
        <f>C31*'E Balans VL '!L19/100/3.6*1000000+C31*'E Balans VL '!N19/100/3.6*1000000</f>
        <v>112.65365141540975</v>
      </c>
      <c r="G9" s="34"/>
      <c r="H9" s="33"/>
      <c r="I9" s="33"/>
      <c r="J9" s="40">
        <f>C31*'E Balans VL '!D19/100/3.6*1000000+C31*'E Balans VL '!E19/100/3.6*1000000</f>
        <v>0</v>
      </c>
      <c r="K9" s="33"/>
      <c r="L9" s="33"/>
      <c r="M9" s="33"/>
      <c r="N9" s="33">
        <f>C31*'E Balans VL '!Y19/100/3.6*1000000</f>
        <v>55.215769971104031</v>
      </c>
      <c r="O9" s="33"/>
      <c r="P9" s="33"/>
      <c r="R9" s="32"/>
    </row>
    <row r="10" spans="1:18">
      <c r="A10" s="6" t="s">
        <v>41</v>
      </c>
      <c r="B10" s="37">
        <f t="shared" si="0"/>
        <v>209.015917608998</v>
      </c>
      <c r="C10" s="33"/>
      <c r="D10" s="37">
        <f>IF( ISERROR(IND_voed_gas_kWh/1000),0,IND_voed_gas_kWh/1000)*0.902</f>
        <v>0</v>
      </c>
      <c r="E10" s="33">
        <f>C32*'E Balans VL '!I20/100/3.6*1000000</f>
        <v>17.047818441765088</v>
      </c>
      <c r="F10" s="33">
        <f>C32*'E Balans VL '!L20/100/3.6*1000000+C32*'E Balans VL '!N20/100/3.6*1000000</f>
        <v>311.66169674067538</v>
      </c>
      <c r="G10" s="34"/>
      <c r="H10" s="33"/>
      <c r="I10" s="33"/>
      <c r="J10" s="40">
        <f>C32*'E Balans VL '!D20/100/3.6*1000000+C32*'E Balans VL '!E20/100/3.6*1000000</f>
        <v>2.7650268786785907E-3</v>
      </c>
      <c r="K10" s="33"/>
      <c r="L10" s="33"/>
      <c r="M10" s="33"/>
      <c r="N10" s="33">
        <f>C32*'E Balans VL '!Y20/100/3.6*1000000</f>
        <v>61.401501217062254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109.6789036607</v>
      </c>
      <c r="C15" s="33"/>
      <c r="D15" s="37">
        <f>IF( ISERROR(IND_rest_gas_kWh/1000),0,IND_rest_gas_kWh/1000)*0.902</f>
        <v>253.74734420568902</v>
      </c>
      <c r="E15" s="33">
        <f>C37*'E Balans VL '!I15/100/3.6*1000000</f>
        <v>6.1187847847830037</v>
      </c>
      <c r="F15" s="33">
        <f>C37*'E Balans VL '!L15/100/3.6*1000000+C37*'E Balans VL '!N15/100/3.6*1000000</f>
        <v>25.783275323756925</v>
      </c>
      <c r="G15" s="34"/>
      <c r="H15" s="33"/>
      <c r="I15" s="33"/>
      <c r="J15" s="40">
        <f>C37*'E Balans VL '!D15/100/3.6*1000000+C37*'E Balans VL '!E15/100/3.6*1000000</f>
        <v>0.28111392737496449</v>
      </c>
      <c r="K15" s="33"/>
      <c r="L15" s="33"/>
      <c r="M15" s="33"/>
      <c r="N15" s="33">
        <f>C37*'E Balans VL '!Y15/100/3.6*1000000</f>
        <v>21.524827826735066</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487.81757575842403</v>
      </c>
      <c r="C18" s="21">
        <f>C5+C16</f>
        <v>0</v>
      </c>
      <c r="D18" s="21">
        <f>MAX((D5+D16),0)</f>
        <v>345.16920616602954</v>
      </c>
      <c r="E18" s="21">
        <f>MAX((E5+E16),0)</f>
        <v>68.943974638641308</v>
      </c>
      <c r="F18" s="21">
        <f>MAX((F5+F16),0)</f>
        <v>450.09862347984205</v>
      </c>
      <c r="G18" s="21"/>
      <c r="H18" s="21"/>
      <c r="I18" s="21"/>
      <c r="J18" s="21">
        <f>MAX((J5+J16),0)</f>
        <v>0.28387895425364307</v>
      </c>
      <c r="K18" s="21"/>
      <c r="L18" s="21">
        <f>MAX((L5+L16),0)</f>
        <v>0</v>
      </c>
      <c r="M18" s="21"/>
      <c r="N18" s="21">
        <f>MAX((N5+N16),0)</f>
        <v>138.14209901490136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0.20861522267377766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101.76617219102603</v>
      </c>
      <c r="C22" s="23">
        <f ca="1">C18*C20</f>
        <v>0</v>
      </c>
      <c r="D22" s="23">
        <f>D18*D20</f>
        <v>69.724179645537973</v>
      </c>
      <c r="E22" s="23">
        <f>E18*E20</f>
        <v>15.650282242971578</v>
      </c>
      <c r="F22" s="23">
        <f>F18*F20</f>
        <v>120.17633246911784</v>
      </c>
      <c r="G22" s="23"/>
      <c r="H22" s="23"/>
      <c r="I22" s="23"/>
      <c r="J22" s="23">
        <f>J18*J20</f>
        <v>0.10049314980578965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169.122754488726</v>
      </c>
      <c r="C31" s="39">
        <f>IF(ISERROR(B31*3.6/1000000/'E Balans VL '!Z19*100),0,B31*3.6/1000000/'E Balans VL '!Z19*100)</f>
        <v>7.3651610500916915E-3</v>
      </c>
      <c r="D31" s="239" t="s">
        <v>692</v>
      </c>
    </row>
    <row r="32" spans="1:18">
      <c r="A32" s="173" t="s">
        <v>41</v>
      </c>
      <c r="B32" s="37">
        <f>IF( ISERROR(IND_voed_ele_kWh/1000),0,IND_voed_ele_kWh/1000)</f>
        <v>209.015917608998</v>
      </c>
      <c r="C32" s="39">
        <f>IF(ISERROR(B32*3.6/1000000/'E Balans VL '!Z20*100),0,B32*3.6/1000000/'E Balans VL '!Z20*100)</f>
        <v>3.965775602885472E-2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109.6789036607</v>
      </c>
      <c r="C37" s="39">
        <f>IF(ISERROR(B37*3.6/1000000/'E Balans VL '!Z15*100),0,B37*3.6/1000000/'E Balans VL '!Z15*100)</f>
        <v>8.4521066616767896E-4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2179.0574214859007</v>
      </c>
      <c r="C5" s="17">
        <f>'Eigen informatie GS &amp; warmtenet'!B60</f>
        <v>0</v>
      </c>
      <c r="D5" s="30">
        <f>IF(ISERROR(SUM(LB_lb_gas_kWh,LB_rest_gas_kWh,onbekend_gas_kWh)/1000),0,SUM(LB_lb_gas_kWh,LB_rest_gas_kWh,onbekend_gas_kWh)/1000)*0.902</f>
        <v>8801.8968214744473</v>
      </c>
      <c r="E5" s="17">
        <f>B17*'E Balans VL '!I25/3.6*1000000/100</f>
        <v>27.458930707442072</v>
      </c>
      <c r="F5" s="17">
        <f>B17*('E Balans VL '!L25/3.6*1000000+'E Balans VL '!N25/3.6*1000000)/100</f>
        <v>7518.2939906284955</v>
      </c>
      <c r="G5" s="18"/>
      <c r="H5" s="17"/>
      <c r="I5" s="17"/>
      <c r="J5" s="17">
        <f>('E Balans VL '!D25+'E Balans VL '!E25)/3.6*1000000*landbouw!B17/100</f>
        <v>327.70546554094966</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2179.0574214859007</v>
      </c>
      <c r="C8" s="21">
        <f>C5+C6</f>
        <v>0</v>
      </c>
      <c r="D8" s="21">
        <f>MAX((D5+D6),0)</f>
        <v>8801.8968214744473</v>
      </c>
      <c r="E8" s="21">
        <f>MAX((E5+E6),0)</f>
        <v>27.458930707442072</v>
      </c>
      <c r="F8" s="21">
        <f>MAX((F5+F6),0)</f>
        <v>7518.2939906284955</v>
      </c>
      <c r="G8" s="21"/>
      <c r="H8" s="21"/>
      <c r="I8" s="21"/>
      <c r="J8" s="21">
        <f>MAX((J5+J6),0)</f>
        <v>327.70546554094966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0.20861522267377766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454.58454920222897</v>
      </c>
      <c r="C12" s="23">
        <f ca="1">C8*C10</f>
        <v>0</v>
      </c>
      <c r="D12" s="23">
        <f>D8*D10</f>
        <v>1777.9831579378385</v>
      </c>
      <c r="E12" s="23">
        <f>E8*E10</f>
        <v>6.2331772705893504</v>
      </c>
      <c r="F12" s="23">
        <f>F8*F10</f>
        <v>2007.3844954978085</v>
      </c>
      <c r="G12" s="23"/>
      <c r="H12" s="23"/>
      <c r="I12" s="23"/>
      <c r="J12" s="23">
        <f>J8*J10</f>
        <v>116.00773480149617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0.30390983039397218</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292.51905804130695</v>
      </c>
      <c r="C26" s="249">
        <f>B26*'GWP N2O_CH4'!B5</f>
        <v>6142.9002188674458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100.53204237992109</v>
      </c>
      <c r="C27" s="249">
        <f>B27*'GWP N2O_CH4'!B5</f>
        <v>2111.1728899783429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4.3396777936211004</v>
      </c>
      <c r="C28" s="249">
        <f>B28*'GWP N2O_CH4'!B4</f>
        <v>1345.300116022541</v>
      </c>
      <c r="D28" s="50"/>
    </row>
    <row r="29" spans="1:4">
      <c r="A29" s="41" t="s">
        <v>277</v>
      </c>
      <c r="B29" s="249">
        <f>B34*'ha_N2O bodem landbouw'!B4</f>
        <v>13.664495813126452</v>
      </c>
      <c r="C29" s="249">
        <f>B29*'GWP N2O_CH4'!B4</f>
        <v>4235.9937020692005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3.4118880650846652E-3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1.167379587352478E-5</v>
      </c>
      <c r="C5" s="448" t="s">
        <v>211</v>
      </c>
      <c r="D5" s="433">
        <f>SUM(D6:D11)</f>
        <v>2.2425523264336069E-5</v>
      </c>
      <c r="E5" s="433">
        <f>SUM(E6:E11)</f>
        <v>7.4979434702857626E-4</v>
      </c>
      <c r="F5" s="446" t="s">
        <v>211</v>
      </c>
      <c r="G5" s="433">
        <f>SUM(G6:G11)</f>
        <v>0.22410990753436677</v>
      </c>
      <c r="H5" s="433">
        <f>SUM(H6:H11)</f>
        <v>3.3919187892438703E-2</v>
      </c>
      <c r="I5" s="448" t="s">
        <v>211</v>
      </c>
      <c r="J5" s="448" t="s">
        <v>211</v>
      </c>
      <c r="K5" s="448" t="s">
        <v>211</v>
      </c>
      <c r="L5" s="448" t="s">
        <v>211</v>
      </c>
      <c r="M5" s="433">
        <f>SUM(M6:M11)</f>
        <v>1.1661127802004649E-2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1.1059893843211453E-7</v>
      </c>
      <c r="C6" s="949"/>
      <c r="D6" s="949">
        <f>vkm_2011_GW_PW*SUMIFS(TableVerdeelsleutelVkm[CNG],TableVerdeelsleutelVkm[Voertuigtype],"Lichte voertuigen")*SUMIFS(TableECFTransport[EnergieConsumptieFactor (PJ per km)],TableECFTransport[Index],CONCATENATE($A6,"_CNG_CNG"))</f>
        <v>1.5662972782820982E-7</v>
      </c>
      <c r="E6" s="949">
        <f>vkm_2011_GW_PW*SUMIFS(TableVerdeelsleutelVkm[LPG],TableVerdeelsleutelVkm[Voertuigtype],"Lichte voertuigen")*SUMIFS(TableECFTransport[EnergieConsumptieFactor (PJ per km)],TableECFTransport[Index],CONCATENATE($A6,"_LPG_LPG"))</f>
        <v>4.919224112407093E-6</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8.8411927138721245E-4</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2.3690687292455729E-4</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5.0718804755080959E-5</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2.6624810267982986E-5</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9.4595190751298559E-9</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1.201493425681456E-6</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4.9511304383747854E-6</v>
      </c>
      <c r="C8" s="949"/>
      <c r="D8" s="436">
        <f>vkm_2011_NGW_PW*SUMIFS(TableVerdeelsleutelVkm[CNG],TableVerdeelsleutelVkm[Voertuigtype],"Lichte voertuigen")*SUMIFS(TableECFTransport[EnergieConsumptieFactor (PJ per km)],TableECFTransport[Index],CONCATENATE($A8,"_CNG_CNG"))</f>
        <v>1.249158611372822E-5</v>
      </c>
      <c r="E8" s="436">
        <f>vkm_2011_NGW_PW*SUMIFS(TableVerdeelsleutelVkm[LPG],TableVerdeelsleutelVkm[Voertuigtype],"Lichte voertuigen")*SUMIFS(TableECFTransport[EnergieConsumptieFactor (PJ per km)],TableECFTransport[Index],CONCATENATE($A8,"_LPG_LPG"))</f>
        <v>3.6135349907024631E-4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6.1252922136057493E-2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1.8230731508171644E-2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3.5969939383680869E-3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2.4270160748369799E-2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8.1598070654045335E-6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1.0952143621579991E-3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6.612066496717881E-6</v>
      </c>
      <c r="C10" s="949"/>
      <c r="D10" s="436">
        <f>vkm_2011_SW_PW*SUMIFS(TableVerdeelsleutelVkm[CNG],TableVerdeelsleutelVkm[Voertuigtype],"Lichte voertuigen")*SUMIFS(TableECFTransport[EnergieConsumptieFactor (PJ per km)],TableECFTransport[Index],CONCATENATE($A10,"_CNG_CNG"))</f>
        <v>9.7773074227796392E-6</v>
      </c>
      <c r="E10" s="436">
        <f>vkm_2011_SW_PW*SUMIFS(TableVerdeelsleutelVkm[LPG],TableVerdeelsleutelVkm[Voertuigtype],"Lichte voertuigen")*SUMIFS(TableECFTransport[EnergieConsumptieFactor (PJ per km)],TableECFTransport[Index],CONCATENATE($A10,"_LPG_LPG"))</f>
        <v>3.8352162384592289E-4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6.2426045517370139E-2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1.5414548649772186E-2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3.5211074026324225E-3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7.5250035050914169E-2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2.8831594985838981E-5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3.395891800665378E-3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3.2427210759791052</v>
      </c>
      <c r="C14" s="21"/>
      <c r="D14" s="21">
        <f t="shared" ref="D14:M14" si="0">((D5)*10^9/3600)+D12</f>
        <v>6.2293120178711305</v>
      </c>
      <c r="E14" s="21">
        <f t="shared" si="0"/>
        <v>208.27620750793787</v>
      </c>
      <c r="F14" s="21"/>
      <c r="G14" s="21">
        <f t="shared" si="0"/>
        <v>62252.752092879651</v>
      </c>
      <c r="H14" s="21">
        <f t="shared" si="0"/>
        <v>9421.9966367885281</v>
      </c>
      <c r="I14" s="21"/>
      <c r="J14" s="21"/>
      <c r="K14" s="21"/>
      <c r="L14" s="21"/>
      <c r="M14" s="21">
        <f t="shared" si="0"/>
        <v>3239.2021672235132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0.20861522267377766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0.67648097933433293</v>
      </c>
      <c r="C18" s="23"/>
      <c r="D18" s="23">
        <f t="shared" ref="D18:M18" si="1">D14*D16</f>
        <v>1.2583210276099686</v>
      </c>
      <c r="E18" s="23">
        <f t="shared" si="1"/>
        <v>47.2786991043019</v>
      </c>
      <c r="F18" s="23"/>
      <c r="G18" s="23">
        <f t="shared" si="1"/>
        <v>16621.484808798868</v>
      </c>
      <c r="H18" s="23">
        <f t="shared" si="1"/>
        <v>2346.0771625603434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2.539036412397085E-3</v>
      </c>
      <c r="H50" s="323">
        <f t="shared" si="2"/>
        <v>0</v>
      </c>
      <c r="I50" s="323">
        <f t="shared" si="2"/>
        <v>0</v>
      </c>
      <c r="J50" s="323">
        <f t="shared" si="2"/>
        <v>0</v>
      </c>
      <c r="K50" s="323">
        <f t="shared" si="2"/>
        <v>0</v>
      </c>
      <c r="L50" s="323">
        <f t="shared" si="2"/>
        <v>0</v>
      </c>
      <c r="M50" s="323">
        <f t="shared" si="2"/>
        <v>1.1291715953004476E-4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2.539036412397085E-3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1.1291715953004476E-4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705.2878923325236</v>
      </c>
      <c r="H54" s="21">
        <f t="shared" si="3"/>
        <v>0</v>
      </c>
      <c r="I54" s="21">
        <f t="shared" si="3"/>
        <v>0</v>
      </c>
      <c r="J54" s="21">
        <f t="shared" si="3"/>
        <v>0</v>
      </c>
      <c r="K54" s="21">
        <f t="shared" si="3"/>
        <v>0</v>
      </c>
      <c r="L54" s="21">
        <f t="shared" si="3"/>
        <v>0</v>
      </c>
      <c r="M54" s="21">
        <f t="shared" si="3"/>
        <v>31.365877647234658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0.20861522267377766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188.3118672527838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1155.6146091305063</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1155.6146091305063</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5464.4887685950271</v>
      </c>
      <c r="D10" s="704">
        <f ca="1">tertiair!C16</f>
        <v>0</v>
      </c>
      <c r="E10" s="704">
        <f ca="1">tertiair!D16</f>
        <v>4471.4528025289073</v>
      </c>
      <c r="F10" s="704">
        <f>tertiair!E16</f>
        <v>60.246635437304064</v>
      </c>
      <c r="G10" s="704">
        <f ca="1">tertiair!F16</f>
        <v>1016.7551471585318</v>
      </c>
      <c r="H10" s="704">
        <f>tertiair!G16</f>
        <v>0</v>
      </c>
      <c r="I10" s="704">
        <f>tertiair!H16</f>
        <v>0</v>
      </c>
      <c r="J10" s="704">
        <f>tertiair!I16</f>
        <v>0</v>
      </c>
      <c r="K10" s="704">
        <f>tertiair!J16</f>
        <v>0</v>
      </c>
      <c r="L10" s="704">
        <f>tertiair!K16</f>
        <v>0</v>
      </c>
      <c r="M10" s="704">
        <f ca="1">tertiair!L16</f>
        <v>0</v>
      </c>
      <c r="N10" s="704">
        <f>tertiair!M16</f>
        <v>0</v>
      </c>
      <c r="O10" s="704">
        <f ca="1">tertiair!N16</f>
        <v>810.5999474697868</v>
      </c>
      <c r="P10" s="704">
        <f>tertiair!O16</f>
        <v>0</v>
      </c>
      <c r="Q10" s="705">
        <f>tertiair!P16</f>
        <v>0</v>
      </c>
      <c r="R10" s="707">
        <f ca="1">SUM(C10:Q10)</f>
        <v>11823.543301189558</v>
      </c>
      <c r="S10" s="67"/>
    </row>
    <row r="11" spans="1:19" s="459" customFormat="1">
      <c r="A11" s="858" t="s">
        <v>225</v>
      </c>
      <c r="B11" s="863"/>
      <c r="C11" s="704">
        <f>huishoudens!B8</f>
        <v>12486.743569746708</v>
      </c>
      <c r="D11" s="704">
        <f>huishoudens!C8</f>
        <v>0</v>
      </c>
      <c r="E11" s="704">
        <f>huishoudens!D8</f>
        <v>21914.524657591872</v>
      </c>
      <c r="F11" s="704">
        <f>huishoudens!E8</f>
        <v>2576.2978488206427</v>
      </c>
      <c r="G11" s="704">
        <f>huishoudens!F8</f>
        <v>8938.9118368762829</v>
      </c>
      <c r="H11" s="704">
        <f>huishoudens!G8</f>
        <v>0</v>
      </c>
      <c r="I11" s="704">
        <f>huishoudens!H8</f>
        <v>0</v>
      </c>
      <c r="J11" s="704">
        <f>huishoudens!I8</f>
        <v>0</v>
      </c>
      <c r="K11" s="704">
        <f>huishoudens!J8</f>
        <v>3803.8674703303159</v>
      </c>
      <c r="L11" s="704">
        <f>huishoudens!K8</f>
        <v>0</v>
      </c>
      <c r="M11" s="704">
        <f>huishoudens!L8</f>
        <v>0</v>
      </c>
      <c r="N11" s="704">
        <f>huishoudens!M8</f>
        <v>0</v>
      </c>
      <c r="O11" s="704">
        <f>huishoudens!N8</f>
        <v>7953.9381983991634</v>
      </c>
      <c r="P11" s="704">
        <f>huishoudens!O8</f>
        <v>68.786666666666676</v>
      </c>
      <c r="Q11" s="705">
        <f>huishoudens!P8</f>
        <v>400.4</v>
      </c>
      <c r="R11" s="707">
        <f>SUM(C11:Q11)</f>
        <v>58143.470248431651</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487.81757575842403</v>
      </c>
      <c r="D13" s="704">
        <f>industrie!C18</f>
        <v>0</v>
      </c>
      <c r="E13" s="704">
        <f>industrie!D18</f>
        <v>345.16920616602954</v>
      </c>
      <c r="F13" s="704">
        <f>industrie!E18</f>
        <v>68.943974638641308</v>
      </c>
      <c r="G13" s="704">
        <f>industrie!F18</f>
        <v>450.09862347984205</v>
      </c>
      <c r="H13" s="704">
        <f>industrie!G18</f>
        <v>0</v>
      </c>
      <c r="I13" s="704">
        <f>industrie!H18</f>
        <v>0</v>
      </c>
      <c r="J13" s="704">
        <f>industrie!I18</f>
        <v>0</v>
      </c>
      <c r="K13" s="704">
        <f>industrie!J18</f>
        <v>0.28387895425364307</v>
      </c>
      <c r="L13" s="704">
        <f>industrie!K18</f>
        <v>0</v>
      </c>
      <c r="M13" s="704">
        <f>industrie!L18</f>
        <v>0</v>
      </c>
      <c r="N13" s="704">
        <f>industrie!M18</f>
        <v>0</v>
      </c>
      <c r="O13" s="704">
        <f>industrie!N18</f>
        <v>138.14209901490136</v>
      </c>
      <c r="P13" s="704">
        <f>industrie!O18</f>
        <v>0</v>
      </c>
      <c r="Q13" s="705">
        <f>industrie!P18</f>
        <v>0</v>
      </c>
      <c r="R13" s="707">
        <f>SUM(C13:Q13)</f>
        <v>1490.4553580120919</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18439.04991410016</v>
      </c>
      <c r="D15" s="709">
        <f t="shared" ref="D15:Q15" ca="1" si="0">SUM(D9:D14)</f>
        <v>0</v>
      </c>
      <c r="E15" s="709">
        <f t="shared" ca="1" si="0"/>
        <v>26731.146666286808</v>
      </c>
      <c r="F15" s="709">
        <f t="shared" si="0"/>
        <v>2705.4884588965883</v>
      </c>
      <c r="G15" s="709">
        <f t="shared" ca="1" si="0"/>
        <v>10405.765607514657</v>
      </c>
      <c r="H15" s="709">
        <f t="shared" si="0"/>
        <v>0</v>
      </c>
      <c r="I15" s="709">
        <f t="shared" si="0"/>
        <v>0</v>
      </c>
      <c r="J15" s="709">
        <f t="shared" si="0"/>
        <v>0</v>
      </c>
      <c r="K15" s="709">
        <f t="shared" si="0"/>
        <v>3804.1513492845697</v>
      </c>
      <c r="L15" s="709">
        <f t="shared" si="0"/>
        <v>0</v>
      </c>
      <c r="M15" s="709">
        <f t="shared" ca="1" si="0"/>
        <v>0</v>
      </c>
      <c r="N15" s="709">
        <f t="shared" si="0"/>
        <v>0</v>
      </c>
      <c r="O15" s="709">
        <f t="shared" ca="1" si="0"/>
        <v>8902.6802448838516</v>
      </c>
      <c r="P15" s="709">
        <f t="shared" si="0"/>
        <v>68.786666666666676</v>
      </c>
      <c r="Q15" s="710">
        <f t="shared" si="0"/>
        <v>400.4</v>
      </c>
      <c r="R15" s="711">
        <f ca="1">SUM(R9:R14)</f>
        <v>71457.468907633302</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705.2878923325236</v>
      </c>
      <c r="I18" s="704">
        <f>transport!H54</f>
        <v>0</v>
      </c>
      <c r="J18" s="704">
        <f>transport!I54</f>
        <v>0</v>
      </c>
      <c r="K18" s="704">
        <f>transport!J54</f>
        <v>0</v>
      </c>
      <c r="L18" s="704">
        <f>transport!K54</f>
        <v>0</v>
      </c>
      <c r="M18" s="704">
        <f>transport!L54</f>
        <v>0</v>
      </c>
      <c r="N18" s="704">
        <f>transport!M54</f>
        <v>31.365877647234658</v>
      </c>
      <c r="O18" s="704">
        <f>transport!N54</f>
        <v>0</v>
      </c>
      <c r="P18" s="704">
        <f>transport!O54</f>
        <v>0</v>
      </c>
      <c r="Q18" s="705">
        <f>transport!P54</f>
        <v>0</v>
      </c>
      <c r="R18" s="707">
        <f>SUM(C18:Q18)</f>
        <v>736.65376997975829</v>
      </c>
      <c r="S18" s="67"/>
    </row>
    <row r="19" spans="1:19" s="459" customFormat="1" ht="15" thickBot="1">
      <c r="A19" s="858" t="s">
        <v>307</v>
      </c>
      <c r="B19" s="863"/>
      <c r="C19" s="713">
        <f>transport!B14</f>
        <v>3.2427210759791052</v>
      </c>
      <c r="D19" s="713">
        <f>transport!C14</f>
        <v>0</v>
      </c>
      <c r="E19" s="713">
        <f>transport!D14</f>
        <v>6.2293120178711305</v>
      </c>
      <c r="F19" s="713">
        <f>transport!E14</f>
        <v>208.27620750793787</v>
      </c>
      <c r="G19" s="713">
        <f>transport!F14</f>
        <v>0</v>
      </c>
      <c r="H19" s="713">
        <f>transport!G14</f>
        <v>62252.752092879651</v>
      </c>
      <c r="I19" s="713">
        <f>transport!H14</f>
        <v>9421.9966367885281</v>
      </c>
      <c r="J19" s="713">
        <f>transport!I14</f>
        <v>0</v>
      </c>
      <c r="K19" s="713">
        <f>transport!J14</f>
        <v>0</v>
      </c>
      <c r="L19" s="713">
        <f>transport!K14</f>
        <v>0</v>
      </c>
      <c r="M19" s="713">
        <f>transport!L14</f>
        <v>0</v>
      </c>
      <c r="N19" s="713">
        <f>transport!M14</f>
        <v>3239.2021672235132</v>
      </c>
      <c r="O19" s="713">
        <f>transport!N14</f>
        <v>0</v>
      </c>
      <c r="P19" s="713">
        <f>transport!O14</f>
        <v>0</v>
      </c>
      <c r="Q19" s="714">
        <f>transport!P14</f>
        <v>0</v>
      </c>
      <c r="R19" s="715">
        <f>SUM(C19:Q19)</f>
        <v>75131.699137493488</v>
      </c>
      <c r="S19" s="67"/>
    </row>
    <row r="20" spans="1:19" s="459" customFormat="1" ht="15.75" thickBot="1">
      <c r="A20" s="716" t="s">
        <v>230</v>
      </c>
      <c r="B20" s="866"/>
      <c r="C20" s="861">
        <f>SUM(C17:C19)</f>
        <v>3.2427210759791052</v>
      </c>
      <c r="D20" s="717">
        <f t="shared" ref="D20:R20" si="1">SUM(D17:D19)</f>
        <v>0</v>
      </c>
      <c r="E20" s="717">
        <f t="shared" si="1"/>
        <v>6.2293120178711305</v>
      </c>
      <c r="F20" s="717">
        <f t="shared" si="1"/>
        <v>208.27620750793787</v>
      </c>
      <c r="G20" s="717">
        <f t="shared" si="1"/>
        <v>0</v>
      </c>
      <c r="H20" s="717">
        <f t="shared" si="1"/>
        <v>62958.039985212177</v>
      </c>
      <c r="I20" s="717">
        <f t="shared" si="1"/>
        <v>9421.9966367885281</v>
      </c>
      <c r="J20" s="717">
        <f t="shared" si="1"/>
        <v>0</v>
      </c>
      <c r="K20" s="717">
        <f t="shared" si="1"/>
        <v>0</v>
      </c>
      <c r="L20" s="717">
        <f t="shared" si="1"/>
        <v>0</v>
      </c>
      <c r="M20" s="717">
        <f t="shared" si="1"/>
        <v>0</v>
      </c>
      <c r="N20" s="717">
        <f t="shared" si="1"/>
        <v>3270.5680448707481</v>
      </c>
      <c r="O20" s="717">
        <f t="shared" si="1"/>
        <v>0</v>
      </c>
      <c r="P20" s="717">
        <f t="shared" si="1"/>
        <v>0</v>
      </c>
      <c r="Q20" s="718">
        <f t="shared" si="1"/>
        <v>0</v>
      </c>
      <c r="R20" s="719">
        <f t="shared" si="1"/>
        <v>75868.352907473251</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2179.0574214859007</v>
      </c>
      <c r="D22" s="713">
        <f>+landbouw!C8</f>
        <v>0</v>
      </c>
      <c r="E22" s="713">
        <f>+landbouw!D8</f>
        <v>8801.8968214744473</v>
      </c>
      <c r="F22" s="713">
        <f>+landbouw!E8</f>
        <v>27.458930707442072</v>
      </c>
      <c r="G22" s="713">
        <f>+landbouw!F8</f>
        <v>7518.2939906284955</v>
      </c>
      <c r="H22" s="713">
        <f>+landbouw!G8</f>
        <v>0</v>
      </c>
      <c r="I22" s="713">
        <f>+landbouw!H8</f>
        <v>0</v>
      </c>
      <c r="J22" s="713">
        <f>+landbouw!I8</f>
        <v>0</v>
      </c>
      <c r="K22" s="713">
        <f>+landbouw!J8</f>
        <v>327.70546554094966</v>
      </c>
      <c r="L22" s="713">
        <f>+landbouw!K8</f>
        <v>0</v>
      </c>
      <c r="M22" s="713">
        <f>+landbouw!L8</f>
        <v>0</v>
      </c>
      <c r="N22" s="713">
        <f>+landbouw!M8</f>
        <v>0</v>
      </c>
      <c r="O22" s="713">
        <f>+landbouw!N8</f>
        <v>0</v>
      </c>
      <c r="P22" s="713">
        <f>+landbouw!O8</f>
        <v>0</v>
      </c>
      <c r="Q22" s="714">
        <f>+landbouw!P8</f>
        <v>0</v>
      </c>
      <c r="R22" s="715">
        <f>SUM(C22:Q22)</f>
        <v>18854.412629837232</v>
      </c>
      <c r="S22" s="67"/>
    </row>
    <row r="23" spans="1:19" s="459" customFormat="1" ht="17.25" thickTop="1" thickBot="1">
      <c r="A23" s="720" t="s">
        <v>116</v>
      </c>
      <c r="B23" s="852"/>
      <c r="C23" s="721">
        <f ca="1">C20+C15+C22</f>
        <v>20621.350056662039</v>
      </c>
      <c r="D23" s="721">
        <f t="shared" ref="D23:Q23" ca="1" si="2">D20+D15+D22</f>
        <v>0</v>
      </c>
      <c r="E23" s="721">
        <f t="shared" ca="1" si="2"/>
        <v>35539.27279977913</v>
      </c>
      <c r="F23" s="721">
        <f t="shared" si="2"/>
        <v>2941.223597111968</v>
      </c>
      <c r="G23" s="721">
        <f t="shared" ca="1" si="2"/>
        <v>17924.059598143154</v>
      </c>
      <c r="H23" s="721">
        <f t="shared" si="2"/>
        <v>62958.039985212177</v>
      </c>
      <c r="I23" s="721">
        <f t="shared" si="2"/>
        <v>9421.9966367885281</v>
      </c>
      <c r="J23" s="721">
        <f t="shared" si="2"/>
        <v>0</v>
      </c>
      <c r="K23" s="721">
        <f t="shared" si="2"/>
        <v>4131.856814825519</v>
      </c>
      <c r="L23" s="721">
        <f t="shared" si="2"/>
        <v>0</v>
      </c>
      <c r="M23" s="721">
        <f t="shared" ca="1" si="2"/>
        <v>0</v>
      </c>
      <c r="N23" s="721">
        <f t="shared" si="2"/>
        <v>3270.5680448707481</v>
      </c>
      <c r="O23" s="721">
        <f t="shared" ca="1" si="2"/>
        <v>8902.6802448838516</v>
      </c>
      <c r="P23" s="721">
        <f t="shared" si="2"/>
        <v>68.786666666666676</v>
      </c>
      <c r="Q23" s="722">
        <f t="shared" si="2"/>
        <v>400.4</v>
      </c>
      <c r="R23" s="723">
        <f ca="1">R20+R15+R22</f>
        <v>166180.23444494378</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1139.9755412588086</v>
      </c>
      <c r="D36" s="704">
        <f ca="1">tertiair!C20</f>
        <v>0</v>
      </c>
      <c r="E36" s="704">
        <f ca="1">tertiair!D20</f>
        <v>903.23346611083934</v>
      </c>
      <c r="F36" s="704">
        <f>tertiair!E20</f>
        <v>13.675986244268023</v>
      </c>
      <c r="G36" s="704">
        <f ca="1">tertiair!F20</f>
        <v>271.47362429132801</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2328.358617905244</v>
      </c>
    </row>
    <row r="37" spans="1:18">
      <c r="A37" s="873" t="s">
        <v>225</v>
      </c>
      <c r="B37" s="880"/>
      <c r="C37" s="704">
        <f ca="1">huishoudens!B12</f>
        <v>2604.9247902730708</v>
      </c>
      <c r="D37" s="704">
        <f ca="1">huishoudens!C12</f>
        <v>0</v>
      </c>
      <c r="E37" s="704">
        <f>huishoudens!D12</f>
        <v>4426.7339808335582</v>
      </c>
      <c r="F37" s="704">
        <f>huishoudens!E12</f>
        <v>584.81961168228588</v>
      </c>
      <c r="G37" s="704">
        <f>huishoudens!F12</f>
        <v>2386.6894604459676</v>
      </c>
      <c r="H37" s="704">
        <f>huishoudens!G12</f>
        <v>0</v>
      </c>
      <c r="I37" s="704">
        <f>huishoudens!H12</f>
        <v>0</v>
      </c>
      <c r="J37" s="704">
        <f>huishoudens!I12</f>
        <v>0</v>
      </c>
      <c r="K37" s="704">
        <f>huishoudens!J12</f>
        <v>1346.5690844969317</v>
      </c>
      <c r="L37" s="704">
        <f>huishoudens!K12</f>
        <v>0</v>
      </c>
      <c r="M37" s="704">
        <f>huishoudens!L12</f>
        <v>0</v>
      </c>
      <c r="N37" s="704">
        <f>huishoudens!M12</f>
        <v>0</v>
      </c>
      <c r="O37" s="704">
        <f>huishoudens!N12</f>
        <v>0</v>
      </c>
      <c r="P37" s="704">
        <f>huishoudens!O12</f>
        <v>0</v>
      </c>
      <c r="Q37" s="814">
        <f>huishoudens!P12</f>
        <v>0</v>
      </c>
      <c r="R37" s="905">
        <f ca="1">SUM(C37:Q37)</f>
        <v>11349.736927731814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101.76617219102603</v>
      </c>
      <c r="D39" s="704">
        <f ca="1">industrie!C22</f>
        <v>0</v>
      </c>
      <c r="E39" s="704">
        <f>industrie!D22</f>
        <v>69.724179645537973</v>
      </c>
      <c r="F39" s="704">
        <f>industrie!E22</f>
        <v>15.650282242971578</v>
      </c>
      <c r="G39" s="704">
        <f>industrie!F22</f>
        <v>120.17633246911784</v>
      </c>
      <c r="H39" s="704">
        <f>industrie!G22</f>
        <v>0</v>
      </c>
      <c r="I39" s="704">
        <f>industrie!H22</f>
        <v>0</v>
      </c>
      <c r="J39" s="704">
        <f>industrie!I22</f>
        <v>0</v>
      </c>
      <c r="K39" s="704">
        <f>industrie!J22</f>
        <v>0.10049314980578965</v>
      </c>
      <c r="L39" s="704">
        <f>industrie!K22</f>
        <v>0</v>
      </c>
      <c r="M39" s="704">
        <f>industrie!L22</f>
        <v>0</v>
      </c>
      <c r="N39" s="704">
        <f>industrie!M22</f>
        <v>0</v>
      </c>
      <c r="O39" s="704">
        <f>industrie!N22</f>
        <v>0</v>
      </c>
      <c r="P39" s="704">
        <f>industrie!O22</f>
        <v>0</v>
      </c>
      <c r="Q39" s="814">
        <f>industrie!P22</f>
        <v>0</v>
      </c>
      <c r="R39" s="906">
        <f ca="1">SUM(C39:Q39)</f>
        <v>307.4174596984592</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3846.6665037229054</v>
      </c>
      <c r="D41" s="749">
        <f t="shared" ref="D41:R41" ca="1" si="4">SUM(D35:D40)</f>
        <v>0</v>
      </c>
      <c r="E41" s="749">
        <f t="shared" ca="1" si="4"/>
        <v>5399.6916265899363</v>
      </c>
      <c r="F41" s="749">
        <f t="shared" si="4"/>
        <v>614.14588016952553</v>
      </c>
      <c r="G41" s="749">
        <f t="shared" ca="1" si="4"/>
        <v>2778.3394172064136</v>
      </c>
      <c r="H41" s="749">
        <f t="shared" si="4"/>
        <v>0</v>
      </c>
      <c r="I41" s="749">
        <f t="shared" si="4"/>
        <v>0</v>
      </c>
      <c r="J41" s="749">
        <f t="shared" si="4"/>
        <v>0</v>
      </c>
      <c r="K41" s="749">
        <f t="shared" si="4"/>
        <v>1346.6695776467375</v>
      </c>
      <c r="L41" s="749">
        <f t="shared" si="4"/>
        <v>0</v>
      </c>
      <c r="M41" s="749">
        <f t="shared" ca="1" si="4"/>
        <v>0</v>
      </c>
      <c r="N41" s="749">
        <f t="shared" si="4"/>
        <v>0</v>
      </c>
      <c r="O41" s="749">
        <f t="shared" ca="1" si="4"/>
        <v>0</v>
      </c>
      <c r="P41" s="749">
        <f t="shared" si="4"/>
        <v>0</v>
      </c>
      <c r="Q41" s="750">
        <f t="shared" si="4"/>
        <v>0</v>
      </c>
      <c r="R41" s="751">
        <f t="shared" ca="1" si="4"/>
        <v>13985.513005335517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188.3118672527838</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188.3118672527838</v>
      </c>
    </row>
    <row r="45" spans="1:18" ht="15" thickBot="1">
      <c r="A45" s="876" t="s">
        <v>307</v>
      </c>
      <c r="B45" s="886"/>
      <c r="C45" s="713">
        <f ca="1">transport!B18</f>
        <v>0.67648097933433293</v>
      </c>
      <c r="D45" s="713">
        <f>transport!C18</f>
        <v>0</v>
      </c>
      <c r="E45" s="713">
        <f>transport!D18</f>
        <v>1.2583210276099686</v>
      </c>
      <c r="F45" s="713">
        <f>transport!E18</f>
        <v>47.2786991043019</v>
      </c>
      <c r="G45" s="713">
        <f>transport!F18</f>
        <v>0</v>
      </c>
      <c r="H45" s="713">
        <f>transport!G18</f>
        <v>16621.484808798868</v>
      </c>
      <c r="I45" s="713">
        <f>transport!H18</f>
        <v>2346.0771625603434</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19016.775472470461</v>
      </c>
    </row>
    <row r="46" spans="1:18" ht="15.75" thickBot="1">
      <c r="A46" s="874" t="s">
        <v>230</v>
      </c>
      <c r="B46" s="887"/>
      <c r="C46" s="749">
        <f t="shared" ref="C46:R46" ca="1" si="5">SUM(C43:C45)</f>
        <v>0.67648097933433293</v>
      </c>
      <c r="D46" s="749">
        <f t="shared" ca="1" si="5"/>
        <v>0</v>
      </c>
      <c r="E46" s="749">
        <f t="shared" si="5"/>
        <v>1.2583210276099686</v>
      </c>
      <c r="F46" s="749">
        <f t="shared" si="5"/>
        <v>47.2786991043019</v>
      </c>
      <c r="G46" s="749">
        <f t="shared" si="5"/>
        <v>0</v>
      </c>
      <c r="H46" s="749">
        <f t="shared" si="5"/>
        <v>16809.796676051654</v>
      </c>
      <c r="I46" s="749">
        <f t="shared" si="5"/>
        <v>2346.0771625603434</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19205.087339723246</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454.58454920222897</v>
      </c>
      <c r="D48" s="704">
        <f ca="1">+landbouw!C12</f>
        <v>0</v>
      </c>
      <c r="E48" s="704">
        <f>+landbouw!D12</f>
        <v>1777.9831579378385</v>
      </c>
      <c r="F48" s="704">
        <f>+landbouw!E12</f>
        <v>6.2331772705893504</v>
      </c>
      <c r="G48" s="704">
        <f>+landbouw!F12</f>
        <v>2007.3844954978085</v>
      </c>
      <c r="H48" s="704">
        <f>+landbouw!G12</f>
        <v>0</v>
      </c>
      <c r="I48" s="704">
        <f>+landbouw!H12</f>
        <v>0</v>
      </c>
      <c r="J48" s="704">
        <f>+landbouw!I12</f>
        <v>0</v>
      </c>
      <c r="K48" s="704">
        <f>+landbouw!J12</f>
        <v>116.00773480149617</v>
      </c>
      <c r="L48" s="704">
        <f>+landbouw!K12</f>
        <v>0</v>
      </c>
      <c r="M48" s="704">
        <f>+landbouw!L12</f>
        <v>0</v>
      </c>
      <c r="N48" s="704">
        <f>+landbouw!M12</f>
        <v>0</v>
      </c>
      <c r="O48" s="704">
        <f>+landbouw!N12</f>
        <v>0</v>
      </c>
      <c r="P48" s="704">
        <f>+landbouw!O12</f>
        <v>0</v>
      </c>
      <c r="Q48" s="705">
        <f>+landbouw!P12</f>
        <v>0</v>
      </c>
      <c r="R48" s="747">
        <f ca="1">SUM(C48:Q48)</f>
        <v>4362.1931147099622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4301.9275339044689</v>
      </c>
      <c r="D53" s="759">
        <f t="shared" ref="D53:Q53" ca="1" si="6">D41+D46+D48</f>
        <v>0</v>
      </c>
      <c r="E53" s="759">
        <f t="shared" ca="1" si="6"/>
        <v>7178.9331055553848</v>
      </c>
      <c r="F53" s="759">
        <f t="shared" si="6"/>
        <v>667.65775654441677</v>
      </c>
      <c r="G53" s="759">
        <f t="shared" ca="1" si="6"/>
        <v>4785.7239127042221</v>
      </c>
      <c r="H53" s="759">
        <f t="shared" si="6"/>
        <v>16809.796676051654</v>
      </c>
      <c r="I53" s="759">
        <f t="shared" si="6"/>
        <v>2346.0771625603434</v>
      </c>
      <c r="J53" s="759">
        <f t="shared" si="6"/>
        <v>0</v>
      </c>
      <c r="K53" s="759">
        <f t="shared" si="6"/>
        <v>1462.6773124482336</v>
      </c>
      <c r="L53" s="759">
        <f t="shared" si="6"/>
        <v>0</v>
      </c>
      <c r="M53" s="759">
        <f t="shared" ca="1" si="6"/>
        <v>0</v>
      </c>
      <c r="N53" s="759">
        <f t="shared" si="6"/>
        <v>0</v>
      </c>
      <c r="O53" s="759">
        <f t="shared" ca="1" si="6"/>
        <v>0</v>
      </c>
      <c r="P53" s="759">
        <f>P41+P46+P48</f>
        <v>0</v>
      </c>
      <c r="Q53" s="760">
        <f t="shared" si="6"/>
        <v>0</v>
      </c>
      <c r="R53" s="761">
        <f ca="1">R41+R46+R48</f>
        <v>37552.79345976872</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0.20861522267377766</v>
      </c>
      <c r="D55" s="824">
        <f t="shared" ca="1" si="7"/>
        <v>0</v>
      </c>
      <c r="E55" s="824">
        <f t="shared" ca="1" si="7"/>
        <v>0.20200000000000001</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1155.6146091305063</v>
      </c>
      <c r="C66" s="781">
        <f>'lokale energieproductie'!B6</f>
        <v>1155.6146091305063</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1155.6146091305063</v>
      </c>
      <c r="C69" s="789">
        <f>SUM(C64:C68)</f>
        <v>1155.6146091305063</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12486.743569746708</v>
      </c>
      <c r="C4" s="463">
        <f>huishoudens!C8</f>
        <v>0</v>
      </c>
      <c r="D4" s="463">
        <f>huishoudens!D8</f>
        <v>21914.524657591872</v>
      </c>
      <c r="E4" s="463">
        <f>huishoudens!E8</f>
        <v>2576.2978488206427</v>
      </c>
      <c r="F4" s="463">
        <f>huishoudens!F8</f>
        <v>8938.9118368762829</v>
      </c>
      <c r="G4" s="463">
        <f>huishoudens!G8</f>
        <v>0</v>
      </c>
      <c r="H4" s="463">
        <f>huishoudens!H8</f>
        <v>0</v>
      </c>
      <c r="I4" s="463">
        <f>huishoudens!I8</f>
        <v>0</v>
      </c>
      <c r="J4" s="463">
        <f>huishoudens!J8</f>
        <v>3803.8674703303159</v>
      </c>
      <c r="K4" s="463">
        <f>huishoudens!K8</f>
        <v>0</v>
      </c>
      <c r="L4" s="463">
        <f>huishoudens!L8</f>
        <v>0</v>
      </c>
      <c r="M4" s="463">
        <f>huishoudens!M8</f>
        <v>0</v>
      </c>
      <c r="N4" s="463">
        <f>huishoudens!N8</f>
        <v>7953.9381983991634</v>
      </c>
      <c r="O4" s="463">
        <f>huishoudens!O8</f>
        <v>68.786666666666676</v>
      </c>
      <c r="P4" s="464">
        <f>huishoudens!P8</f>
        <v>400.4</v>
      </c>
      <c r="Q4" s="465">
        <f>SUM(B4:P4)</f>
        <v>58143.470248431651</v>
      </c>
    </row>
    <row r="5" spans="1:17">
      <c r="A5" s="462" t="s">
        <v>156</v>
      </c>
      <c r="B5" s="463">
        <f ca="1">tertiair!B16</f>
        <v>4848.3357685950268</v>
      </c>
      <c r="C5" s="463">
        <f ca="1">tertiair!C16</f>
        <v>0</v>
      </c>
      <c r="D5" s="463">
        <f ca="1">tertiair!D16</f>
        <v>4471.4528025289073</v>
      </c>
      <c r="E5" s="463">
        <f>tertiair!E16</f>
        <v>60.246635437304064</v>
      </c>
      <c r="F5" s="463">
        <f ca="1">tertiair!F16</f>
        <v>1016.7551471585318</v>
      </c>
      <c r="G5" s="463">
        <f>tertiair!G16</f>
        <v>0</v>
      </c>
      <c r="H5" s="463">
        <f>tertiair!H16</f>
        <v>0</v>
      </c>
      <c r="I5" s="463">
        <f>tertiair!I16</f>
        <v>0</v>
      </c>
      <c r="J5" s="463">
        <f>tertiair!J16</f>
        <v>0</v>
      </c>
      <c r="K5" s="463">
        <f>tertiair!K16</f>
        <v>0</v>
      </c>
      <c r="L5" s="463">
        <f ca="1">tertiair!L16</f>
        <v>0</v>
      </c>
      <c r="M5" s="463">
        <f>tertiair!M16</f>
        <v>0</v>
      </c>
      <c r="N5" s="463">
        <f ca="1">tertiair!N16</f>
        <v>810.5999474697868</v>
      </c>
      <c r="O5" s="463">
        <f>tertiair!O16</f>
        <v>0</v>
      </c>
      <c r="P5" s="464">
        <f>tertiair!P16</f>
        <v>0</v>
      </c>
      <c r="Q5" s="462">
        <f t="shared" ref="Q5:Q13" ca="1" si="0">SUM(B5:P5)</f>
        <v>11207.390301189558</v>
      </c>
    </row>
    <row r="6" spans="1:17">
      <c r="A6" s="462" t="s">
        <v>194</v>
      </c>
      <c r="B6" s="463">
        <f>'openbare verlichting'!B8</f>
        <v>616.15300000000002</v>
      </c>
      <c r="C6" s="463"/>
      <c r="D6" s="463"/>
      <c r="E6" s="463"/>
      <c r="F6" s="463"/>
      <c r="G6" s="463"/>
      <c r="H6" s="463"/>
      <c r="I6" s="463"/>
      <c r="J6" s="463"/>
      <c r="K6" s="463"/>
      <c r="L6" s="463"/>
      <c r="M6" s="463"/>
      <c r="N6" s="463"/>
      <c r="O6" s="463"/>
      <c r="P6" s="464"/>
      <c r="Q6" s="462">
        <f t="shared" si="0"/>
        <v>616.15300000000002</v>
      </c>
    </row>
    <row r="7" spans="1:17">
      <c r="A7" s="462" t="s">
        <v>112</v>
      </c>
      <c r="B7" s="463">
        <f>landbouw!B8</f>
        <v>2179.0574214859007</v>
      </c>
      <c r="C7" s="463">
        <f>landbouw!C8</f>
        <v>0</v>
      </c>
      <c r="D7" s="463">
        <f>landbouw!D8</f>
        <v>8801.8968214744473</v>
      </c>
      <c r="E7" s="463">
        <f>landbouw!E8</f>
        <v>27.458930707442072</v>
      </c>
      <c r="F7" s="463">
        <f>landbouw!F8</f>
        <v>7518.2939906284955</v>
      </c>
      <c r="G7" s="463">
        <f>landbouw!G8</f>
        <v>0</v>
      </c>
      <c r="H7" s="463">
        <f>landbouw!H8</f>
        <v>0</v>
      </c>
      <c r="I7" s="463">
        <f>landbouw!I8</f>
        <v>0</v>
      </c>
      <c r="J7" s="463">
        <f>landbouw!J8</f>
        <v>327.70546554094966</v>
      </c>
      <c r="K7" s="463">
        <f>landbouw!K8</f>
        <v>0</v>
      </c>
      <c r="L7" s="463">
        <f>landbouw!L8</f>
        <v>0</v>
      </c>
      <c r="M7" s="463">
        <f>landbouw!M8</f>
        <v>0</v>
      </c>
      <c r="N7" s="463">
        <f>landbouw!N8</f>
        <v>0</v>
      </c>
      <c r="O7" s="463">
        <f>landbouw!O8</f>
        <v>0</v>
      </c>
      <c r="P7" s="464">
        <f>landbouw!P8</f>
        <v>0</v>
      </c>
      <c r="Q7" s="462">
        <f t="shared" si="0"/>
        <v>18854.412629837232</v>
      </c>
    </row>
    <row r="8" spans="1:17">
      <c r="A8" s="462" t="s">
        <v>657</v>
      </c>
      <c r="B8" s="463">
        <f>industrie!B18</f>
        <v>487.81757575842403</v>
      </c>
      <c r="C8" s="463">
        <f>industrie!C18</f>
        <v>0</v>
      </c>
      <c r="D8" s="463">
        <f>industrie!D18</f>
        <v>345.16920616602954</v>
      </c>
      <c r="E8" s="463">
        <f>industrie!E18</f>
        <v>68.943974638641308</v>
      </c>
      <c r="F8" s="463">
        <f>industrie!F18</f>
        <v>450.09862347984205</v>
      </c>
      <c r="G8" s="463">
        <f>industrie!G18</f>
        <v>0</v>
      </c>
      <c r="H8" s="463">
        <f>industrie!H18</f>
        <v>0</v>
      </c>
      <c r="I8" s="463">
        <f>industrie!I18</f>
        <v>0</v>
      </c>
      <c r="J8" s="463">
        <f>industrie!J18</f>
        <v>0.28387895425364307</v>
      </c>
      <c r="K8" s="463">
        <f>industrie!K18</f>
        <v>0</v>
      </c>
      <c r="L8" s="463">
        <f>industrie!L18</f>
        <v>0</v>
      </c>
      <c r="M8" s="463">
        <f>industrie!M18</f>
        <v>0</v>
      </c>
      <c r="N8" s="463">
        <f>industrie!N18</f>
        <v>138.14209901490136</v>
      </c>
      <c r="O8" s="463">
        <f>industrie!O18</f>
        <v>0</v>
      </c>
      <c r="P8" s="464">
        <f>industrie!P18</f>
        <v>0</v>
      </c>
      <c r="Q8" s="462">
        <f t="shared" si="0"/>
        <v>1490.4553580120919</v>
      </c>
    </row>
    <row r="9" spans="1:17" s="468" customFormat="1">
      <c r="A9" s="466" t="s">
        <v>574</v>
      </c>
      <c r="B9" s="467">
        <f>transport!B14</f>
        <v>3.2427210759791052</v>
      </c>
      <c r="C9" s="467"/>
      <c r="D9" s="467">
        <f>transport!D14</f>
        <v>6.2293120178711305</v>
      </c>
      <c r="E9" s="467">
        <f>transport!E14</f>
        <v>208.27620750793787</v>
      </c>
      <c r="F9" s="467"/>
      <c r="G9" s="467">
        <f>transport!G14</f>
        <v>62252.752092879651</v>
      </c>
      <c r="H9" s="467">
        <f>transport!H14</f>
        <v>9421.9966367885281</v>
      </c>
      <c r="I9" s="467"/>
      <c r="J9" s="467"/>
      <c r="K9" s="467"/>
      <c r="L9" s="467"/>
      <c r="M9" s="467">
        <f>transport!M14</f>
        <v>3239.2021672235132</v>
      </c>
      <c r="N9" s="467"/>
      <c r="O9" s="467"/>
      <c r="P9" s="467"/>
      <c r="Q9" s="466">
        <f>SUM(B9:P9)</f>
        <v>75131.699137493488</v>
      </c>
    </row>
    <row r="10" spans="1:17">
      <c r="A10" s="462" t="s">
        <v>564</v>
      </c>
      <c r="B10" s="463">
        <f>transport!B54</f>
        <v>0</v>
      </c>
      <c r="C10" s="463"/>
      <c r="D10" s="463">
        <f>transport!D54</f>
        <v>0</v>
      </c>
      <c r="E10" s="463"/>
      <c r="F10" s="463"/>
      <c r="G10" s="463">
        <f>transport!G54</f>
        <v>705.2878923325236</v>
      </c>
      <c r="H10" s="463"/>
      <c r="I10" s="463"/>
      <c r="J10" s="463"/>
      <c r="K10" s="463"/>
      <c r="L10" s="463"/>
      <c r="M10" s="463">
        <f>transport!M54</f>
        <v>31.365877647234658</v>
      </c>
      <c r="N10" s="463"/>
      <c r="O10" s="463"/>
      <c r="P10" s="464"/>
      <c r="Q10" s="462">
        <f t="shared" si="0"/>
        <v>736.65376997975829</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20621.350056662035</v>
      </c>
      <c r="C14" s="473">
        <f t="shared" ref="C14:Q14" ca="1" si="1">SUM(C4:C13)</f>
        <v>0</v>
      </c>
      <c r="D14" s="473">
        <f t="shared" ca="1" si="1"/>
        <v>35539.27279977913</v>
      </c>
      <c r="E14" s="473">
        <f t="shared" si="1"/>
        <v>2941.223597111968</v>
      </c>
      <c r="F14" s="473">
        <f t="shared" ca="1" si="1"/>
        <v>17924.059598143154</v>
      </c>
      <c r="G14" s="473">
        <f t="shared" si="1"/>
        <v>62958.039985212177</v>
      </c>
      <c r="H14" s="473">
        <f t="shared" si="1"/>
        <v>9421.9966367885281</v>
      </c>
      <c r="I14" s="473">
        <f t="shared" si="1"/>
        <v>0</v>
      </c>
      <c r="J14" s="473">
        <f t="shared" si="1"/>
        <v>4131.856814825519</v>
      </c>
      <c r="K14" s="473">
        <f t="shared" si="1"/>
        <v>0</v>
      </c>
      <c r="L14" s="473">
        <f t="shared" ca="1" si="1"/>
        <v>0</v>
      </c>
      <c r="M14" s="473">
        <f t="shared" si="1"/>
        <v>3270.5680448707481</v>
      </c>
      <c r="N14" s="473">
        <f t="shared" ca="1" si="1"/>
        <v>8902.6802448838516</v>
      </c>
      <c r="O14" s="473">
        <f t="shared" si="1"/>
        <v>68.786666666666676</v>
      </c>
      <c r="P14" s="474">
        <f t="shared" si="1"/>
        <v>400.4</v>
      </c>
      <c r="Q14" s="474">
        <f t="shared" ca="1" si="1"/>
        <v>166180.23444494375</v>
      </c>
    </row>
    <row r="16" spans="1:17">
      <c r="A16" s="476" t="s">
        <v>569</v>
      </c>
      <c r="B16" s="829">
        <f ca="1">huishoudens!B10</f>
        <v>0.20861522267377766</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2604.9247902730708</v>
      </c>
      <c r="C21" s="463">
        <f t="shared" ref="C21:C28" ca="1" si="3">C4*$C$16</f>
        <v>0</v>
      </c>
      <c r="D21" s="463">
        <f t="shared" ref="D21:D30" si="4">D4*$D$16</f>
        <v>4426.7339808335582</v>
      </c>
      <c r="E21" s="463">
        <f t="shared" ref="E21:E30" si="5">E4*$E$16</f>
        <v>584.81961168228588</v>
      </c>
      <c r="F21" s="463">
        <f t="shared" ref="F21:F28" si="6">F4*$F$16</f>
        <v>2386.6894604459676</v>
      </c>
      <c r="G21" s="463">
        <f t="shared" ref="G21:G30" si="7">G4*$G$16</f>
        <v>0</v>
      </c>
      <c r="H21" s="463">
        <f t="shared" ref="H21:H30" si="8">H4*$H$16</f>
        <v>0</v>
      </c>
      <c r="I21" s="463">
        <f t="shared" ref="I21:I28" si="9">I4*$I$16</f>
        <v>0</v>
      </c>
      <c r="J21" s="463">
        <f t="shared" ref="J21:J28" si="10">J4*$J$16</f>
        <v>1346.5690844969317</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11349.736927731814</v>
      </c>
    </row>
    <row r="22" spans="1:17">
      <c r="A22" s="462" t="s">
        <v>156</v>
      </c>
      <c r="B22" s="463">
        <f t="shared" ca="1" si="2"/>
        <v>1011.4366459626925</v>
      </c>
      <c r="C22" s="463">
        <f t="shared" ca="1" si="3"/>
        <v>0</v>
      </c>
      <c r="D22" s="463">
        <f t="shared" ca="1" si="4"/>
        <v>903.23346611083934</v>
      </c>
      <c r="E22" s="463">
        <f t="shared" si="5"/>
        <v>13.675986244268023</v>
      </c>
      <c r="F22" s="463">
        <f t="shared" ca="1" si="6"/>
        <v>271.47362429132801</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2199.8197226091279</v>
      </c>
    </row>
    <row r="23" spans="1:17">
      <c r="A23" s="462" t="s">
        <v>194</v>
      </c>
      <c r="B23" s="463">
        <f t="shared" ca="1" si="2"/>
        <v>128.53889529611612</v>
      </c>
      <c r="C23" s="463"/>
      <c r="D23" s="463"/>
      <c r="E23" s="463"/>
      <c r="F23" s="463"/>
      <c r="G23" s="463"/>
      <c r="H23" s="463"/>
      <c r="I23" s="463"/>
      <c r="J23" s="463"/>
      <c r="K23" s="463"/>
      <c r="L23" s="463"/>
      <c r="M23" s="463"/>
      <c r="N23" s="463"/>
      <c r="O23" s="463"/>
      <c r="P23" s="464"/>
      <c r="Q23" s="462">
        <f t="shared" ca="1" si="17"/>
        <v>128.53889529611612</v>
      </c>
    </row>
    <row r="24" spans="1:17">
      <c r="A24" s="462" t="s">
        <v>112</v>
      </c>
      <c r="B24" s="463">
        <f t="shared" ca="1" si="2"/>
        <v>454.58454920222897</v>
      </c>
      <c r="C24" s="463">
        <f t="shared" ca="1" si="3"/>
        <v>0</v>
      </c>
      <c r="D24" s="463">
        <f t="shared" si="4"/>
        <v>1777.9831579378385</v>
      </c>
      <c r="E24" s="463">
        <f t="shared" si="5"/>
        <v>6.2331772705893504</v>
      </c>
      <c r="F24" s="463">
        <f t="shared" si="6"/>
        <v>2007.3844954978085</v>
      </c>
      <c r="G24" s="463">
        <f t="shared" si="7"/>
        <v>0</v>
      </c>
      <c r="H24" s="463">
        <f t="shared" si="8"/>
        <v>0</v>
      </c>
      <c r="I24" s="463">
        <f t="shared" si="9"/>
        <v>0</v>
      </c>
      <c r="J24" s="463">
        <f t="shared" si="10"/>
        <v>116.00773480149617</v>
      </c>
      <c r="K24" s="463">
        <f t="shared" si="11"/>
        <v>0</v>
      </c>
      <c r="L24" s="463">
        <f t="shared" si="12"/>
        <v>0</v>
      </c>
      <c r="M24" s="463">
        <f t="shared" si="13"/>
        <v>0</v>
      </c>
      <c r="N24" s="463">
        <f t="shared" si="14"/>
        <v>0</v>
      </c>
      <c r="O24" s="463">
        <f t="shared" si="15"/>
        <v>0</v>
      </c>
      <c r="P24" s="464">
        <f t="shared" si="16"/>
        <v>0</v>
      </c>
      <c r="Q24" s="462">
        <f t="shared" ca="1" si="17"/>
        <v>4362.1931147099622</v>
      </c>
    </row>
    <row r="25" spans="1:17">
      <c r="A25" s="462" t="s">
        <v>657</v>
      </c>
      <c r="B25" s="463">
        <f t="shared" ca="1" si="2"/>
        <v>101.76617219102603</v>
      </c>
      <c r="C25" s="463">
        <f t="shared" ca="1" si="3"/>
        <v>0</v>
      </c>
      <c r="D25" s="463">
        <f t="shared" si="4"/>
        <v>69.724179645537973</v>
      </c>
      <c r="E25" s="463">
        <f t="shared" si="5"/>
        <v>15.650282242971578</v>
      </c>
      <c r="F25" s="463">
        <f t="shared" si="6"/>
        <v>120.17633246911784</v>
      </c>
      <c r="G25" s="463">
        <f t="shared" si="7"/>
        <v>0</v>
      </c>
      <c r="H25" s="463">
        <f t="shared" si="8"/>
        <v>0</v>
      </c>
      <c r="I25" s="463">
        <f t="shared" si="9"/>
        <v>0</v>
      </c>
      <c r="J25" s="463">
        <f t="shared" si="10"/>
        <v>0.10049314980578965</v>
      </c>
      <c r="K25" s="463">
        <f t="shared" si="11"/>
        <v>0</v>
      </c>
      <c r="L25" s="463">
        <f t="shared" si="12"/>
        <v>0</v>
      </c>
      <c r="M25" s="463">
        <f t="shared" si="13"/>
        <v>0</v>
      </c>
      <c r="N25" s="463">
        <f t="shared" si="14"/>
        <v>0</v>
      </c>
      <c r="O25" s="463">
        <f t="shared" si="15"/>
        <v>0</v>
      </c>
      <c r="P25" s="464">
        <f t="shared" si="16"/>
        <v>0</v>
      </c>
      <c r="Q25" s="462">
        <f t="shared" ca="1" si="17"/>
        <v>307.4174596984592</v>
      </c>
    </row>
    <row r="26" spans="1:17" s="468" customFormat="1">
      <c r="A26" s="466" t="s">
        <v>574</v>
      </c>
      <c r="B26" s="823">
        <f t="shared" ca="1" si="2"/>
        <v>0.67648097933433293</v>
      </c>
      <c r="C26" s="467"/>
      <c r="D26" s="467">
        <f t="shared" si="4"/>
        <v>1.2583210276099686</v>
      </c>
      <c r="E26" s="467">
        <f t="shared" si="5"/>
        <v>47.2786991043019</v>
      </c>
      <c r="F26" s="467"/>
      <c r="G26" s="467">
        <f t="shared" si="7"/>
        <v>16621.484808798868</v>
      </c>
      <c r="H26" s="467">
        <f t="shared" si="8"/>
        <v>2346.0771625603434</v>
      </c>
      <c r="I26" s="467"/>
      <c r="J26" s="467"/>
      <c r="K26" s="467"/>
      <c r="L26" s="467"/>
      <c r="M26" s="467">
        <f t="shared" si="13"/>
        <v>0</v>
      </c>
      <c r="N26" s="467"/>
      <c r="O26" s="467"/>
      <c r="P26" s="478"/>
      <c r="Q26" s="466">
        <f t="shared" ca="1" si="17"/>
        <v>19016.775472470461</v>
      </c>
    </row>
    <row r="27" spans="1:17">
      <c r="A27" s="462" t="s">
        <v>564</v>
      </c>
      <c r="B27" s="463">
        <f t="shared" ca="1" si="2"/>
        <v>0</v>
      </c>
      <c r="C27" s="463"/>
      <c r="D27" s="467">
        <f t="shared" si="4"/>
        <v>0</v>
      </c>
      <c r="E27" s="463"/>
      <c r="F27" s="463"/>
      <c r="G27" s="463">
        <f t="shared" si="7"/>
        <v>188.3118672527838</v>
      </c>
      <c r="H27" s="463"/>
      <c r="I27" s="463"/>
      <c r="J27" s="463"/>
      <c r="K27" s="463"/>
      <c r="L27" s="463"/>
      <c r="M27" s="463">
        <f t="shared" si="13"/>
        <v>0</v>
      </c>
      <c r="N27" s="463"/>
      <c r="O27" s="463"/>
      <c r="P27" s="464"/>
      <c r="Q27" s="462">
        <f t="shared" ca="1" si="17"/>
        <v>188.3118672527838</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4301.9275339044689</v>
      </c>
      <c r="C31" s="473">
        <f t="shared" ca="1" si="18"/>
        <v>0</v>
      </c>
      <c r="D31" s="473">
        <f t="shared" ca="1" si="18"/>
        <v>7178.9331055553848</v>
      </c>
      <c r="E31" s="473">
        <f t="shared" si="18"/>
        <v>667.65775654441677</v>
      </c>
      <c r="F31" s="473">
        <f t="shared" ca="1" si="18"/>
        <v>4785.723912704223</v>
      </c>
      <c r="G31" s="473">
        <f t="shared" si="18"/>
        <v>16809.796676051654</v>
      </c>
      <c r="H31" s="473">
        <f t="shared" si="18"/>
        <v>2346.0771625603434</v>
      </c>
      <c r="I31" s="473">
        <f t="shared" si="18"/>
        <v>0</v>
      </c>
      <c r="J31" s="473">
        <f t="shared" si="18"/>
        <v>1462.6773124482336</v>
      </c>
      <c r="K31" s="473">
        <f t="shared" si="18"/>
        <v>0</v>
      </c>
      <c r="L31" s="473">
        <f t="shared" ca="1" si="18"/>
        <v>0</v>
      </c>
      <c r="M31" s="473">
        <f t="shared" si="18"/>
        <v>0</v>
      </c>
      <c r="N31" s="473">
        <f t="shared" ca="1" si="18"/>
        <v>0</v>
      </c>
      <c r="O31" s="473">
        <f t="shared" si="18"/>
        <v>0</v>
      </c>
      <c r="P31" s="474">
        <f t="shared" si="18"/>
        <v>0</v>
      </c>
      <c r="Q31" s="474">
        <f t="shared" ca="1" si="18"/>
        <v>37552.793459768727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0.20861522267377766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0.20861522267377766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0.20861522267377766</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2019-01-02T18:05:05Z</dcterms:modified>
</cp:coreProperties>
</file>