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<sst xmlns="http://schemas.openxmlformats.org/spreadsheetml/2006/main" count="2187" uniqueCount="895">
  <si>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</si>
  <si>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</si>
  <si>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</si>
  <si>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</si>
  <si>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</si>
  <si>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</si>
  <si>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</si>
  <si>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</si>
  <si>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</si>
  <si>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</si>
  <si>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</si>
  <si>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</si>
  <si>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</si>
  <si>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</si>
  <si>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</si>
  <si>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</si>
  <si>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</si>
  <si>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</si>
  <si>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</si>
  <si>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</si>
  <si>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</si>
  <si>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</si>
  <si>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</si>
  <si>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</si>
  <si>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</si>
  <si>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</si>
  <si>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</si>
  <si>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</si>
  <si>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</si>
  <si>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</si>
  <si>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</si>
  <si>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</si>
  <si>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</si>
  <si>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</si>
  <si>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</si>
  <si>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</si>
  <si>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</si>
  <si>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</si>
  <si>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</si>
  <si>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</si>
  <si>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</si>
  <si>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</si>
  <si>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</si>
  <si>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</si>
  <si>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</si>
  <si>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</si>
  <si>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</si>
  <si>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</si>
  <si>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</si>
  <si>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</si>
  <si>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</si>
  <si>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</si>
  <si>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</si>
  <si>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</si>
  <si>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</si>
  <si>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</si>
  <si>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</si>
  <si>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</si>
  <si>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</si>
  <si>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</si>
  <si>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</si>
  <si>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</si>
  <si>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</si>
  <si>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</si>
  <si>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</si>
  <si>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</si>
  <si>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</si>
  <si>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</si>
  <si>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</si>
  <si>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</si>
  <si>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</si>
  <si>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</si>
  <si>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</si>
  <si>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</si>
  <si>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</si>
  <si>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</si>
  <si>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</si>
  <si>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</si>
  <si>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</si>
  <si>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</si>
  <si>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</si>
  <si>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</si>
  <si>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</si>
  <si>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</si>
  <si>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</si>
  <si>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</si>
  <si>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</si>
  <si>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</si>
  <si>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</si>
  <si>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</si>
  <si>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</si>
  <si>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</si>
  <si>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</si>
  <si>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</si>
  <si>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</si>
  <si>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</si>
  <si>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</si>
  <si>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</si>
  <si>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</si>
  <si>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</si>
  <si>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</si>
  <si>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</si>
  <si>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</si>
  <si>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</si>
  <si>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</si>
  <si>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</si>
  <si>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</si>
  <si>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</si>
  <si>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</si>
  <si>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</si>
  <si>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</si>
  <si>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</si>
  <si>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</si>
  <si>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</si>
  <si>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</si>
  <si>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</si>
  <si>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</si>
  <si>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</si>
  <si>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</si>
  <si>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</si>
  <si>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</si>
  <si>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</si>
  <si>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</si>
  <si>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</si>
  <si>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</si>
  <si>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</si>
  <si>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</si>
  <si>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</si>
  <si>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</si>
  <si>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</si>
  <si>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</si>
  <si>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</si>
  <si>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</si>
  <si>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</si>
  <si>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</si>
  <si>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</si>
  <si>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</si>
  <si>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</si>
  <si>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</si>
  <si>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</si>
  <si>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</si>
  <si>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</si>
  <si>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</si>
  <si>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</si>
  <si>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</si>
  <si>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</si>
  <si>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</si>
  <si>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</si>
  <si>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</si>
  <si>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</si>
  <si>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</si>
  <si>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</si>
  <si>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</si>
  <si>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</si>
  <si>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</si>
  <si>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</si>
  <si>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</si>
  <si>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</si>
  <si>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</si>
  <si>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</si>
  <si>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</si>
  <si>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</si>
  <si>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</si>
  <si>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</si>
  <si>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</si>
  <si>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</si>
  <si>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</si>
  <si>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</si>
  <si>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</si>
  <si>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</si>
  <si>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</si>
  <si>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</si>
  <si>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</si>
  <si>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</si>
  <si>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</si>
  <si>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</si>
  <si>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</si>
  <si>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</si>
  <si>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</si>
  <si>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</si>
  <si>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</si>
  <si>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</si>
  <si>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</si>
  <si>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</si>
  <si>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</si>
  <si>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</si>
  <si>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</si>
  <si>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</si>
  <si>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</si>
  <si>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</si>
  <si>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</si>
  <si>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</si>
  <si>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</si>
  <si>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</si>
  <si>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</si>
  <si>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</si>
  <si>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</si>
  <si>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</si>
  <si>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</si>
  <si>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</si>
  <si>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</si>
  <si>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</si>
  <si>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</si>
  <si>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</si>
  <si>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</si>
  <si>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</si>
  <si>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</si>
  <si>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</si>
  <si>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</si>
  <si>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</si>
  <si>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</si>
  <si>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</si>
  <si>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</si>
  <si>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</si>
  <si>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</si>
  <si>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</si>
  <si>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</si>
  <si>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</si>
  <si>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</si>
  <si>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</si>
  <si>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</si>
  <si>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</si>
  <si>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</si>
  <si>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</si>
  <si>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</si>
  <si>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</si>
  <si>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</si>
  <si>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</si>
  <si>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</si>
  <si>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</si>
  <si>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</si>
  <si>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</si>
  <si>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</si>
  <si>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</si>
  <si>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</si>
  <si>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</si>
  <si>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</si>
  <si>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</si>
  <si>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</si>
  <si>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</si>
  <si>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</si>
  <si>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</si>
  <si>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</si>
  <si>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</si>
  <si>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</si>
  <si>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</si>
  <si>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</si>
  <si>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</si>
  <si>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</si>
  <si>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</si>
  <si>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</si>
  <si>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</si>
  <si>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</si>
  <si>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</si>
  <si>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</si>
  <si>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</si>
  <si>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</si>
  <si>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</si>
  <si>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</si>
  <si>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</si>
  <si>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</si>
  <si>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</si>
  <si>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</si>
  <si>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</si>
  <si>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</si>
  <si>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</si>
  <si>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</si>
  <si>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</si>
  <si>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</si>
  <si>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</si>
  <si>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</si>
  <si>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</si>
  <si>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</si>
  <si>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</si>
  <si>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</si>
  <si>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</si>
  <si>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</si>
  <si>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</si>
  <si>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</si>
  <si>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</si>
  <si>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</si>
  <si>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</si>
  <si>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</si>
  <si>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</si>
  <si>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</si>
  <si>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</si>
  <si>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</si>
  <si>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</si>
  <si>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</si>
  <si>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</si>
  <si>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</si>
  <si>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</si>
  <si>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</si>
  <si>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</si>
  <si>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</si>
  <si>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</si>
  <si>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</si>
  <si>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</si>
  <si>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</si>
  <si>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</si>
  <si>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</si>
  <si>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</si>
  <si>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</si>
  <si>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</si>
  <si>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</si>
  <si>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</si>
  <si>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</si>
  <si>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</si>
  <si>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</si>
  <si>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</si>
  <si>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</si>
  <si>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</si>
  <si>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</si>
  <si>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</si>
  <si>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</si>
  <si>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</si>
  <si>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</si>
  <si>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</si>
  <si>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</si>
  <si>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</si>
  <si>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</si>
  <si>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</si>
  <si>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</si>
  <si>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</si>
  <si>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</si>
  <si>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</si>
  <si>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</si>
  <si>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</si>
  <si>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</si>
  <si>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</si>
  <si>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</si>
  <si>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</si>
  <si>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</si>
  <si>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</si>
  <si>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</si>
  <si>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</si>
  <si>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</si>
  <si>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</si>
  <si>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</si>
  <si>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</si>
  <si>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</si>
  <si>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</si>
  <si>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</si>
  <si>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</si>
  <si>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</si>
  <si>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</si>
  <si>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</si>
  <si>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</si>
  <si>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</si>
  <si>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</si>
  <si>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</si>
  <si>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</si>
  <si>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</si>
  <si>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</si>
  <si>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</si>
  <si>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</si>
  <si>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</si>
  <si>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</si>
  <si>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</si>
  <si>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</si>
  <si>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</si>
  <si>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</si>
  <si>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</si>
  <si>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</si>
  <si>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</si>
  <si>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</si>
  <si>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</si>
  <si>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</si>
  <si>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</si>
  <si>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</si>
  <si>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</si>
  <si>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</si>
  <si>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</si>
  <si>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</si>
  <si>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</si>
  <si>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</si>
  <si>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</si>
  <si>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</si>
  <si>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</si>
  <si>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</si>
  <si>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</si>
  <si>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</si>
  <si>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</si>
  <si>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</si>
  <si>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</si>
  <si>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</si>
  <si>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</si>
  <si>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</si>
  <si>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</si>
  <si>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</si>
  <si>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</si>
  <si>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</si>
  <si>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</si>
  <si>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</si>
  <si>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</si>
  <si>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</si>
  <si>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</si>
  <si>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</si>
  <si>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</si>
  <si>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</si>
  <si>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</si>
  <si>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</si>
  <si>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</si>
  <si>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</si>
  <si>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</si>
  <si>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</si>
  <si>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</si>
  <si>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</si>
  <si>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</si>
  <si>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</si>
  <si>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</si>
  <si>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</si>
  <si>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</si>
  <si>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</si>
  <si>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</si>
  <si>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</si>
  <si>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</si>
  <si>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</si>
  <si>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</si>
  <si>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</si>
  <si>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</si>
  <si>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</si>
  <si>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</si>
  <si>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</si>
  <si>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</si>
  <si>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</si>
  <si>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</si>
  <si>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</si>
  <si>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</si>
  <si>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</si>
  <si>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</si>
  <si>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</si>
  <si>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</si>
  <si>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</si>
  <si>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</si>
  <si>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</si>
  <si>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</si>
  <si>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</si>
  <si>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</si>
  <si>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</si>
  <si>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</si>
  <si>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</si>
  <si>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</si>
  <si>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</si>
  <si>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</si>
  <si>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</si>
  <si>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</si>
  <si>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</si>
  <si>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</si>
  <si>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</si>
  <si>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</si>
  <si>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</si>
  <si>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</si>
  <si>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</si>
  <si>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</si>
  <si>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</si>
  <si>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</si>
  <si>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</si>
  <si>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</si>
  <si>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</si>
  <si>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</si>
  <si>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</si>
  <si>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</si>
  <si>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</si>
  <si>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</si>
  <si>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</si>
  <si>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</si>
  <si>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</si>
  <si>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</si>
  <si>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</si>
  <si>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</si>
  <si>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</si>
  <si>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</si>
  <si>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</si>
  <si>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</si>
  <si>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</si>
  <si>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</si>
  <si>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</si>
  <si>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</si>
  <si>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</si>
  <si>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</si>
  <si>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</si>
  <si>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</si>
  <si>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</si>
  <si>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</si>
  <si>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</si>
  <si>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</si>
  <si>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</si>
  <si>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</si>
  <si>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</si>
  <si>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</si>
  <si>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</si>
  <si>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</si>
  <si>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</si>
  <si>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</si>
  <si>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</si>
  <si>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</si>
  <si>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</si>
  <si>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</si>
  <si>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</si>
  <si>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</si>
  <si>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</si>
  <si>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</si>
  <si>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</si>
  <si>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</si>
  <si>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</si>
  <si>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</si>
  <si>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</si>
  <si>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</si>
  <si>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</si>
  <si>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</si>
  <si>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</si>
  <si>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</si>
  <si>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</si>
  <si>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</si>
  <si>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</si>
  <si>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</si>
  <si>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</si>
  <si>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</si>
  <si>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</si>
  <si>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</si>
  <si>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</si>
  <si>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</si>
  <si>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</si>
  <si>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</si>
  <si>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</si>
  <si>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</si>
  <si>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</si>
  <si>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</si>
  <si>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</si>
  <si>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</si>
  <si>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</si>
  <si>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</si>
  <si>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</si>
  <si>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</si>
  <si>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</si>
  <si>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</si>
  <si>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</si>
  <si>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</si>
  <si>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</si>
  <si>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</si>
  <si>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</si>
  <si>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</si>
  <si>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</si>
  <si>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</si>
  <si>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</si>
  <si>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</si>
  <si>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</si>
  <si>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</si>
  <si>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</si>
  <si>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</si>
  <si>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</si>
  <si>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</si>
  <si>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</si>
  <si>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</si>
  <si>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</si>
  <si>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</si>
  <si>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</si>
  <si>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</si>
  <si>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</si>
  <si>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</si>
  <si>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</si>
  <si>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</si>
  <si>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</si>
  <si>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</si>
  <si>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</si>
  <si>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</si>
  <si>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</si>
  <si>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</si>
  <si>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</si>
  <si>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</si>
  <si>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</si>
  <si>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</si>
  <si>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</si>
  <si>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</si>
  <si>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</si>
  <si>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</si>
  <si>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</si>
  <si>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</si>
  <si>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</si>
  <si>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</si>
  <si>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</si>
  <si>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</si>
  <si>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</si>
  <si>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</si>
  <si>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</si>
  <si>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</si>
  <si>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</si>
  <si>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</si>
  <si>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</si>
  <si>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</si>
  <si>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</si>
  <si>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</si>
  <si>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</si>
  <si>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</si>
  <si>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</si>
  <si>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</si>
  <si>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</si>
  <si>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</si>
  <si>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</si>
  <si>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</si>
  <si>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</si>
  <si>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</si>
  <si>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</si>
  <si>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</si>
  <si>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</si>
  <si>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</si>
  <si>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</si>
  <si>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</si>
  <si>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</si>
  <si>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</si>
  <si>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</si>
  <si>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</si>
  <si>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</si>
  <si>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</si>
  <si>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</si>
  <si>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</si>
  <si>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</si>
  <si>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</si>
  <si>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</si>
  <si>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</si>
  <si>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</si>
  <si>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</si>
  <si>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</si>
  <si>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</si>
  <si>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</si>
  <si>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</si>
  <si>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</si>
  <si>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</si>
  <si>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</si>
  <si>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</si>
  <si>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</si>
  <si>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</si>
  <si>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</si>
  <si>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</si>
  <si>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</si>
  <si>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</si>
  <si>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</si>
  <si>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</si>
  <si>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</si>
  <si>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</si>
  <si>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</si>
  <si>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</si>
  <si>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</si>
  <si>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</si>
  <si>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</si>
  <si>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</si>
  <si>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</si>
  <si>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</si>
  <si>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</si>
  <si>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</si>
  <si>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</si>
  <si>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</si>
  <si>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</si>
  <si>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</si>
  <si>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</si>
  <si>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</si>
  <si>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</si>
  <si>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</si>
  <si>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</si>
  <si>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</si>
  <si>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</si>
  <si>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</si>
  <si>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</si>
  <si>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</si>
  <si>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</si>
  <si>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</si>
  <si>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</si>
  <si>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</si>
  <si>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</si>
  <si>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</si>
  <si>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</si>
  <si>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</si>
  <si>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</si>
  <si>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</si>
  <si>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</si>
  <si>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</si>
  <si>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</si>
  <si>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</si>
  <si>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</si>
  <si>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</si>
  <si>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</si>
  <si>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</si>
  <si>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</si>
  <si>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</si>
  <si>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</si>
  <si>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</si>
  <si>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</si>
  <si>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</si>
  <si>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</si>
  <si>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</si>
  <si>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</si>
  <si>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</si>
  <si>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</si>
  <si>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</si>
  <si>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</si>
  <si>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</si>
  <si>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</si>
  <si>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</si>
  <si>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</si>
  <si>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</si>
  <si>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</si>
  <si>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</si>
  <si>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</si>
  <si>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</si>
  <si>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</si>
  <si>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</si>
  <si>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</si>
  <si>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</si>
  <si>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</si>
  <si>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</si>
  <si>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</si>
  <si>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</si>
  <si>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</si>
  <si>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</si>
  <si>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</si>
  <si>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</si>
  <si>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</si>
  <si>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</si>
  <si>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</si>
  <si>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</si>
  <si>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</si>
  <si>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</si>
  <si>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</si>
  <si>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</si>
  <si>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</si>
  <si>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</si>
  <si>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</si>
  <si>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</si>
  <si>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</si>
  <si>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</si>
  <si>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</si>
  <si>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</si>
  <si>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</si>
  <si>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</si>
  <si>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</si>
  <si>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</si>
  <si>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</si>
  <si>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</si>
  <si>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</si>
  <si>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</si>
  <si>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</si>
  <si>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</si>
  <si>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</si>
  <si>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</si>
  <si>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</si>
  <si>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</si>
  <si>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</si>
  <si>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</si>
  <si>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</si>
  <si>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</si>
  <si>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</si>
  <si>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</si>
  <si>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</si>
  <si>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</si>
  <si>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</si>
  <si>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</si>
  <si>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</si>
  <si>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</si>
  <si>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</si>
  <si>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</si>
  <si>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</si>
  <si>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</si>
  <si>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</si>
  <si>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</si>
  <si>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</si>
  <si>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</si>
  <si>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</si>
  <si>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</si>
  <si>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</si>
  <si>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</si>
  <si>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</si>
  <si>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</si>
  <si>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</si>
  <si>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</si>
  <si>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</si>
  <si>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</si>
  <si>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</si>
  <si>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</si>
  <si>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</si>
  <si>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</si>
  <si>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</si>
  <si>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</si>
  <si>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</si>
  <si>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</si>
  <si>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</si>
  <si>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</si>
  <si>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</si>
  <si>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</si>
  <si>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</si>
  <si>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</si>
  <si>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</si>
  <si>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</si>
  <si>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</si>
  <si>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</si>
  <si>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</si>
  <si>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</si>
  <si>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</si>
  <si>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</si>
  <si>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</si>
  <si>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</si>
  <si>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</si>
  <si>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</si>
  <si>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</si>
  <si>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</si>
  <si>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</si>
  <si>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</si>
  <si>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</si>
  <si>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</si>
  <si>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</si>
  <si>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</si>
  <si>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</si>
  <si>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</si>
  <si>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</si>
  <si>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</si>
  <si>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</si>
  <si>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</si>
  <si>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</si>
  <si>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</si>
  <si>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</si>
  <si>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</si>
  <si>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</si>
  <si>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</si>
  <si>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</si>
  <si>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</si>
  <si>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</si>
  <si>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</si>
  <si>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</si>
  <si>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</si>
  <si>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</si>
  <si>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</si>
  <si>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</si>
  <si>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</si>
  <si>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</si>
  <si>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</si>
  <si>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</si>
  <si>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</si>
  <si>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</si>
  <si>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</si>
  <si>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</si>
  <si>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</si>
  <si>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</si>
  <si>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</si>
  <si>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</si>
  <si>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</si>
  <si>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</si>
  <si>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</si>
  <si>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</si>
  <si>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</si>
  <si>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</si>
  <si>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</si>
  <si>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</si>
  <si>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</si>
  <si>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</si>
  <si>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</si>
  <si>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</si>
  <si>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</si>
  <si>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</si>
  <si>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</si>
  <si>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</si>
  <si>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</si>
  <si>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</si>
  <si>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</si>
  <si>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</si>
  <si>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</si>
  <si>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</si>
  <si>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</si>
  <si>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</si>
  <si>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</si>
  <si>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</si>
  <si>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</si>
  <si>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44034</t>
  </si>
  <si>
    <t>LOCHRISTI</t>
  </si>
  <si>
    <t>Cultuurgrond (ha)</t>
  </si>
  <si>
    <t>Paarden&amp;pony's 200 - 600 kg</t>
  </si>
  <si>
    <t>Paarden&amp;pony's &lt; 200 kg</t>
  </si>
  <si>
    <t>op basis van VEA (maart 2018) en Inventaris Hernieuwbare Energiebronnen (juni 2018)</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</si>
  <si>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</si>
  <si>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</si>
  <si>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</si>
  <si>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</si>
  <si>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</si>
  <si>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</si>
  <si>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</si>
  <si>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</si>
  <si>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</si>
  <si>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</si>
  <si>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</si>
  <si>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Biolectric nv</t>
  </si>
  <si>
    <t>Jan de Malschelaan 4 B, 9140 Temse</t>
  </si>
  <si>
    <t>WKK-0503 Kris De Mol</t>
  </si>
  <si>
    <t>Kapelstraat 30 , 9080 Zaffelare</t>
  </si>
  <si>
    <t>Floré NV</t>
  </si>
  <si>
    <t>WKK-0484 Floré</t>
  </si>
  <si>
    <t>Stationsstraat 111 , 9080 Lochristi</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</si>
</sst>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171688.92052432301</c:v>
                </c:pt>
                <c:pt idx="1">
                  <c:v>72168.200361503346</c:v>
                </c:pt>
                <c:pt idx="2">
                  <c:v>1742.5609999999999</c:v>
                </c:pt>
                <c:pt idx="3">
                  <c:v>106160.51817939963</c:v>
                </c:pt>
                <c:pt idx="4">
                  <c:v>40534.870210225512</c:v>
                </c:pt>
                <c:pt idx="5">
                  <c:v>276954.40310202877</c:v>
                </c:pt>
                <c:pt idx="6">
                  <c:v>2375.0027642682271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333376"/>
        <c:axId val="181343360"/>
      </c:barChart>
      <c:catAx>
        <c:axId val="181333376"/>
        <c:scaling>
          <c:orientation val="minMax"/>
        </c:scaling>
        <c:axPos val="b"/>
        <c:numFmt formatCode="General" sourceLinked="0"/>
        <c:tickLblPos val="nextTo"/>
        <c:crossAx val="181343360"/>
        <c:crosses val="autoZero"/>
        <c:auto val="1"/>
        <c:lblAlgn val="ctr"/>
        <c:lblOffset val="100"/>
      </c:catAx>
      <c:valAx>
        <c:axId val="181343360"/>
        <c:scaling>
          <c:orientation val="minMax"/>
        </c:scaling>
        <c:axPos val="l"/>
        <c:majorGridlines/>
        <c:numFmt formatCode="#,##0" sourceLinked="1"/>
        <c:tickLblPos val="nextTo"/>
        <c:crossAx val="181333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171688.92052432301</c:v>
                </c:pt>
                <c:pt idx="1">
                  <c:v>72168.200361503346</c:v>
                </c:pt>
                <c:pt idx="2">
                  <c:v>1742.5609999999999</c:v>
                </c:pt>
                <c:pt idx="3">
                  <c:v>106160.51817939963</c:v>
                </c:pt>
                <c:pt idx="4">
                  <c:v>40534.870210225512</c:v>
                </c:pt>
                <c:pt idx="5">
                  <c:v>276954.40310202877</c:v>
                </c:pt>
                <c:pt idx="6">
                  <c:v>2375.0027642682271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31892.876692201571</c:v>
                </c:pt>
                <c:pt idx="1">
                  <c:v>14285.666719816905</c:v>
                </c:pt>
                <c:pt idx="2">
                  <c:v>333.79694310570011</c:v>
                </c:pt>
                <c:pt idx="3">
                  <c:v>24376.979699476113</c:v>
                </c:pt>
                <c:pt idx="4">
                  <c:v>7966.5798271726517</c:v>
                </c:pt>
                <c:pt idx="5">
                  <c:v>70158.74744063984</c:v>
                </c:pt>
                <c:pt idx="6">
                  <c:v>607.12538711661273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573888"/>
        <c:axId val="181641216"/>
      </c:barChart>
      <c:catAx>
        <c:axId val="181573888"/>
        <c:scaling>
          <c:orientation val="minMax"/>
        </c:scaling>
        <c:axPos val="b"/>
        <c:numFmt formatCode="General" sourceLinked="0"/>
        <c:tickLblPos val="nextTo"/>
        <c:crossAx val="181641216"/>
        <c:crosses val="autoZero"/>
        <c:auto val="1"/>
        <c:lblAlgn val="ctr"/>
        <c:lblOffset val="100"/>
      </c:catAx>
      <c:valAx>
        <c:axId val="181641216"/>
        <c:scaling>
          <c:orientation val="minMax"/>
        </c:scaling>
        <c:axPos val="l"/>
        <c:majorGridlines/>
        <c:numFmt formatCode="#,##0" sourceLinked="1"/>
        <c:tickLblPos val="nextTo"/>
        <c:crossAx val="18157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31892.876692201571</c:v>
                </c:pt>
                <c:pt idx="1">
                  <c:v>14285.666719816905</c:v>
                </c:pt>
                <c:pt idx="2">
                  <c:v>333.79694310570011</c:v>
                </c:pt>
                <c:pt idx="3">
                  <c:v>24376.979699476113</c:v>
                </c:pt>
                <c:pt idx="4">
                  <c:v>7966.5798271726517</c:v>
                </c:pt>
                <c:pt idx="5">
                  <c:v>70158.74744063984</c:v>
                </c:pt>
                <c:pt idx="6">
                  <c:v>607.12538711661273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44034</v>
      </c>
      <c r="B6" s="398"/>
      <c r="C6" s="399"/>
    </row>
    <row r="7" spans="1:7" s="396" customFormat="1" ht="15.75" customHeight="1">
      <c r="A7" s="400" t="str">
        <f>txtMunicipality</f>
        <v>LOCHRISTI</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8463</v>
      </c>
      <c r="C9" s="338">
        <v>9390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3317</v>
      </c>
    </row>
    <row r="15" spans="1:6">
      <c r="A15" s="1269" t="s">
        <v>184</v>
      </c>
      <c r="B15" s="335">
        <v>54</v>
      </c>
    </row>
    <row r="16" spans="1:6">
      <c r="A16" s="1269" t="s">
        <v>6</v>
      </c>
      <c r="B16" s="335">
        <v>1946</v>
      </c>
    </row>
    <row r="17" spans="1:6">
      <c r="A17" s="1269" t="s">
        <v>7</v>
      </c>
      <c r="B17" s="335">
        <v>1503</v>
      </c>
    </row>
    <row r="18" spans="1:6">
      <c r="A18" s="1269" t="s">
        <v>8</v>
      </c>
      <c r="B18" s="335">
        <v>2483</v>
      </c>
    </row>
    <row r="19" spans="1:6">
      <c r="A19" s="1269" t="s">
        <v>9</v>
      </c>
      <c r="B19" s="335">
        <v>2839</v>
      </c>
    </row>
    <row r="20" spans="1:6">
      <c r="A20" s="1269" t="s">
        <v>10</v>
      </c>
      <c r="B20" s="335">
        <v>1833</v>
      </c>
    </row>
    <row r="21" spans="1:6">
      <c r="A21" s="1269" t="s">
        <v>11</v>
      </c>
      <c r="B21" s="335">
        <v>13766</v>
      </c>
    </row>
    <row r="22" spans="1:6">
      <c r="A22" s="1269" t="s">
        <v>12</v>
      </c>
      <c r="B22" s="335">
        <v>10519</v>
      </c>
    </row>
    <row r="23" spans="1:6">
      <c r="A23" s="1269" t="s">
        <v>13</v>
      </c>
      <c r="B23" s="335">
        <v>317</v>
      </c>
    </row>
    <row r="24" spans="1:6">
      <c r="A24" s="1269" t="s">
        <v>14</v>
      </c>
      <c r="B24" s="335">
        <v>18</v>
      </c>
    </row>
    <row r="25" spans="1:6">
      <c r="A25" s="1269" t="s">
        <v>15</v>
      </c>
      <c r="B25" s="335">
        <v>3671</v>
      </c>
    </row>
    <row r="26" spans="1:6">
      <c r="A26" s="1269" t="s">
        <v>16</v>
      </c>
      <c r="B26" s="335">
        <v>242</v>
      </c>
    </row>
    <row r="27" spans="1:6">
      <c r="A27" s="1269" t="s">
        <v>17</v>
      </c>
      <c r="B27" s="335">
        <v>1015</v>
      </c>
    </row>
    <row r="28" spans="1:6" s="341" customFormat="1">
      <c r="A28" s="1270" t="s">
        <v>18</v>
      </c>
      <c r="B28" s="1270">
        <v>48865</v>
      </c>
    </row>
    <row r="29" spans="1:6">
      <c r="A29" s="1270" t="s">
        <v>874</v>
      </c>
      <c r="B29" s="1270">
        <v>190</v>
      </c>
      <c r="C29" s="341"/>
      <c r="D29" s="341"/>
      <c r="E29" s="341"/>
      <c r="F29" s="341"/>
    </row>
    <row r="30" spans="1:6">
      <c r="A30" s="1265" t="s">
        <v>875</v>
      </c>
      <c r="B30" s="1265">
        <v>53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214114.08938139101</v>
      </c>
      <c r="E38" s="335">
        <v>6</v>
      </c>
      <c r="F38" s="335">
        <v>112554.65460789</v>
      </c>
    </row>
    <row r="39" spans="1:6">
      <c r="A39" s="1269" t="s">
        <v>30</v>
      </c>
      <c r="B39" s="1269" t="s">
        <v>31</v>
      </c>
      <c r="C39" s="335">
        <v>4664</v>
      </c>
      <c r="D39" s="335">
        <v>83589020.5417234</v>
      </c>
      <c r="E39" s="335">
        <v>8008</v>
      </c>
      <c r="F39" s="335">
        <v>37661344.690311499</v>
      </c>
    </row>
    <row r="40" spans="1:6">
      <c r="A40" s="1269" t="s">
        <v>30</v>
      </c>
      <c r="B40" s="1269" t="s">
        <v>29</v>
      </c>
      <c r="C40" s="335">
        <v>0</v>
      </c>
      <c r="D40" s="335">
        <v>0</v>
      </c>
      <c r="E40" s="335">
        <v>0</v>
      </c>
      <c r="F40" s="335">
        <v>0</v>
      </c>
    </row>
    <row r="41" spans="1:6">
      <c r="A41" s="1269" t="s">
        <v>32</v>
      </c>
      <c r="B41" s="1269" t="s">
        <v>33</v>
      </c>
      <c r="C41" s="335">
        <v>72</v>
      </c>
      <c r="D41" s="335">
        <v>2164727.09527566</v>
      </c>
      <c r="E41" s="335">
        <v>177</v>
      </c>
      <c r="F41" s="335">
        <v>3669555.7261608099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8</v>
      </c>
      <c r="D44" s="335">
        <v>255632.10847084</v>
      </c>
      <c r="E44" s="335">
        <v>30</v>
      </c>
      <c r="F44" s="335">
        <v>648683.77412068704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8</v>
      </c>
      <c r="D47" s="335">
        <v>232451.12166504801</v>
      </c>
      <c r="E47" s="335">
        <v>12</v>
      </c>
      <c r="F47" s="335">
        <v>125339.265890989</v>
      </c>
    </row>
    <row r="48" spans="1:6">
      <c r="A48" s="1269" t="s">
        <v>32</v>
      </c>
      <c r="B48" s="1269" t="s">
        <v>29</v>
      </c>
      <c r="C48" s="335">
        <v>23</v>
      </c>
      <c r="D48" s="335">
        <v>25058991.9707807</v>
      </c>
      <c r="E48" s="335">
        <v>30</v>
      </c>
      <c r="F48" s="335">
        <v>2596782.9773072298</v>
      </c>
    </row>
    <row r="49" spans="1:6">
      <c r="A49" s="1269" t="s">
        <v>32</v>
      </c>
      <c r="B49" s="1269" t="s">
        <v>40</v>
      </c>
      <c r="C49" s="335">
        <v>0</v>
      </c>
      <c r="D49" s="335">
        <v>0</v>
      </c>
      <c r="E49" s="335">
        <v>3</v>
      </c>
      <c r="F49" s="335">
        <v>82269.760736425204</v>
      </c>
    </row>
    <row r="50" spans="1:6">
      <c r="A50" s="1269" t="s">
        <v>32</v>
      </c>
      <c r="B50" s="1269" t="s">
        <v>41</v>
      </c>
      <c r="C50" s="335">
        <v>7</v>
      </c>
      <c r="D50" s="335">
        <v>557416.76314435399</v>
      </c>
      <c r="E50" s="335">
        <v>12</v>
      </c>
      <c r="F50" s="335">
        <v>530822.13263241795</v>
      </c>
    </row>
    <row r="51" spans="1:6">
      <c r="A51" s="1269" t="s">
        <v>42</v>
      </c>
      <c r="B51" s="1269" t="s">
        <v>43</v>
      </c>
      <c r="C51" s="335">
        <v>102</v>
      </c>
      <c r="D51" s="335">
        <v>70127287.180937499</v>
      </c>
      <c r="E51" s="335">
        <v>433</v>
      </c>
      <c r="F51" s="335">
        <v>10896319.8422547</v>
      </c>
    </row>
    <row r="52" spans="1:6">
      <c r="A52" s="1269" t="s">
        <v>42</v>
      </c>
      <c r="B52" s="1269" t="s">
        <v>29</v>
      </c>
      <c r="C52" s="335">
        <v>7</v>
      </c>
      <c r="D52" s="335">
        <v>484759.19860517798</v>
      </c>
      <c r="E52" s="335">
        <v>3</v>
      </c>
      <c r="F52" s="335">
        <v>43830.843389366899</v>
      </c>
    </row>
    <row r="53" spans="1:6">
      <c r="A53" s="1269" t="s">
        <v>44</v>
      </c>
      <c r="B53" s="1269" t="s">
        <v>45</v>
      </c>
      <c r="C53" s="335">
        <v>102</v>
      </c>
      <c r="D53" s="335">
        <v>1984830.9805070099</v>
      </c>
      <c r="E53" s="335">
        <v>222</v>
      </c>
      <c r="F53" s="335">
        <v>1098395.4542962599</v>
      </c>
    </row>
    <row r="54" spans="1:6">
      <c r="A54" s="1269" t="s">
        <v>46</v>
      </c>
      <c r="B54" s="1269" t="s">
        <v>47</v>
      </c>
      <c r="C54" s="335">
        <v>0</v>
      </c>
      <c r="D54" s="335">
        <v>0</v>
      </c>
      <c r="E54" s="335">
        <v>4</v>
      </c>
      <c r="F54" s="335">
        <v>1742561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42</v>
      </c>
      <c r="D57" s="335">
        <v>1829725.4941104599</v>
      </c>
      <c r="E57" s="335">
        <v>144</v>
      </c>
      <c r="F57" s="335">
        <v>2207491.6349848402</v>
      </c>
    </row>
    <row r="58" spans="1:6">
      <c r="A58" s="1269" t="s">
        <v>49</v>
      </c>
      <c r="B58" s="1269" t="s">
        <v>51</v>
      </c>
      <c r="C58" s="335">
        <v>25</v>
      </c>
      <c r="D58" s="335">
        <v>4141331.39650456</v>
      </c>
      <c r="E58" s="335">
        <v>50</v>
      </c>
      <c r="F58" s="335">
        <v>1520329.5571242401</v>
      </c>
    </row>
    <row r="59" spans="1:6">
      <c r="A59" s="1269" t="s">
        <v>49</v>
      </c>
      <c r="B59" s="1269" t="s">
        <v>52</v>
      </c>
      <c r="C59" s="335">
        <v>138</v>
      </c>
      <c r="D59" s="335">
        <v>8963326.0146598499</v>
      </c>
      <c r="E59" s="335">
        <v>301</v>
      </c>
      <c r="F59" s="335">
        <v>13506087.806184201</v>
      </c>
    </row>
    <row r="60" spans="1:6">
      <c r="A60" s="1269" t="s">
        <v>49</v>
      </c>
      <c r="B60" s="1269" t="s">
        <v>53</v>
      </c>
      <c r="C60" s="335">
        <v>72</v>
      </c>
      <c r="D60" s="335">
        <v>4465840.6781350505</v>
      </c>
      <c r="E60" s="335">
        <v>100</v>
      </c>
      <c r="F60" s="335">
        <v>2784419.7810522802</v>
      </c>
    </row>
    <row r="61" spans="1:6">
      <c r="A61" s="1269" t="s">
        <v>49</v>
      </c>
      <c r="B61" s="1269" t="s">
        <v>54</v>
      </c>
      <c r="C61" s="335">
        <v>162</v>
      </c>
      <c r="D61" s="335">
        <v>8736060.2298830803</v>
      </c>
      <c r="E61" s="335">
        <v>321</v>
      </c>
      <c r="F61" s="335">
        <v>9174235.2964637093</v>
      </c>
    </row>
    <row r="62" spans="1:6">
      <c r="A62" s="1269" t="s">
        <v>49</v>
      </c>
      <c r="B62" s="1269" t="s">
        <v>55</v>
      </c>
      <c r="C62" s="335">
        <v>8</v>
      </c>
      <c r="D62" s="335">
        <v>410712.79018291802</v>
      </c>
      <c r="E62" s="335">
        <v>13</v>
      </c>
      <c r="F62" s="335">
        <v>168593.43654767901</v>
      </c>
    </row>
    <row r="63" spans="1:6">
      <c r="A63" s="1269" t="s">
        <v>49</v>
      </c>
      <c r="B63" s="1269" t="s">
        <v>29</v>
      </c>
      <c r="C63" s="335">
        <v>102</v>
      </c>
      <c r="D63" s="335">
        <v>7175210.1162074199</v>
      </c>
      <c r="E63" s="335">
        <v>92</v>
      </c>
      <c r="F63" s="335">
        <v>2413431.1917038099</v>
      </c>
    </row>
    <row r="64" spans="1:6">
      <c r="A64" s="1269" t="s">
        <v>56</v>
      </c>
      <c r="B64" s="1269" t="s">
        <v>57</v>
      </c>
      <c r="C64" s="335">
        <v>0</v>
      </c>
      <c r="D64" s="335">
        <v>0</v>
      </c>
      <c r="E64" s="335">
        <v>0</v>
      </c>
      <c r="F64" s="335">
        <v>0</v>
      </c>
    </row>
    <row r="65" spans="1:6">
      <c r="A65" s="1269" t="s">
        <v>56</v>
      </c>
      <c r="B65" s="1269" t="s">
        <v>29</v>
      </c>
      <c r="C65" s="335">
        <v>4</v>
      </c>
      <c r="D65" s="335">
        <v>121457.089873921</v>
      </c>
      <c r="E65" s="335">
        <v>2</v>
      </c>
      <c r="F65" s="335">
        <v>6504.151057008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257086.23147393999</v>
      </c>
      <c r="E68" s="335">
        <v>20</v>
      </c>
      <c r="F68" s="335">
        <v>259208.74378854901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63078166</v>
      </c>
      <c r="E73" s="335">
        <v>61549278.108402386</v>
      </c>
    </row>
    <row r="74" spans="1:6">
      <c r="A74" s="1269" t="s">
        <v>64</v>
      </c>
      <c r="B74" s="1269" t="s">
        <v>727</v>
      </c>
      <c r="C74" s="1269" t="s">
        <v>728</v>
      </c>
      <c r="D74" s="335">
        <v>7442314.2956525935</v>
      </c>
      <c r="E74" s="335">
        <v>7335910.1746740835</v>
      </c>
    </row>
    <row r="75" spans="1:6">
      <c r="A75" s="1269" t="s">
        <v>65</v>
      </c>
      <c r="B75" s="1269" t="s">
        <v>725</v>
      </c>
      <c r="C75" s="1269" t="s">
        <v>729</v>
      </c>
      <c r="D75" s="335">
        <v>29498695</v>
      </c>
      <c r="E75" s="335">
        <v>29232857.155358408</v>
      </c>
    </row>
    <row r="76" spans="1:6">
      <c r="A76" s="1269" t="s">
        <v>65</v>
      </c>
      <c r="B76" s="1269" t="s">
        <v>727</v>
      </c>
      <c r="C76" s="1269" t="s">
        <v>730</v>
      </c>
      <c r="D76" s="335">
        <v>1344137.295652593</v>
      </c>
      <c r="E76" s="335">
        <v>1314107.016414911</v>
      </c>
    </row>
    <row r="77" spans="1:6">
      <c r="A77" s="1269" t="s">
        <v>66</v>
      </c>
      <c r="B77" s="1269" t="s">
        <v>725</v>
      </c>
      <c r="C77" s="1269" t="s">
        <v>731</v>
      </c>
      <c r="D77" s="335">
        <v>143298545</v>
      </c>
      <c r="E77" s="335">
        <v>156578407.94098526</v>
      </c>
    </row>
    <row r="78" spans="1:6">
      <c r="A78" s="1265" t="s">
        <v>66</v>
      </c>
      <c r="B78" s="1265" t="s">
        <v>727</v>
      </c>
      <c r="C78" s="1265" t="s">
        <v>732</v>
      </c>
      <c r="D78" s="1265">
        <v>34892329</v>
      </c>
      <c r="E78" s="1265">
        <v>37213875.125712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627447.40869481384</v>
      </c>
      <c r="C83" s="335">
        <v>626175.71583268361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7544.6336668460617</v>
      </c>
    </row>
    <row r="91" spans="1:6">
      <c r="A91" s="1269" t="s">
        <v>68</v>
      </c>
      <c r="B91" s="335">
        <v>5088.1814703922655</v>
      </c>
    </row>
    <row r="92" spans="1:6">
      <c r="A92" s="1265" t="s">
        <v>69</v>
      </c>
      <c r="B92" s="338">
        <v>514.91387591885507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1839</v>
      </c>
    </row>
    <row r="98" spans="1:6">
      <c r="A98" s="1269" t="s">
        <v>72</v>
      </c>
      <c r="B98" s="335">
        <v>1</v>
      </c>
    </row>
    <row r="99" spans="1:6">
      <c r="A99" s="1269" t="s">
        <v>73</v>
      </c>
      <c r="B99" s="335">
        <v>88</v>
      </c>
    </row>
    <row r="100" spans="1:6">
      <c r="A100" s="1269" t="s">
        <v>74</v>
      </c>
      <c r="B100" s="335">
        <v>900</v>
      </c>
    </row>
    <row r="101" spans="1:6">
      <c r="A101" s="1269" t="s">
        <v>75</v>
      </c>
      <c r="B101" s="335">
        <v>104</v>
      </c>
    </row>
    <row r="102" spans="1:6">
      <c r="A102" s="1269" t="s">
        <v>76</v>
      </c>
      <c r="B102" s="335">
        <v>110</v>
      </c>
    </row>
    <row r="103" spans="1:6">
      <c r="A103" s="1269" t="s">
        <v>77</v>
      </c>
      <c r="B103" s="335">
        <v>301</v>
      </c>
    </row>
    <row r="104" spans="1:6">
      <c r="A104" s="1269" t="s">
        <v>78</v>
      </c>
      <c r="B104" s="335">
        <v>3609</v>
      </c>
    </row>
    <row r="105" spans="1:6">
      <c r="A105" s="1265" t="s">
        <v>79</v>
      </c>
      <c r="B105" s="1265">
        <v>12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57</v>
      </c>
      <c r="C123" s="335">
        <v>57</v>
      </c>
    </row>
    <row r="124" spans="1:6">
      <c r="A124" s="1265" t="s">
        <v>89</v>
      </c>
      <c r="B124" s="335">
        <v>3</v>
      </c>
      <c r="C124" s="335">
        <v>3</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161</v>
      </c>
    </row>
    <row r="130" spans="1:6">
      <c r="A130" s="1269" t="s">
        <v>295</v>
      </c>
      <c r="B130" s="335">
        <v>1</v>
      </c>
    </row>
    <row r="131" spans="1:6">
      <c r="A131" s="1269" t="s">
        <v>296</v>
      </c>
      <c r="B131" s="335">
        <v>1</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95008.159915187585</v>
      </c>
      <c r="C3" s="43" t="s">
        <v>170</v>
      </c>
      <c r="D3" s="43"/>
      <c r="E3" s="156"/>
      <c r="F3" s="43"/>
      <c r="G3" s="43"/>
      <c r="H3" s="43"/>
      <c r="I3" s="43"/>
      <c r="J3" s="43"/>
      <c r="K3" s="96"/>
    </row>
    <row r="4" spans="1:11">
      <c r="A4" s="366" t="s">
        <v>171</v>
      </c>
      <c r="B4" s="49">
        <f>IF(ISERROR('SEAP template'!B69),0,'SEAP template'!B69)</f>
        <v>20216.741513157183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1670.4211764705885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0.19155538492236435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2386.3159663865549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10098.589285714286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0.2363019129575154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1742.5609999999999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1742.5609999999999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0.19155538492236435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333.79694310570011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37661.344690311496</v>
      </c>
      <c r="C5" s="17">
        <f>IF(ISERROR('Eigen informatie GS &amp; warmtenet'!B57),0,'Eigen informatie GS &amp; warmtenet'!B57)</f>
        <v>0</v>
      </c>
      <c r="D5" s="30">
        <f>(SUM(HH_hh_gas_kWh,HH_rest_gas_kWh)/1000)*0.902</f>
        <v>75397.296528634499</v>
      </c>
      <c r="E5" s="17">
        <f>B46*B57</f>
        <v>4434.8433358488119</v>
      </c>
      <c r="F5" s="17">
        <f>B51*B62</f>
        <v>26968.45678650228</v>
      </c>
      <c r="G5" s="18"/>
      <c r="H5" s="17"/>
      <c r="I5" s="17"/>
      <c r="J5" s="17">
        <f>B50*B61+C50*C61</f>
        <v>752.63687915626576</v>
      </c>
      <c r="K5" s="17"/>
      <c r="L5" s="17"/>
      <c r="M5" s="17"/>
      <c r="N5" s="17">
        <f>B48*B59+C48*C59</f>
        <v>19648.797500144061</v>
      </c>
      <c r="O5" s="17">
        <f>B69*B70*B71</f>
        <v>345.49666666666667</v>
      </c>
      <c r="P5" s="17">
        <f>B77*B78*B79/1000-B77*B78*B79/1000/B80</f>
        <v>1391.8666666666668</v>
      </c>
    </row>
    <row r="6" spans="1:16">
      <c r="A6" s="16" t="s">
        <v>634</v>
      </c>
      <c r="B6" s="831">
        <f>kWh_PV_kleiner_dan_10kW</f>
        <v>5088.1814703922655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42749.526160703761</v>
      </c>
      <c r="C8" s="21">
        <f>C5</f>
        <v>0</v>
      </c>
      <c r="D8" s="21">
        <f>D5</f>
        <v>75397.296528634499</v>
      </c>
      <c r="E8" s="21">
        <f>E5</f>
        <v>4434.8433358488119</v>
      </c>
      <c r="F8" s="21">
        <f>F5</f>
        <v>26968.45678650228</v>
      </c>
      <c r="G8" s="21"/>
      <c r="H8" s="21"/>
      <c r="I8" s="21"/>
      <c r="J8" s="21">
        <f>J5</f>
        <v>752.63687915626576</v>
      </c>
      <c r="K8" s="21"/>
      <c r="L8" s="21">
        <f>L5</f>
        <v>0</v>
      </c>
      <c r="M8" s="21">
        <f>M5</f>
        <v>0</v>
      </c>
      <c r="N8" s="21">
        <f>N5</f>
        <v>19648.797500144061</v>
      </c>
      <c r="O8" s="21">
        <f>O5</f>
        <v>345.49666666666667</v>
      </c>
      <c r="P8" s="21">
        <f>P5</f>
        <v>1391.8666666666668</v>
      </c>
    </row>
    <row r="9" spans="1:16">
      <c r="B9" s="19"/>
      <c r="C9" s="19"/>
      <c r="D9" s="261"/>
      <c r="E9" s="19"/>
      <c r="F9" s="19"/>
      <c r="G9" s="19"/>
      <c r="H9" s="19"/>
      <c r="I9" s="19"/>
      <c r="J9" s="19"/>
      <c r="K9" s="19"/>
      <c r="L9" s="19"/>
      <c r="M9" s="19"/>
      <c r="N9" s="19"/>
      <c r="O9" s="19"/>
      <c r="P9" s="19"/>
    </row>
    <row r="10" spans="1:16">
      <c r="A10" s="24" t="s">
        <v>214</v>
      </c>
      <c r="B10" s="25">
        <f ca="1">'EF ele_warmte'!B12</f>
        <v>0.19155538492236435</v>
      </c>
      <c r="C10" s="25">
        <f ca="1">'EF ele_warmte'!B22</f>
        <v>0.2363019129575154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8188.9019389622936</v>
      </c>
      <c r="C12" s="23">
        <f ca="1">C10*C8</f>
        <v>0</v>
      </c>
      <c r="D12" s="23">
        <f>D8*D10</f>
        <v>15230.253898784169</v>
      </c>
      <c r="E12" s="23">
        <f>E10*E8</f>
        <v>1006.7094372376803</v>
      </c>
      <c r="F12" s="23">
        <f>F10*F8</f>
        <v>7200.5779619961095</v>
      </c>
      <c r="G12" s="23"/>
      <c r="H12" s="23"/>
      <c r="I12" s="23"/>
      <c r="J12" s="23">
        <f>J10*J8</f>
        <v>266.43345522131807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1839</v>
      </c>
      <c r="C18" s="168" t="s">
        <v>111</v>
      </c>
      <c r="D18" s="230"/>
      <c r="E18" s="15"/>
    </row>
    <row r="19" spans="1:7">
      <c r="A19" s="173" t="s">
        <v>72</v>
      </c>
      <c r="B19" s="37">
        <f>aantalw2001_ander</f>
        <v>1</v>
      </c>
      <c r="C19" s="168" t="s">
        <v>111</v>
      </c>
      <c r="D19" s="231"/>
      <c r="E19" s="15"/>
    </row>
    <row r="20" spans="1:7">
      <c r="A20" s="173" t="s">
        <v>73</v>
      </c>
      <c r="B20" s="37">
        <f>aantalw2001_propaan</f>
        <v>88</v>
      </c>
      <c r="C20" s="169">
        <f>IF(ISERROR(B20/SUM($B$20,$B$21,$B$22)*100),0,B20/SUM($B$20,$B$21,$B$22)*100)</f>
        <v>8.0586080586080584</v>
      </c>
      <c r="D20" s="231"/>
      <c r="E20" s="15"/>
    </row>
    <row r="21" spans="1:7">
      <c r="A21" s="173" t="s">
        <v>74</v>
      </c>
      <c r="B21" s="37">
        <f>aantalw2001_elektriciteit</f>
        <v>900</v>
      </c>
      <c r="C21" s="169">
        <f>IF(ISERROR(B21/SUM($B$20,$B$21,$B$22)*100),0,B21/SUM($B$20,$B$21,$B$22)*100)</f>
        <v>82.417582417582409</v>
      </c>
      <c r="D21" s="231"/>
      <c r="E21" s="15"/>
    </row>
    <row r="22" spans="1:7">
      <c r="A22" s="173" t="s">
        <v>75</v>
      </c>
      <c r="B22" s="37">
        <f>aantalw2001_hout</f>
        <v>104</v>
      </c>
      <c r="C22" s="169">
        <f>IF(ISERROR(B22/SUM($B$20,$B$21,$B$22)*100),0,B22/SUM($B$20,$B$21,$B$22)*100)</f>
        <v>9.5238095238095237</v>
      </c>
      <c r="D22" s="231"/>
      <c r="E22" s="15"/>
    </row>
    <row r="23" spans="1:7">
      <c r="A23" s="173" t="s">
        <v>76</v>
      </c>
      <c r="B23" s="37">
        <f>aantalw2001_niet_gespec</f>
        <v>110</v>
      </c>
      <c r="C23" s="168" t="s">
        <v>111</v>
      </c>
      <c r="D23" s="230"/>
      <c r="E23" s="15"/>
    </row>
    <row r="24" spans="1:7">
      <c r="A24" s="173" t="s">
        <v>77</v>
      </c>
      <c r="B24" s="37">
        <f>aantalw2001_steenkool</f>
        <v>301</v>
      </c>
      <c r="C24" s="168" t="s">
        <v>111</v>
      </c>
      <c r="D24" s="231"/>
      <c r="E24" s="15"/>
    </row>
    <row r="25" spans="1:7">
      <c r="A25" s="173" t="s">
        <v>78</v>
      </c>
      <c r="B25" s="37">
        <f>aantalw2001_stookolie</f>
        <v>3609</v>
      </c>
      <c r="C25" s="168" t="s">
        <v>111</v>
      </c>
      <c r="D25" s="230"/>
      <c r="E25" s="52"/>
    </row>
    <row r="26" spans="1:7">
      <c r="A26" s="173" t="s">
        <v>79</v>
      </c>
      <c r="B26" s="37">
        <f>aantalw2001_WP</f>
        <v>12</v>
      </c>
      <c r="C26" s="168" t="s">
        <v>111</v>
      </c>
      <c r="D26" s="230"/>
      <c r="E26" s="15"/>
    </row>
    <row r="27" spans="1:7" s="15" customFormat="1">
      <c r="A27" s="173"/>
      <c r="B27" s="29"/>
      <c r="C27" s="36"/>
      <c r="D27" s="230"/>
    </row>
    <row r="28" spans="1:7" s="15" customFormat="1">
      <c r="A28" s="232" t="s">
        <v>745</v>
      </c>
      <c r="B28" s="37">
        <f>aantalHuishoudens2011</f>
        <v>8463</v>
      </c>
      <c r="C28" s="36"/>
      <c r="D28" s="230"/>
    </row>
    <row r="29" spans="1:7" s="15" customFormat="1">
      <c r="A29" s="232" t="s">
        <v>746</v>
      </c>
      <c r="B29" s="37">
        <f>SUM(HH_hh_gas_aantal,HH_rest_gas_aantal)</f>
        <v>4664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4664</v>
      </c>
      <c r="C32" s="169">
        <f>IF(ISERROR(B32/SUM($B$32,$B$34,$B$35,$B$36,$B$38,$B$39)*100),0,B32/SUM($B$32,$B$34,$B$35,$B$36,$B$38,$B$39)*100)</f>
        <v>55.589988081048872</v>
      </c>
      <c r="D32" s="235"/>
      <c r="G32" s="15"/>
    </row>
    <row r="33" spans="1:7">
      <c r="A33" s="173" t="s">
        <v>72</v>
      </c>
      <c r="B33" s="34" t="s">
        <v>111</v>
      </c>
      <c r="C33" s="169"/>
      <c r="D33" s="235"/>
      <c r="G33" s="15"/>
    </row>
    <row r="34" spans="1:7">
      <c r="A34" s="173" t="s">
        <v>73</v>
      </c>
      <c r="B34" s="33">
        <f>IF((($B$28-$B$32-$B$39-$B$77-$B$38)*C20/100)&lt;0,0,($B$28-$B$32-$B$39-$B$77-$B$38)*C20/100)</f>
        <v>212.82783882783883</v>
      </c>
      <c r="C34" s="169">
        <f>IF(ISERROR(B34/SUM($B$32,$B$34,$B$35,$B$36,$B$38,$B$39)*100),0,B34/SUM($B$32,$B$34,$B$35,$B$36,$B$38,$B$39)*100)</f>
        <v>2.5366846105821077</v>
      </c>
      <c r="D34" s="235"/>
      <c r="G34" s="15"/>
    </row>
    <row r="35" spans="1:7">
      <c r="A35" s="173" t="s">
        <v>74</v>
      </c>
      <c r="B35" s="33">
        <f>IF((($B$28-$B$32-$B$39-$B$77-$B$38)*C21/100)&lt;0,0,($B$28-$B$32-$B$39-$B$77-$B$38)*C21/100)</f>
        <v>2176.6483516483513</v>
      </c>
      <c r="C35" s="169">
        <f>IF(ISERROR(B35/SUM($B$32,$B$34,$B$35,$B$36,$B$38,$B$39)*100),0,B35/SUM($B$32,$B$34,$B$35,$B$36,$B$38,$B$39)*100)</f>
        <v>25.943365335498825</v>
      </c>
      <c r="D35" s="235"/>
      <c r="G35" s="15"/>
    </row>
    <row r="36" spans="1:7">
      <c r="A36" s="173" t="s">
        <v>75</v>
      </c>
      <c r="B36" s="33">
        <f>IF((($B$28-$B$32-$B$39-$B$77-$B$38)*C22/100)&lt;0,0,($B$28-$B$32-$B$39-$B$77-$B$38)*C22/100)</f>
        <v>251.52380952380952</v>
      </c>
      <c r="C36" s="169">
        <f>IF(ISERROR(B36/SUM($B$32,$B$34,$B$35,$B$36,$B$38,$B$39)*100),0,B36/SUM($B$32,$B$34,$B$35,$B$36,$B$38,$B$39)*100)</f>
        <v>2.997899994324309</v>
      </c>
      <c r="D36" s="235"/>
      <c r="G36" s="15"/>
    </row>
    <row r="37" spans="1:7">
      <c r="A37" s="173" t="s">
        <v>76</v>
      </c>
      <c r="B37" s="34" t="s">
        <v>111</v>
      </c>
      <c r="C37" s="169"/>
      <c r="D37" s="175"/>
      <c r="G37" s="15"/>
    </row>
    <row r="38" spans="1:7">
      <c r="A38" s="173" t="s">
        <v>77</v>
      </c>
      <c r="B38" s="33">
        <f>IF((B24-(B29-B18)*0.1)&lt;0,0,B24-(B29-B18)*0.1)</f>
        <v>18.5</v>
      </c>
      <c r="C38" s="169">
        <f>IF(ISERROR(B38/SUM($B$32,$B$34,$B$35,$B$36,$B$38,$B$39)*100),0,B38/SUM($B$32,$B$34,$B$35,$B$36,$B$38,$B$39)*100)</f>
        <v>0.22050059594755661</v>
      </c>
      <c r="D38" s="236"/>
      <c r="G38" s="15"/>
    </row>
    <row r="39" spans="1:7">
      <c r="A39" s="173" t="s">
        <v>78</v>
      </c>
      <c r="B39" s="33">
        <f>IF((B25-(B29-B18))&lt;0,0,B25-(B29-B18)*0.9)</f>
        <v>1066.5</v>
      </c>
      <c r="C39" s="169">
        <f>IF(ISERROR(B39/SUM($B$32,$B$34,$B$35,$B$36,$B$38,$B$39)*100),0,B39/SUM($B$32,$B$34,$B$35,$B$36,$B$38,$B$39)*100)</f>
        <v>12.711561382598333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4664</v>
      </c>
      <c r="C44" s="34" t="s">
        <v>111</v>
      </c>
      <c r="D44" s="176"/>
    </row>
    <row r="45" spans="1:7">
      <c r="A45" s="173" t="s">
        <v>72</v>
      </c>
      <c r="B45" s="33" t="str">
        <f t="shared" si="0"/>
        <v>-</v>
      </c>
      <c r="C45" s="34" t="s">
        <v>111</v>
      </c>
      <c r="D45" s="176"/>
    </row>
    <row r="46" spans="1:7">
      <c r="A46" s="173" t="s">
        <v>73</v>
      </c>
      <c r="B46" s="33">
        <f t="shared" si="0"/>
        <v>212.82783882783883</v>
      </c>
      <c r="C46" s="34" t="s">
        <v>111</v>
      </c>
      <c r="D46" s="176"/>
    </row>
    <row r="47" spans="1:7">
      <c r="A47" s="173" t="s">
        <v>74</v>
      </c>
      <c r="B47" s="33">
        <f t="shared" si="0"/>
        <v>2176.6483516483513</v>
      </c>
      <c r="C47" s="34" t="s">
        <v>111</v>
      </c>
      <c r="D47" s="176"/>
    </row>
    <row r="48" spans="1:7">
      <c r="A48" s="173" t="s">
        <v>75</v>
      </c>
      <c r="B48" s="33">
        <f t="shared" si="0"/>
        <v>251.52380952380952</v>
      </c>
      <c r="C48" s="33">
        <f>B48*10</f>
        <v>2515.2380952380954</v>
      </c>
      <c r="D48" s="236"/>
    </row>
    <row r="49" spans="1:6">
      <c r="A49" s="173" t="s">
        <v>76</v>
      </c>
      <c r="B49" s="33" t="str">
        <f t="shared" si="0"/>
        <v>-</v>
      </c>
      <c r="C49" s="34" t="s">
        <v>111</v>
      </c>
      <c r="D49" s="236"/>
    </row>
    <row r="50" spans="1:6">
      <c r="A50" s="173" t="s">
        <v>77</v>
      </c>
      <c r="B50" s="33">
        <f t="shared" si="0"/>
        <v>18.5</v>
      </c>
      <c r="C50" s="33">
        <f>B50*2</f>
        <v>37</v>
      </c>
      <c r="D50" s="236"/>
    </row>
    <row r="51" spans="1:6">
      <c r="A51" s="173" t="s">
        <v>78</v>
      </c>
      <c r="B51" s="33">
        <f t="shared" si="0"/>
        <v>1066.5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31774.588704060759</v>
      </c>
      <c r="C5" s="17">
        <f>IF(ISERROR('Eigen informatie GS &amp; warmtenet'!B58),0,'Eigen informatie GS &amp; warmtenet'!B58)</f>
        <v>0</v>
      </c>
      <c r="D5" s="30">
        <f>SUM(D6:D12)</f>
        <v>32221.43046115437</v>
      </c>
      <c r="E5" s="17">
        <f>SUM(E6:E12)</f>
        <v>428.36564138805687</v>
      </c>
      <c r="F5" s="17">
        <f>SUM(F6:F12)</f>
        <v>5990.9625208897605</v>
      </c>
      <c r="G5" s="18"/>
      <c r="H5" s="17"/>
      <c r="I5" s="17"/>
      <c r="J5" s="17">
        <f>SUM(J6:J12)</f>
        <v>0</v>
      </c>
      <c r="K5" s="17"/>
      <c r="L5" s="17"/>
      <c r="M5" s="17"/>
      <c r="N5" s="17">
        <f>SUM(N6:N12)</f>
        <v>1790.0801768675478</v>
      </c>
      <c r="O5" s="17">
        <f>B38*B39*B40</f>
        <v>1.5633333333333335</v>
      </c>
      <c r="P5" s="17">
        <f>B46*B47*B48/1000-B46*B47*B48/1000/B49</f>
        <v>19.066666666666666</v>
      </c>
      <c r="R5" s="32"/>
    </row>
    <row r="6" spans="1:18">
      <c r="A6" s="32" t="s">
        <v>54</v>
      </c>
      <c r="B6" s="37">
        <f>B26</f>
        <v>9174.2352964637084</v>
      </c>
      <c r="C6" s="33"/>
      <c r="D6" s="37">
        <f>IF(ISERROR(TER_kantoor_gas_kWh/1000),0,TER_kantoor_gas_kWh/1000)*0.902</f>
        <v>7879.9263273545384</v>
      </c>
      <c r="E6" s="33">
        <f>$C$26*'E Balans VL '!I12/100/3.6*1000000</f>
        <v>35.643846425541504</v>
      </c>
      <c r="F6" s="33">
        <f>$C$26*('E Balans VL '!L12+'E Balans VL '!N12)/100/3.6*1000000</f>
        <v>1395.3177097064465</v>
      </c>
      <c r="G6" s="34"/>
      <c r="H6" s="33"/>
      <c r="I6" s="33"/>
      <c r="J6" s="33">
        <f>$C$26*('E Balans VL '!D12+'E Balans VL '!E12)/100/3.6*1000000</f>
        <v>0</v>
      </c>
      <c r="K6" s="33"/>
      <c r="L6" s="33"/>
      <c r="M6" s="33"/>
      <c r="N6" s="33">
        <f>$C$26*'E Balans VL '!Y12/100/3.6*1000000</f>
        <v>5.0561026946738687</v>
      </c>
      <c r="O6" s="33"/>
      <c r="P6" s="33"/>
      <c r="R6" s="32"/>
    </row>
    <row r="7" spans="1:18">
      <c r="A7" s="32" t="s">
        <v>53</v>
      </c>
      <c r="B7" s="37">
        <f t="shared" ref="B7:B12" si="0">B27</f>
        <v>2784.4197810522801</v>
      </c>
      <c r="C7" s="33"/>
      <c r="D7" s="37">
        <f>IF(ISERROR(TER_horeca_gas_kWh/1000),0,TER_horeca_gas_kWh/1000)*0.902</f>
        <v>4028.1882916778154</v>
      </c>
      <c r="E7" s="33">
        <f>$C$27*'E Balans VL '!I9/100/3.6*1000000</f>
        <v>156.84711069718529</v>
      </c>
      <c r="F7" s="33">
        <f>$C$27*('E Balans VL '!L9+'E Balans VL '!N9)/100/3.6*1000000</f>
        <v>802.85996504619538</v>
      </c>
      <c r="G7" s="34"/>
      <c r="H7" s="33"/>
      <c r="I7" s="33"/>
      <c r="J7" s="33">
        <f>$C$27*('E Balans VL '!D9+'E Balans VL '!E9)/100/3.6*1000000</f>
        <v>0</v>
      </c>
      <c r="K7" s="33"/>
      <c r="L7" s="33"/>
      <c r="M7" s="33"/>
      <c r="N7" s="33">
        <f>$C$27*'E Balans VL '!Y9/100/3.6*1000000</f>
        <v>0.76876383234198886</v>
      </c>
      <c r="O7" s="33"/>
      <c r="P7" s="33"/>
      <c r="R7" s="32"/>
    </row>
    <row r="8" spans="1:18">
      <c r="A8" s="6" t="s">
        <v>52</v>
      </c>
      <c r="B8" s="37">
        <f t="shared" si="0"/>
        <v>13506.087806184201</v>
      </c>
      <c r="C8" s="33"/>
      <c r="D8" s="37">
        <f>IF(ISERROR(TER_handel_gas_kWh/1000),0,TER_handel_gas_kWh/1000)*0.902</f>
        <v>8084.9200652231848</v>
      </c>
      <c r="E8" s="33">
        <f>$C$28*'E Balans VL '!I13/100/3.6*1000000</f>
        <v>194.66854688490631</v>
      </c>
      <c r="F8" s="33">
        <f>$C$28*('E Balans VL '!L13+'E Balans VL '!N13)/100/3.6*1000000</f>
        <v>2346.3219874947035</v>
      </c>
      <c r="G8" s="34"/>
      <c r="H8" s="33"/>
      <c r="I8" s="33"/>
      <c r="J8" s="33">
        <f>$C$28*('E Balans VL '!D13+'E Balans VL '!E13)/100/3.6*1000000</f>
        <v>0</v>
      </c>
      <c r="K8" s="33"/>
      <c r="L8" s="33"/>
      <c r="M8" s="33"/>
      <c r="N8" s="33">
        <f>$C$28*'E Balans VL '!Y13/100/3.6*1000000</f>
        <v>40.465742595995373</v>
      </c>
      <c r="O8" s="33"/>
      <c r="P8" s="33"/>
      <c r="R8" s="32"/>
    </row>
    <row r="9" spans="1:18">
      <c r="A9" s="32" t="s">
        <v>51</v>
      </c>
      <c r="B9" s="37">
        <f t="shared" si="0"/>
        <v>1520.3295571242402</v>
      </c>
      <c r="C9" s="33"/>
      <c r="D9" s="37">
        <f>IF(ISERROR(TER_gezond_gas_kWh/1000),0,TER_gezond_gas_kWh/1000)*0.902</f>
        <v>3735.4809196471133</v>
      </c>
      <c r="E9" s="33">
        <f>$C$29*'E Balans VL '!I10/100/3.6*1000000</f>
        <v>1.6241060219586858</v>
      </c>
      <c r="F9" s="33">
        <f>$C$29*('E Balans VL '!L10+'E Balans VL '!N10)/100/3.6*1000000</f>
        <v>248.01195531604137</v>
      </c>
      <c r="G9" s="34"/>
      <c r="H9" s="33"/>
      <c r="I9" s="33"/>
      <c r="J9" s="33">
        <f>$C$29*('E Balans VL '!D10+'E Balans VL '!E10)/100/3.6*1000000</f>
        <v>0</v>
      </c>
      <c r="K9" s="33"/>
      <c r="L9" s="33"/>
      <c r="M9" s="33"/>
      <c r="N9" s="33">
        <f>$C$29*'E Balans VL '!Y10/100/3.6*1000000</f>
        <v>15.650925307855305</v>
      </c>
      <c r="O9" s="33"/>
      <c r="P9" s="33"/>
      <c r="R9" s="32"/>
    </row>
    <row r="10" spans="1:18">
      <c r="A10" s="32" t="s">
        <v>50</v>
      </c>
      <c r="B10" s="37">
        <f t="shared" si="0"/>
        <v>2207.4916349848399</v>
      </c>
      <c r="C10" s="33"/>
      <c r="D10" s="37">
        <f>IF(ISERROR(TER_ander_gas_kWh/1000),0,TER_ander_gas_kWh/1000)*0.902</f>
        <v>1650.4123956876349</v>
      </c>
      <c r="E10" s="33">
        <f>$C$30*'E Balans VL '!I14/100/3.6*1000000</f>
        <v>10.151918244891101</v>
      </c>
      <c r="F10" s="33">
        <f>$C$30*('E Balans VL '!L14+'E Balans VL '!N14)/100/3.6*1000000</f>
        <v>661.65487354939887</v>
      </c>
      <c r="G10" s="34"/>
      <c r="H10" s="33"/>
      <c r="I10" s="33"/>
      <c r="J10" s="33">
        <f>$C$30*('E Balans VL '!D14+'E Balans VL '!E14)/100/3.6*1000000</f>
        <v>0</v>
      </c>
      <c r="K10" s="33"/>
      <c r="L10" s="33"/>
      <c r="M10" s="33"/>
      <c r="N10" s="33">
        <f>$C$30*'E Balans VL '!Y14/100/3.6*1000000</f>
        <v>1536.559896169141</v>
      </c>
      <c r="O10" s="33"/>
      <c r="P10" s="33"/>
      <c r="R10" s="32"/>
    </row>
    <row r="11" spans="1:18">
      <c r="A11" s="32" t="s">
        <v>55</v>
      </c>
      <c r="B11" s="37">
        <f t="shared" si="0"/>
        <v>168.593436547679</v>
      </c>
      <c r="C11" s="33"/>
      <c r="D11" s="37">
        <f>IF(ISERROR(TER_onderwijs_gas_kWh/1000),0,TER_onderwijs_gas_kWh/1000)*0.902</f>
        <v>370.46293674499208</v>
      </c>
      <c r="E11" s="33">
        <f>$C$31*'E Balans VL '!I11/100/3.6*1000000</f>
        <v>0.15639258391482919</v>
      </c>
      <c r="F11" s="33">
        <f>$C$31*('E Balans VL '!L11+'E Balans VL '!N11)/100/3.6*1000000</f>
        <v>59.22299941764701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2413.4311917038099</v>
      </c>
      <c r="C12" s="33"/>
      <c r="D12" s="37">
        <f>IF(ISERROR(TER_rest_gas_kWh/1000),0,TER_rest_gas_kWh/1000)*0.902</f>
        <v>6472.0395248190925</v>
      </c>
      <c r="E12" s="33">
        <f>$C$32*'E Balans VL '!I8/100/3.6*1000000</f>
        <v>29.273720529659109</v>
      </c>
      <c r="F12" s="33">
        <f>$C$32*('E Balans VL '!L8+'E Balans VL '!N8)/100/3.6*1000000</f>
        <v>477.57303035932802</v>
      </c>
      <c r="G12" s="34"/>
      <c r="H12" s="33"/>
      <c r="I12" s="33"/>
      <c r="J12" s="33">
        <f>$C$32*('E Balans VL '!D8+'E Balans VL '!E8)/100/3.6*1000000</f>
        <v>0</v>
      </c>
      <c r="K12" s="33"/>
      <c r="L12" s="33"/>
      <c r="M12" s="33"/>
      <c r="N12" s="33">
        <f>$C$32*'E Balans VL '!Y8/100/3.6*1000000</f>
        <v>191.57874626754034</v>
      </c>
      <c r="O12" s="33"/>
      <c r="P12" s="33"/>
      <c r="R12" s="32"/>
    </row>
    <row r="13" spans="1:18">
      <c r="A13" s="16" t="s">
        <v>497</v>
      </c>
      <c r="B13" s="249">
        <f ca="1">'lokale energieproductie'!N90+'lokale energieproductie'!N59</f>
        <v>135</v>
      </c>
      <c r="C13" s="249">
        <f ca="1">'lokale energieproductie'!O90+'lokale energieproductie'!O59</f>
        <v>192.85714285714286</v>
      </c>
      <c r="D13" s="312">
        <f ca="1">('lokale energieproductie'!P59+'lokale energieproductie'!P90)*(-1)</f>
        <v>-385.71428571428572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31909.588704060759</v>
      </c>
      <c r="C16" s="21">
        <f t="shared" ca="1" si="1"/>
        <v>192.85714285714286</v>
      </c>
      <c r="D16" s="21">
        <f t="shared" ca="1" si="1"/>
        <v>31835.716175440084</v>
      </c>
      <c r="E16" s="21">
        <f t="shared" si="1"/>
        <v>428.36564138805687</v>
      </c>
      <c r="F16" s="21">
        <f t="shared" ca="1" si="1"/>
        <v>5990.9625208897605</v>
      </c>
      <c r="G16" s="21">
        <f t="shared" si="1"/>
        <v>0</v>
      </c>
      <c r="H16" s="21">
        <f t="shared" si="1"/>
        <v>0</v>
      </c>
      <c r="I16" s="21">
        <f t="shared" si="1"/>
        <v>0</v>
      </c>
      <c r="J16" s="21">
        <f t="shared" si="1"/>
        <v>0</v>
      </c>
      <c r="K16" s="21">
        <f t="shared" si="1"/>
        <v>0</v>
      </c>
      <c r="L16" s="21">
        <f t="shared" ca="1" si="1"/>
        <v>0</v>
      </c>
      <c r="M16" s="21">
        <f t="shared" si="1"/>
        <v>0</v>
      </c>
      <c r="N16" s="21">
        <f t="shared" ca="1" si="1"/>
        <v>1790.0801768675478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0.19155538492236435</v>
      </c>
      <c r="C18" s="25">
        <f ca="1">'EF ele_warmte'!B22</f>
        <v>0.2363019129575154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6112.4535469206885</v>
      </c>
      <c r="C20" s="23">
        <f t="shared" ref="C20:P20" ca="1" si="2">C16*C18</f>
        <v>45.572511784663689</v>
      </c>
      <c r="D20" s="23">
        <f t="shared" ca="1" si="2"/>
        <v>6430.8146674388972</v>
      </c>
      <c r="E20" s="23">
        <f t="shared" si="2"/>
        <v>97.23900059508891</v>
      </c>
      <c r="F20" s="23">
        <f t="shared" ca="1" si="2"/>
        <v>1599.5869930775661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9174.2352964637084</v>
      </c>
      <c r="C26" s="39">
        <f>IF(ISERROR(B26*3.6/1000000/'E Balans VL '!Z12*100),0,B26*3.6/1000000/'E Balans VL '!Z12*100)</f>
        <v>0.19486530202230082</v>
      </c>
      <c r="D26" s="239" t="s">
        <v>692</v>
      </c>
      <c r="F26" s="6"/>
    </row>
    <row r="27" spans="1:18">
      <c r="A27" s="233" t="s">
        <v>53</v>
      </c>
      <c r="B27" s="33">
        <f>IF(ISERROR(TER_horeca_ele_kWh/1000),0,TER_horeca_ele_kWh/1000)</f>
        <v>2784.4197810522801</v>
      </c>
      <c r="C27" s="39">
        <f>IF(ISERROR(B27*3.6/1000000/'E Balans VL '!Z9*100),0,B27*3.6/1000000/'E Balans VL '!Z9*100)</f>
        <v>0.21650559531128971</v>
      </c>
      <c r="D27" s="239" t="s">
        <v>692</v>
      </c>
      <c r="F27" s="6"/>
    </row>
    <row r="28" spans="1:18">
      <c r="A28" s="173" t="s">
        <v>52</v>
      </c>
      <c r="B28" s="33">
        <f>IF(ISERROR(TER_handel_ele_kWh/1000),0,TER_handel_ele_kWh/1000)</f>
        <v>13506.087806184201</v>
      </c>
      <c r="C28" s="39">
        <f>IF(ISERROR(B28*3.6/1000000/'E Balans VL '!Z13*100),0,B28*3.6/1000000/'E Balans VL '!Z13*100)</f>
        <v>0.38642506721021275</v>
      </c>
      <c r="D28" s="239" t="s">
        <v>692</v>
      </c>
      <c r="F28" s="6"/>
    </row>
    <row r="29" spans="1:18">
      <c r="A29" s="233" t="s">
        <v>51</v>
      </c>
      <c r="B29" s="33">
        <f>IF(ISERROR(TER_gezond_ele_kWh/1000),0,TER_gezond_ele_kWh/1000)</f>
        <v>1520.3295571242402</v>
      </c>
      <c r="C29" s="39">
        <f>IF(ISERROR(B29*3.6/1000000/'E Balans VL '!Z10*100),0,B29*3.6/1000000/'E Balans VL '!Z10*100)</f>
        <v>0.1657512499484716</v>
      </c>
      <c r="D29" s="239" t="s">
        <v>692</v>
      </c>
      <c r="F29" s="6"/>
    </row>
    <row r="30" spans="1:18">
      <c r="A30" s="233" t="s">
        <v>50</v>
      </c>
      <c r="B30" s="33">
        <f>IF(ISERROR(TER_ander_ele_kWh/1000),0,TER_ander_ele_kWh/1000)</f>
        <v>2207.4916349848399</v>
      </c>
      <c r="C30" s="39">
        <f>IF(ISERROR(B30*3.6/1000000/'E Balans VL '!Z14*100),0,B30*3.6/1000000/'E Balans VL '!Z14*100)</f>
        <v>0.16153923027212347</v>
      </c>
      <c r="D30" s="239" t="s">
        <v>692</v>
      </c>
      <c r="F30" s="6"/>
    </row>
    <row r="31" spans="1:18">
      <c r="A31" s="233" t="s">
        <v>55</v>
      </c>
      <c r="B31" s="33">
        <f>IF(ISERROR(TER_onderwijs_ele_kWh/1000),0,TER_onderwijs_ele_kWh/1000)</f>
        <v>168.593436547679</v>
      </c>
      <c r="C31" s="39">
        <f>IF(ISERROR(B31*3.6/1000000/'E Balans VL '!Z11*100),0,B31*3.6/1000000/'E Balans VL '!Z11*100)</f>
        <v>3.3862116924635095E-2</v>
      </c>
      <c r="D31" s="239" t="s">
        <v>692</v>
      </c>
    </row>
    <row r="32" spans="1:18">
      <c r="A32" s="233" t="s">
        <v>260</v>
      </c>
      <c r="B32" s="33">
        <f>IF(ISERROR(TER_rest_ele_kWh/1000),0,TER_rest_ele_kWh/1000)</f>
        <v>2413.4311917038099</v>
      </c>
      <c r="C32" s="39">
        <f>IF(ISERROR(B32*3.6/1000000/'E Balans VL '!Z8*100),0,B32*3.6/1000000/'E Balans VL '!Z8*100)</f>
        <v>1.9667999575412834E-2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7653.4536368485597</v>
      </c>
      <c r="C5" s="17">
        <f>IF(ISERROR('Eigen informatie GS &amp; warmtenet'!B59),0,'Eigen informatie GS &amp; warmtenet'!B59)</f>
        <v>0</v>
      </c>
      <c r="D5" s="30">
        <f>SUM(D6:D15)</f>
        <v>25498.835591521616</v>
      </c>
      <c r="E5" s="17">
        <f>SUM(E6:E15)</f>
        <v>1201.3854392315338</v>
      </c>
      <c r="F5" s="17">
        <f>SUM(F6:F15)</f>
        <v>4025.0250020789799</v>
      </c>
      <c r="G5" s="18"/>
      <c r="H5" s="17"/>
      <c r="I5" s="17"/>
      <c r="J5" s="17">
        <f>SUM(J6:J15)</f>
        <v>6.6627402052090394</v>
      </c>
      <c r="K5" s="17"/>
      <c r="L5" s="17"/>
      <c r="M5" s="17"/>
      <c r="N5" s="17">
        <f>SUM(N6:N15)</f>
        <v>2149.5078003396134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648.68377412068708</v>
      </c>
      <c r="C8" s="33"/>
      <c r="D8" s="37">
        <f>IF( ISERROR(IND_metaal_Gas_kWH/1000),0,IND_metaal_Gas_kWH/1000)*0.902</f>
        <v>230.58016184069768</v>
      </c>
      <c r="E8" s="33">
        <f>C30*'E Balans VL '!I18/100/3.6*1000000</f>
        <v>18.632632852929049</v>
      </c>
      <c r="F8" s="33">
        <f>C30*'E Balans VL '!L18/100/3.6*1000000+C30*'E Balans VL '!N18/100/3.6*1000000</f>
        <v>166.37491208004056</v>
      </c>
      <c r="G8" s="34"/>
      <c r="H8" s="33"/>
      <c r="I8" s="33"/>
      <c r="J8" s="40">
        <f>C30*'E Balans VL '!D18/100/3.6*1000000+C30*'E Balans VL '!E18/100/3.6*1000000</f>
        <v>0</v>
      </c>
      <c r="K8" s="33"/>
      <c r="L8" s="33"/>
      <c r="M8" s="33"/>
      <c r="N8" s="33">
        <f>C30*'E Balans VL '!Y18/100/3.6*1000000</f>
        <v>17.613088618562362</v>
      </c>
      <c r="O8" s="33"/>
      <c r="P8" s="33"/>
      <c r="R8" s="32"/>
    </row>
    <row r="9" spans="1:18">
      <c r="A9" s="6" t="s">
        <v>33</v>
      </c>
      <c r="B9" s="37">
        <f t="shared" si="0"/>
        <v>3669.5557261608101</v>
      </c>
      <c r="C9" s="33"/>
      <c r="D9" s="37">
        <f>IF( ISERROR(IND_andere_gas_kWh/1000),0,IND_andere_gas_kWh/1000)*0.902</f>
        <v>1952.5838399386453</v>
      </c>
      <c r="E9" s="33">
        <f>C31*'E Balans VL '!I19/100/3.6*1000000</f>
        <v>993.25851155667431</v>
      </c>
      <c r="F9" s="33">
        <f>C31*'E Balans VL '!L19/100/3.6*1000000+C31*'E Balans VL '!N19/100/3.6*1000000</f>
        <v>2444.3124337352124</v>
      </c>
      <c r="G9" s="34"/>
      <c r="H9" s="33"/>
      <c r="I9" s="33"/>
      <c r="J9" s="40">
        <f>C31*'E Balans VL '!D19/100/3.6*1000000+C31*'E Balans VL '!E19/100/3.6*1000000</f>
        <v>0</v>
      </c>
      <c r="K9" s="33"/>
      <c r="L9" s="33"/>
      <c r="M9" s="33"/>
      <c r="N9" s="33">
        <f>C31*'E Balans VL '!Y19/100/3.6*1000000</f>
        <v>1198.0489880523426</v>
      </c>
      <c r="O9" s="33"/>
      <c r="P9" s="33"/>
      <c r="R9" s="32"/>
    </row>
    <row r="10" spans="1:18">
      <c r="A10" s="6" t="s">
        <v>41</v>
      </c>
      <c r="B10" s="37">
        <f t="shared" si="0"/>
        <v>530.82213263241795</v>
      </c>
      <c r="C10" s="33"/>
      <c r="D10" s="37">
        <f>IF( ISERROR(IND_voed_gas_kWh/1000),0,IND_voed_gas_kWh/1000)*0.902</f>
        <v>502.78992035620735</v>
      </c>
      <c r="E10" s="33">
        <f>C32*'E Balans VL '!I20/100/3.6*1000000</f>
        <v>43.295072669615848</v>
      </c>
      <c r="F10" s="33">
        <f>C32*'E Balans VL '!L20/100/3.6*1000000+C32*'E Balans VL '!N20/100/3.6*1000000</f>
        <v>791.50396015868432</v>
      </c>
      <c r="G10" s="34"/>
      <c r="H10" s="33"/>
      <c r="I10" s="33"/>
      <c r="J10" s="40">
        <f>C32*'E Balans VL '!D20/100/3.6*1000000+C32*'E Balans VL '!E20/100/3.6*1000000</f>
        <v>7.0221324830953558E-3</v>
      </c>
      <c r="K10" s="33"/>
      <c r="L10" s="33"/>
      <c r="M10" s="33"/>
      <c r="N10" s="33">
        <f>C32*'E Balans VL '!Y20/100/3.6*1000000</f>
        <v>155.93681187403439</v>
      </c>
      <c r="O10" s="33"/>
      <c r="P10" s="33"/>
      <c r="R10" s="32"/>
    </row>
    <row r="11" spans="1:18">
      <c r="A11" s="6" t="s">
        <v>40</v>
      </c>
      <c r="B11" s="37">
        <f t="shared" si="0"/>
        <v>82.269760736425198</v>
      </c>
      <c r="C11" s="33"/>
      <c r="D11" s="37">
        <f>IF( ISERROR(IND_textiel_gas_kWh/1000),0,IND_textiel_gas_kWh/1000)*0.902</f>
        <v>0</v>
      </c>
      <c r="E11" s="33">
        <f>C33*'E Balans VL '!I21/100/3.6*1000000</f>
        <v>1.6307549793385081E-2</v>
      </c>
      <c r="F11" s="33">
        <f>C33*'E Balans VL '!L21/100/3.6*1000000+C33*'E Balans VL '!N21/100/3.6*1000000</f>
        <v>3.0300945467057341</v>
      </c>
      <c r="G11" s="34"/>
      <c r="H11" s="33"/>
      <c r="I11" s="33"/>
      <c r="J11" s="40">
        <f>C33*'E Balans VL '!D21/100/3.6*1000000+C33*'E Balans VL '!E21/100/3.6*1000000</f>
        <v>0</v>
      </c>
      <c r="K11" s="33"/>
      <c r="L11" s="33"/>
      <c r="M11" s="33"/>
      <c r="N11" s="33">
        <f>C33*'E Balans VL '!Y21/100/3.6*1000000</f>
        <v>0.38253361909405231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125.339265890989</v>
      </c>
      <c r="C13" s="33"/>
      <c r="D13" s="37">
        <f>IF( ISERROR(IND_papier_gas_kWh/1000),0,IND_papier_gas_kWh/1000)*0.902</f>
        <v>209.67091174187328</v>
      </c>
      <c r="E13" s="33">
        <f>C35*'E Balans VL '!I23/100/3.6*1000000</f>
        <v>1.3131571504838577</v>
      </c>
      <c r="F13" s="33">
        <f>C35*'E Balans VL '!L23/100/3.6*1000000+C35*'E Balans VL '!N23/100/3.6*1000000</f>
        <v>9.352838236673259</v>
      </c>
      <c r="G13" s="34"/>
      <c r="H13" s="33"/>
      <c r="I13" s="33"/>
      <c r="J13" s="40">
        <f>C35*'E Balans VL '!D23/100/3.6*1000000+C35*'E Balans VL '!E23/100/3.6*1000000</f>
        <v>0</v>
      </c>
      <c r="K13" s="33"/>
      <c r="L13" s="33"/>
      <c r="M13" s="33"/>
      <c r="N13" s="33">
        <f>C35*'E Balans VL '!Y23/100/3.6*1000000</f>
        <v>267.8995983269138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2596.7829773072299</v>
      </c>
      <c r="C15" s="33"/>
      <c r="D15" s="37">
        <f>IF( ISERROR(IND_rest_gas_kWh/1000),0,IND_rest_gas_kWh/1000)*0.902</f>
        <v>22603.210757644192</v>
      </c>
      <c r="E15" s="33">
        <f>C37*'E Balans VL '!I15/100/3.6*1000000</f>
        <v>144.86975745203739</v>
      </c>
      <c r="F15" s="33">
        <f>C37*'E Balans VL '!L15/100/3.6*1000000+C37*'E Balans VL '!N15/100/3.6*1000000</f>
        <v>610.450763321664</v>
      </c>
      <c r="G15" s="34"/>
      <c r="H15" s="33"/>
      <c r="I15" s="33"/>
      <c r="J15" s="40">
        <f>C37*'E Balans VL '!D15/100/3.6*1000000+C37*'E Balans VL '!E15/100/3.6*1000000</f>
        <v>6.6557180727259437</v>
      </c>
      <c r="K15" s="33"/>
      <c r="L15" s="33"/>
      <c r="M15" s="33"/>
      <c r="N15" s="33">
        <f>C37*'E Balans VL '!Y15/100/3.6*1000000</f>
        <v>509.62677984866599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7653.4536368485597</v>
      </c>
      <c r="C18" s="21">
        <f>C5+C16</f>
        <v>0</v>
      </c>
      <c r="D18" s="21">
        <f>MAX((D5+D16),0)</f>
        <v>25498.835591521616</v>
      </c>
      <c r="E18" s="21">
        <f>MAX((E5+E16),0)</f>
        <v>1201.3854392315338</v>
      </c>
      <c r="F18" s="21">
        <f>MAX((F5+F16),0)</f>
        <v>4025.0250020789799</v>
      </c>
      <c r="G18" s="21"/>
      <c r="H18" s="21"/>
      <c r="I18" s="21"/>
      <c r="J18" s="21">
        <f>MAX((J5+J16),0)</f>
        <v>6.6627402052090394</v>
      </c>
      <c r="K18" s="21"/>
      <c r="L18" s="21">
        <f>MAX((L5+L16),0)</f>
        <v>0</v>
      </c>
      <c r="M18" s="21"/>
      <c r="N18" s="21">
        <f>MAX((N5+N16),0)</f>
        <v>2149.5078003396134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0.19155538492236435</v>
      </c>
      <c r="C20" s="25">
        <f ca="1">'EF ele_warmte'!B22</f>
        <v>0.2363019129575154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1466.0602573919953</v>
      </c>
      <c r="C22" s="23">
        <f ca="1">C18*C20</f>
        <v>0</v>
      </c>
      <c r="D22" s="23">
        <f>D18*D20</f>
        <v>5150.7647894873671</v>
      </c>
      <c r="E22" s="23">
        <f>E18*E20</f>
        <v>272.7144947055582</v>
      </c>
      <c r="F22" s="23">
        <f>F18*F20</f>
        <v>1074.6816755550876</v>
      </c>
      <c r="G22" s="23"/>
      <c r="H22" s="23"/>
      <c r="I22" s="23"/>
      <c r="J22" s="23">
        <f>J18*J20</f>
        <v>2.358610032644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648.68377412068708</v>
      </c>
      <c r="C30" s="39">
        <f>IF(ISERROR(B30*3.6/1000000/'E Balans VL '!Z18*100),0,B30*3.6/1000000/'E Balans VL '!Z18*100)</f>
        <v>6.3828827460196538E-2</v>
      </c>
      <c r="D30" s="239" t="s">
        <v>692</v>
      </c>
    </row>
    <row r="31" spans="1:18">
      <c r="A31" s="6" t="s">
        <v>33</v>
      </c>
      <c r="B31" s="37">
        <f>IF( ISERROR(IND_ander_ele_kWh/1000),0,IND_ander_ele_kWh/1000)</f>
        <v>3669.5557261608101</v>
      </c>
      <c r="C31" s="39">
        <f>IF(ISERROR(B31*3.6/1000000/'E Balans VL '!Z19*100),0,B31*3.6/1000000/'E Balans VL '!Z19*100)</f>
        <v>0.15980622469853512</v>
      </c>
      <c r="D31" s="239" t="s">
        <v>692</v>
      </c>
    </row>
    <row r="32" spans="1:18">
      <c r="A32" s="173" t="s">
        <v>41</v>
      </c>
      <c r="B32" s="37">
        <f>IF( ISERROR(IND_voed_ele_kWh/1000),0,IND_voed_ele_kWh/1000)</f>
        <v>530.82213263241795</v>
      </c>
      <c r="C32" s="39">
        <f>IF(ISERROR(B32*3.6/1000000/'E Balans VL '!Z20*100),0,B32*3.6/1000000/'E Balans VL '!Z20*100)</f>
        <v>0.10071584437905293</v>
      </c>
      <c r="D32" s="239" t="s">
        <v>692</v>
      </c>
    </row>
    <row r="33" spans="1:5">
      <c r="A33" s="173" t="s">
        <v>40</v>
      </c>
      <c r="B33" s="37">
        <f>IF( ISERROR(IND_textiel_ele_kWh/1000),0,IND_textiel_ele_kWh/1000)</f>
        <v>82.269760736425198</v>
      </c>
      <c r="C33" s="39">
        <f>IF(ISERROR(B33*3.6/1000000/'E Balans VL '!Z21*100),0,B33*3.6/1000000/'E Balans VL '!Z21*100)</f>
        <v>4.6971861270843464E-3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125.339265890989</v>
      </c>
      <c r="C35" s="39">
        <f>IF(ISERROR(B35*3.6/1000000/'E Balans VL '!Z22*100),0,B35*3.6/1000000/'E Balans VL '!Z22*100)</f>
        <v>1.7623959401950481E-2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2596.7829773072299</v>
      </c>
      <c r="C37" s="39">
        <f>IF(ISERROR(B37*3.6/1000000/'E Balans VL '!Z15*100),0,B37*3.6/1000000/'E Balans VL '!Z15*100)</f>
        <v>2.0011402347096773E-2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10940.150685644068</v>
      </c>
      <c r="C5" s="17">
        <f>'Eigen informatie GS &amp; warmtenet'!B60</f>
        <v>0</v>
      </c>
      <c r="D5" s="30">
        <f>IF(ISERROR(SUM(LB_lb_gas_kWh,LB_rest_gas_kWh,onbekend_gas_kWh)/1000),0,SUM(LB_lb_gas_kWh,LB_rest_gas_kWh,onbekend_gas_kWh)/1000)*0.902</f>
        <v>65482.383378764825</v>
      </c>
      <c r="E5" s="17">
        <f>B17*'E Balans VL '!I25/3.6*1000000/100</f>
        <v>137.85999241875376</v>
      </c>
      <c r="F5" s="17">
        <f>B17*('E Balans VL '!L25/3.6*1000000+'E Balans VL '!N25/3.6*1000000)/100</f>
        <v>37746.260536980633</v>
      </c>
      <c r="G5" s="18"/>
      <c r="H5" s="17"/>
      <c r="I5" s="17"/>
      <c r="J5" s="17">
        <f>('E Balans VL '!D25+'E Balans VL '!E25)/3.6*1000000*landbouw!B17/100</f>
        <v>1645.2742998770614</v>
      </c>
      <c r="K5" s="17"/>
      <c r="L5" s="17">
        <f>L6*(-1)</f>
        <v>0</v>
      </c>
      <c r="M5" s="17"/>
      <c r="N5" s="17">
        <f>N6*(-1)</f>
        <v>114.32142857142857</v>
      </c>
      <c r="O5" s="17"/>
      <c r="P5" s="17"/>
      <c r="R5" s="32"/>
    </row>
    <row r="6" spans="1:18">
      <c r="A6" s="16" t="s">
        <v>497</v>
      </c>
      <c r="B6" s="17" t="s">
        <v>211</v>
      </c>
      <c r="C6" s="17">
        <f>'lokale energieproductie'!O91+'lokale energieproductie'!O60</f>
        <v>9905.7321428571431</v>
      </c>
      <c r="D6" s="312">
        <f>('lokale energieproductie'!P60+'lokale energieproductie'!P91)*(-1)</f>
        <v>-19697.142857142859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10940.150685644068</v>
      </c>
      <c r="C8" s="21">
        <f>C5+C6</f>
        <v>9905.7321428571431</v>
      </c>
      <c r="D8" s="21">
        <f>MAX((D5+D6),0)</f>
        <v>45785.240521621963</v>
      </c>
      <c r="E8" s="21">
        <f>MAX((E5+E6),0)</f>
        <v>137.85999241875376</v>
      </c>
      <c r="F8" s="21">
        <f>MAX((F5+F6),0)</f>
        <v>37746.260536980633</v>
      </c>
      <c r="G8" s="21"/>
      <c r="H8" s="21"/>
      <c r="I8" s="21"/>
      <c r="J8" s="21">
        <f>MAX((J5+J6),0)</f>
        <v>1645.2742998770614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0.19155538492236435</v>
      </c>
      <c r="C10" s="31">
        <f ca="1">'EF ele_warmte'!B22</f>
        <v>0.2363019129575154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2095.6447756972179</v>
      </c>
      <c r="C12" s="23">
        <f ca="1">C8*C10</f>
        <v>2340.7434546018912</v>
      </c>
      <c r="D12" s="23">
        <f>D8*D10</f>
        <v>9248.6185853676379</v>
      </c>
      <c r="E12" s="23">
        <f>E8*E10</f>
        <v>31.294218279057105</v>
      </c>
      <c r="F12" s="23">
        <f>F8*F10</f>
        <v>10078.251563373829</v>
      </c>
      <c r="G12" s="23"/>
      <c r="H12" s="23"/>
      <c r="I12" s="23"/>
      <c r="J12" s="23">
        <f>J8*J10</f>
        <v>582.42710215647969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1.5258062071128862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773.09740619004299</v>
      </c>
      <c r="C26" s="249">
        <f>B26*'GWP N2O_CH4'!B5</f>
        <v>16235.045529990903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234.41919572363022</v>
      </c>
      <c r="C27" s="249">
        <f>B27*'GWP N2O_CH4'!B5</f>
        <v>4922.8031101962351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10.864686071336749</v>
      </c>
      <c r="C28" s="249">
        <f>B28*'GWP N2O_CH4'!B4</f>
        <v>3368.0526821143922</v>
      </c>
      <c r="D28" s="50"/>
    </row>
    <row r="29" spans="1:4">
      <c r="A29" s="41" t="s">
        <v>277</v>
      </c>
      <c r="B29" s="249">
        <f>B34*'ha_N2O bodem landbouw'!B4</f>
        <v>19.758122324385546</v>
      </c>
      <c r="C29" s="249">
        <f>B29*'GWP N2O_CH4'!B4</f>
        <v>6125.0179205595196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4.9334057157305296E-3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4.6367020549567072E-5</v>
      </c>
      <c r="C5" s="448" t="s">
        <v>211</v>
      </c>
      <c r="D5" s="433">
        <f>SUM(D6:D11)</f>
        <v>7.384350595628043E-5</v>
      </c>
      <c r="E5" s="433">
        <f>SUM(E6:E11)</f>
        <v>2.6086015345561332E-3</v>
      </c>
      <c r="F5" s="446" t="s">
        <v>211</v>
      </c>
      <c r="G5" s="433">
        <f>SUM(G6:G11)</f>
        <v>0.83758916494893498</v>
      </c>
      <c r="H5" s="433">
        <f>SUM(H6:H11)</f>
        <v>0.11373185926072803</v>
      </c>
      <c r="I5" s="448" t="s">
        <v>211</v>
      </c>
      <c r="J5" s="448" t="s">
        <v>211</v>
      </c>
      <c r="K5" s="448" t="s">
        <v>211</v>
      </c>
      <c r="L5" s="448" t="s">
        <v>211</v>
      </c>
      <c r="M5" s="433">
        <f>SUM(M6:M11)</f>
        <v>4.298601489657855E-2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1.2399540370694701E-5</v>
      </c>
      <c r="C6" s="949"/>
      <c r="D6" s="949">
        <f>vkm_2011_GW_PW*SUMIFS(TableVerdeelsleutelVkm[CNG],TableVerdeelsleutelVkm[Voertuigtype],"Lichte voertuigen")*SUMIFS(TableECFTransport[EnergieConsumptieFactor (PJ per km)],TableECFTransport[Index],CONCATENATE($A6,"_CNG_CNG"))</f>
        <v>1.7560174274628245E-5</v>
      </c>
      <c r="E6" s="949">
        <f>vkm_2011_GW_PW*SUMIFS(TableVerdeelsleutelVkm[LPG],TableVerdeelsleutelVkm[Voertuigtype],"Lichte voertuigen")*SUMIFS(TableECFTransport[EnergieConsumptieFactor (PJ per km)],TableECFTransport[Index],CONCATENATE($A6,"_LPG_LPG"))</f>
        <v>5.5150726434617517E-4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9.9120956796559107E-2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2.6560257960578371E-2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5.6862197416118997E-3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7.0253574216077891E-2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2.496036661685422E-5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3.1703214671447281E-3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5.798682535178812E-6</v>
      </c>
      <c r="C8" s="949"/>
      <c r="D8" s="436">
        <f>vkm_2011_NGW_PW*SUMIFS(TableVerdeelsleutelVkm[CNG],TableVerdeelsleutelVkm[Voertuigtype],"Lichte voertuigen")*SUMIFS(TableECFTransport[EnergieConsumptieFactor (PJ per km)],TableECFTransport[Index],CONCATENATE($A8,"_CNG_CNG"))</f>
        <v>1.4629940199704129E-5</v>
      </c>
      <c r="E8" s="436">
        <f>vkm_2011_NGW_PW*SUMIFS(TableVerdeelsleutelVkm[LPG],TableVerdeelsleutelVkm[Voertuigtype],"Lichte voertuigen")*SUMIFS(TableECFTransport[EnergieConsumptieFactor (PJ per km)],TableECFTransport[Index],CONCATENATE($A8,"_LPG_LPG"))</f>
        <v>4.2321127471087183E-4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7.1738414941783402E-2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2.1351532890470523E-2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4.2127401386754188E-3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1.6185658490011749E-2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5.4417377731580882E-6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7.3039341696309553E-4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2.8168797643693559E-5</v>
      </c>
      <c r="C10" s="949"/>
      <c r="D10" s="436">
        <f>vkm_2011_SW_PW*SUMIFS(TableVerdeelsleutelVkm[CNG],TableVerdeelsleutelVkm[Voertuigtype],"Lichte voertuigen")*SUMIFS(TableECFTransport[EnergieConsumptieFactor (PJ per km)],TableECFTransport[Index],CONCATENATE($A10,"_CNG_CNG"))</f>
        <v>4.1653391481948051E-5</v>
      </c>
      <c r="E10" s="436">
        <f>vkm_2011_SW_PW*SUMIFS(TableVerdeelsleutelVkm[LPG],TableVerdeelsleutelVkm[Voertuigtype],"Lichte voertuigen")*SUMIFS(TableECFTransport[EnergieConsumptieFactor (PJ per km)],TableECFTransport[Index],CONCATENATE($A10,"_LPG_LPG"))</f>
        <v>1.6338829954990863E-3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0.26594811845096783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6.5669227903233693E-2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1.500066007438039E-2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0.31434244205353501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1.2043840205542843E-4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1.418568005780302E-2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12.879727930435298</v>
      </c>
      <c r="C14" s="21"/>
      <c r="D14" s="21">
        <f t="shared" ref="D14:M14" si="0">((D5)*10^9/3600)+D12</f>
        <v>20.512084987855673</v>
      </c>
      <c r="E14" s="21">
        <f t="shared" si="0"/>
        <v>724.61153737670372</v>
      </c>
      <c r="F14" s="21"/>
      <c r="G14" s="21">
        <f t="shared" si="0"/>
        <v>232663.65693025972</v>
      </c>
      <c r="H14" s="21">
        <f t="shared" si="0"/>
        <v>31592.18312798001</v>
      </c>
      <c r="I14" s="21"/>
      <c r="J14" s="21"/>
      <c r="K14" s="21"/>
      <c r="L14" s="21"/>
      <c r="M14" s="21">
        <f t="shared" si="0"/>
        <v>11940.559693494042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0.19155538492236435</v>
      </c>
      <c r="C16" s="56">
        <f ca="1">'EF ele_warmte'!B22</f>
        <v>0.2363019129575154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2.4671812414098606</v>
      </c>
      <c r="C18" s="23"/>
      <c r="D18" s="23">
        <f t="shared" ref="D18:M18" si="1">D14*D16</f>
        <v>4.1434411675468459</v>
      </c>
      <c r="E18" s="23">
        <f t="shared" si="1"/>
        <v>164.48681898451176</v>
      </c>
      <c r="F18" s="23"/>
      <c r="G18" s="23">
        <f t="shared" si="1"/>
        <v>62121.196400379347</v>
      </c>
      <c r="H18" s="23">
        <f t="shared" si="1"/>
        <v>7866.4535988670223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8.1859602757296101E-3</v>
      </c>
      <c r="H50" s="323">
        <f t="shared" si="2"/>
        <v>0</v>
      </c>
      <c r="I50" s="323">
        <f t="shared" si="2"/>
        <v>0</v>
      </c>
      <c r="J50" s="323">
        <f t="shared" si="2"/>
        <v>0</v>
      </c>
      <c r="K50" s="323">
        <f t="shared" si="2"/>
        <v>0</v>
      </c>
      <c r="L50" s="323">
        <f t="shared" si="2"/>
        <v>0</v>
      </c>
      <c r="M50" s="323">
        <f t="shared" si="2"/>
        <v>3.6404967563600702E-4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8.1859602757296101E-3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3.6404967563600702E-4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2273.8778543693361</v>
      </c>
      <c r="H54" s="21">
        <f t="shared" si="3"/>
        <v>0</v>
      </c>
      <c r="I54" s="21">
        <f t="shared" si="3"/>
        <v>0</v>
      </c>
      <c r="J54" s="21">
        <f t="shared" si="3"/>
        <v>0</v>
      </c>
      <c r="K54" s="21">
        <f t="shared" si="3"/>
        <v>0</v>
      </c>
      <c r="L54" s="21">
        <f t="shared" si="3"/>
        <v>0</v>
      </c>
      <c r="M54" s="21">
        <f t="shared" si="3"/>
        <v>101.12490989889085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0.19155538492236435</v>
      </c>
      <c r="C56" s="56">
        <f ca="1">'EF ele_warmte'!B22</f>
        <v>0.2363019129575154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607.12538711661273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7544.6336668460617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5603.0953463111209</v>
      </c>
      <c r="C6" s="1251"/>
      <c r="D6" s="1236"/>
      <c r="E6" s="1236"/>
      <c r="F6" s="1254"/>
      <c r="G6" s="1257"/>
      <c r="H6" s="1248"/>
      <c r="I6" s="1236"/>
      <c r="J6" s="1236"/>
      <c r="K6" s="1236"/>
      <c r="L6" s="1240"/>
      <c r="M6" s="561"/>
      <c r="N6" s="1214"/>
      <c r="O6" s="1215"/>
      <c r="Q6" s="559"/>
      <c r="R6" s="1202"/>
      <c r="S6" s="1202"/>
    </row>
    <row r="7" spans="1:19" s="549" customFormat="1">
      <c r="A7" s="562" t="s">
        <v>252</v>
      </c>
      <c r="B7" s="563">
        <f>N57</f>
        <v>7069.0124999999998</v>
      </c>
      <c r="C7" s="564">
        <f>B100</f>
        <v>8269.4117647058829</v>
      </c>
      <c r="D7" s="565"/>
      <c r="E7" s="565">
        <f>E100</f>
        <v>0</v>
      </c>
      <c r="F7" s="566"/>
      <c r="G7" s="567"/>
      <c r="H7" s="565">
        <f>I100</f>
        <v>0</v>
      </c>
      <c r="I7" s="565">
        <f>G100+F100</f>
        <v>0</v>
      </c>
      <c r="J7" s="565">
        <f>H100+D100+C100</f>
        <v>47.073529411764703</v>
      </c>
      <c r="K7" s="565"/>
      <c r="L7" s="568"/>
      <c r="M7" s="569">
        <f>C7*$C$11+D7*$D$11+E7*$E$11+F7*$F$11+G7*$G$11+H7*$H$11+I7*$I$11+J7*$J$11</f>
        <v>1670.4211764705885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20216.741513157183</v>
      </c>
      <c r="C9" s="580">
        <f t="shared" ref="C9:L9" si="0">SUM(C7:C8)</f>
        <v>8269.4117647058829</v>
      </c>
      <c r="D9" s="580">
        <f t="shared" si="0"/>
        <v>0</v>
      </c>
      <c r="E9" s="580">
        <f t="shared" si="0"/>
        <v>0</v>
      </c>
      <c r="F9" s="580">
        <f t="shared" si="0"/>
        <v>0</v>
      </c>
      <c r="G9" s="580">
        <f t="shared" si="0"/>
        <v>0</v>
      </c>
      <c r="H9" s="580">
        <f t="shared" si="0"/>
        <v>0</v>
      </c>
      <c r="I9" s="580">
        <f t="shared" si="0"/>
        <v>0</v>
      </c>
      <c r="J9" s="580">
        <f t="shared" si="0"/>
        <v>47.073529411764703</v>
      </c>
      <c r="K9" s="580">
        <f t="shared" si="0"/>
        <v>0</v>
      </c>
      <c r="L9" s="580">
        <f t="shared" si="0"/>
        <v>0</v>
      </c>
      <c r="M9" s="581">
        <f>SUM(M4:M8)</f>
        <v>1670.4211764705885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10098.589285714286</v>
      </c>
      <c r="C16" s="596">
        <f>B101</f>
        <v>11813.445378151262</v>
      </c>
      <c r="D16" s="597"/>
      <c r="E16" s="597">
        <f>E101</f>
        <v>0</v>
      </c>
      <c r="F16" s="598"/>
      <c r="G16" s="599"/>
      <c r="H16" s="596">
        <f>I101</f>
        <v>0</v>
      </c>
      <c r="I16" s="597">
        <f>G101+F101</f>
        <v>0</v>
      </c>
      <c r="J16" s="597">
        <f>H101+D101+C101</f>
        <v>67.247899159663874</v>
      </c>
      <c r="K16" s="597"/>
      <c r="L16" s="600"/>
      <c r="M16" s="601">
        <f>C16*$C$21+E16*$E$21+H16*$H$21+I16*$I$21+J16*$J$21+D16*$D$21+F16*$F$21+G16*$G$21+K16*$K$21+L16*$L$21</f>
        <v>2386.3159663865549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10098.589285714286</v>
      </c>
      <c r="C19" s="579">
        <f>SUM(C16:C18)</f>
        <v>11813.445378151262</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2386.3159663865549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44034</v>
      </c>
      <c r="C27" s="839">
        <v>9080</v>
      </c>
      <c r="D27" s="658" t="s">
        <v>878</v>
      </c>
      <c r="E27" s="657" t="s">
        <v>879</v>
      </c>
      <c r="F27" s="657" t="s">
        <v>880</v>
      </c>
      <c r="G27" s="657" t="s">
        <v>881</v>
      </c>
      <c r="H27" s="657" t="s">
        <v>882</v>
      </c>
      <c r="I27" s="657" t="s">
        <v>883</v>
      </c>
      <c r="J27" s="838">
        <v>40473</v>
      </c>
      <c r="K27" s="838">
        <v>40513</v>
      </c>
      <c r="L27" s="657" t="s">
        <v>884</v>
      </c>
      <c r="M27" s="657">
        <v>1006</v>
      </c>
      <c r="N27" s="657">
        <v>4527</v>
      </c>
      <c r="O27" s="657">
        <v>6467.1428571428569</v>
      </c>
      <c r="P27" s="657">
        <v>12934.285714285716</v>
      </c>
      <c r="Q27" s="657">
        <v>0</v>
      </c>
      <c r="R27" s="657">
        <v>0</v>
      </c>
      <c r="S27" s="657">
        <v>0</v>
      </c>
      <c r="T27" s="657">
        <v>0</v>
      </c>
      <c r="U27" s="657">
        <v>0</v>
      </c>
      <c r="V27" s="657">
        <v>0</v>
      </c>
      <c r="W27" s="657">
        <v>0</v>
      </c>
      <c r="X27" s="657">
        <v>10</v>
      </c>
      <c r="Y27" s="657" t="s">
        <v>112</v>
      </c>
      <c r="Z27" s="659" t="s">
        <v>112</v>
      </c>
    </row>
    <row r="28" spans="1:26" s="611" customFormat="1" ht="63.75">
      <c r="A28" s="610"/>
      <c r="B28" s="839">
        <v>44034</v>
      </c>
      <c r="C28" s="839">
        <v>9080</v>
      </c>
      <c r="D28" s="658" t="s">
        <v>885</v>
      </c>
      <c r="E28" s="657" t="s">
        <v>886</v>
      </c>
      <c r="F28" s="657" t="s">
        <v>887</v>
      </c>
      <c r="G28" s="657" t="s">
        <v>881</v>
      </c>
      <c r="H28" s="657" t="s">
        <v>882</v>
      </c>
      <c r="I28" s="657" t="s">
        <v>886</v>
      </c>
      <c r="J28" s="838">
        <v>40598</v>
      </c>
      <c r="K28" s="838">
        <v>40664</v>
      </c>
      <c r="L28" s="657" t="s">
        <v>884</v>
      </c>
      <c r="M28" s="657">
        <v>30</v>
      </c>
      <c r="N28" s="657">
        <v>135</v>
      </c>
      <c r="O28" s="657">
        <v>192.85714285714286</v>
      </c>
      <c r="P28" s="657">
        <v>385.71428571428572</v>
      </c>
      <c r="Q28" s="657">
        <v>0</v>
      </c>
      <c r="R28" s="657">
        <v>0</v>
      </c>
      <c r="S28" s="657">
        <v>0</v>
      </c>
      <c r="T28" s="657">
        <v>0</v>
      </c>
      <c r="U28" s="657">
        <v>0</v>
      </c>
      <c r="V28" s="657">
        <v>0</v>
      </c>
      <c r="W28" s="657">
        <v>0</v>
      </c>
      <c r="X28" s="657">
        <v>1600</v>
      </c>
      <c r="Y28" s="657" t="s">
        <v>50</v>
      </c>
      <c r="Z28" s="659" t="s">
        <v>156</v>
      </c>
    </row>
    <row r="29" spans="1:26" s="611" customFormat="1" ht="25.5">
      <c r="A29" s="610"/>
      <c r="B29" s="839">
        <v>44034</v>
      </c>
      <c r="C29" s="839">
        <v>9080</v>
      </c>
      <c r="D29" s="658" t="s">
        <v>888</v>
      </c>
      <c r="E29" s="657" t="s">
        <v>889</v>
      </c>
      <c r="F29" s="657" t="s">
        <v>890</v>
      </c>
      <c r="G29" s="657" t="s">
        <v>881</v>
      </c>
      <c r="H29" s="657" t="s">
        <v>882</v>
      </c>
      <c r="I29" s="657" t="s">
        <v>891</v>
      </c>
      <c r="J29" s="838">
        <v>41242</v>
      </c>
      <c r="K29" s="838">
        <v>41275</v>
      </c>
      <c r="L29" s="657" t="s">
        <v>884</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25.5">
      <c r="A30" s="610"/>
      <c r="B30" s="839">
        <v>44034</v>
      </c>
      <c r="C30" s="839">
        <v>9080</v>
      </c>
      <c r="D30" s="658" t="s">
        <v>892</v>
      </c>
      <c r="E30" s="657" t="s">
        <v>879</v>
      </c>
      <c r="F30" s="657" t="s">
        <v>893</v>
      </c>
      <c r="G30" s="657" t="s">
        <v>881</v>
      </c>
      <c r="H30" s="657" t="s">
        <v>882</v>
      </c>
      <c r="I30" s="657" t="s">
        <v>894</v>
      </c>
      <c r="J30" s="838">
        <v>41244</v>
      </c>
      <c r="K30" s="838">
        <v>41255</v>
      </c>
      <c r="L30" s="657" t="s">
        <v>884</v>
      </c>
      <c r="M30" s="657">
        <v>526</v>
      </c>
      <c r="N30" s="657">
        <v>2367</v>
      </c>
      <c r="O30" s="657">
        <v>3381.4285714285716</v>
      </c>
      <c r="P30" s="657">
        <v>6762.8571428571431</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1571.7</v>
      </c>
      <c r="N57" s="615">
        <f>SUM(N27:N56)</f>
        <v>7069.0124999999998</v>
      </c>
      <c r="O57" s="615">
        <f t="shared" ref="O57:W57" si="2">SUM(O27:O56)</f>
        <v>10098.589285714286</v>
      </c>
      <c r="P57" s="615">
        <f t="shared" si="2"/>
        <v>20082.857142857145</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30</v>
      </c>
      <c r="N59" s="615">
        <f ca="1">SUMIF($Z$27:AB56,"tertiair",N27:N56)</f>
        <v>135</v>
      </c>
      <c r="O59" s="615">
        <f ca="1">SUMIF($Z$27:AC56,"tertiair",O27:O56)</f>
        <v>192.85714285714286</v>
      </c>
      <c r="P59" s="615">
        <f ca="1">SUMIF($Z$27:AD56,"tertiair",P27:P56)</f>
        <v>385.71428571428572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1541.7</v>
      </c>
      <c r="N60" s="620">
        <f t="shared" ref="N60:W60" si="4">SUMIF($Z$27:$Z$56,"landbouw",N27:N56)</f>
        <v>6934.0124999999998</v>
      </c>
      <c r="O60" s="620">
        <f t="shared" si="4"/>
        <v>9905.7321428571431</v>
      </c>
      <c r="P60" s="620">
        <f t="shared" si="4"/>
        <v>19697.142857142859</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8269.4117647058829</v>
      </c>
      <c r="C100" s="649">
        <f t="shared" si="9"/>
        <v>47.073529411764703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11813.445378151262</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33652.149704060757</v>
      </c>
      <c r="D10" s="704">
        <f ca="1">tertiair!C16</f>
        <v>192.85714285714286</v>
      </c>
      <c r="E10" s="704">
        <f ca="1">tertiair!D16</f>
        <v>31835.716175440084</v>
      </c>
      <c r="F10" s="704">
        <f>tertiair!E16</f>
        <v>428.36564138805687</v>
      </c>
      <c r="G10" s="704">
        <f ca="1">tertiair!F16</f>
        <v>5990.9625208897605</v>
      </c>
      <c r="H10" s="704">
        <f>tertiair!G16</f>
        <v>0</v>
      </c>
      <c r="I10" s="704">
        <f>tertiair!H16</f>
        <v>0</v>
      </c>
      <c r="J10" s="704">
        <f>tertiair!I16</f>
        <v>0</v>
      </c>
      <c r="K10" s="704">
        <f>tertiair!J16</f>
        <v>0</v>
      </c>
      <c r="L10" s="704">
        <f>tertiair!K16</f>
        <v>0</v>
      </c>
      <c r="M10" s="704">
        <f ca="1">tertiair!L16</f>
        <v>0</v>
      </c>
      <c r="N10" s="704">
        <f>tertiair!M16</f>
        <v>0</v>
      </c>
      <c r="O10" s="704">
        <f ca="1">tertiair!N16</f>
        <v>1790.0801768675478</v>
      </c>
      <c r="P10" s="704">
        <f>tertiair!O16</f>
        <v>1.5633333333333335</v>
      </c>
      <c r="Q10" s="705">
        <f>tertiair!P16</f>
        <v>19.066666666666666</v>
      </c>
      <c r="R10" s="707">
        <f ca="1">SUM(C10:Q10)</f>
        <v>73910.761361503348</v>
      </c>
      <c r="S10" s="67"/>
    </row>
    <row r="11" spans="1:19" s="459" customFormat="1">
      <c r="A11" s="858" t="s">
        <v>225</v>
      </c>
      <c r="B11" s="863"/>
      <c r="C11" s="704">
        <f>huishoudens!B8</f>
        <v>42749.526160703761</v>
      </c>
      <c r="D11" s="704">
        <f>huishoudens!C8</f>
        <v>0</v>
      </c>
      <c r="E11" s="704">
        <f>huishoudens!D8</f>
        <v>75397.296528634499</v>
      </c>
      <c r="F11" s="704">
        <f>huishoudens!E8</f>
        <v>4434.8433358488119</v>
      </c>
      <c r="G11" s="704">
        <f>huishoudens!F8</f>
        <v>26968.45678650228</v>
      </c>
      <c r="H11" s="704">
        <f>huishoudens!G8</f>
        <v>0</v>
      </c>
      <c r="I11" s="704">
        <f>huishoudens!H8</f>
        <v>0</v>
      </c>
      <c r="J11" s="704">
        <f>huishoudens!I8</f>
        <v>0</v>
      </c>
      <c r="K11" s="704">
        <f>huishoudens!J8</f>
        <v>752.63687915626576</v>
      </c>
      <c r="L11" s="704">
        <f>huishoudens!K8</f>
        <v>0</v>
      </c>
      <c r="M11" s="704">
        <f>huishoudens!L8</f>
        <v>0</v>
      </c>
      <c r="N11" s="704">
        <f>huishoudens!M8</f>
        <v>0</v>
      </c>
      <c r="O11" s="704">
        <f>huishoudens!N8</f>
        <v>19648.797500144061</v>
      </c>
      <c r="P11" s="704">
        <f>huishoudens!O8</f>
        <v>345.49666666666667</v>
      </c>
      <c r="Q11" s="705">
        <f>huishoudens!P8</f>
        <v>1391.8666666666668</v>
      </c>
      <c r="R11" s="707">
        <f>SUM(C11:Q11)</f>
        <v>171688.92052432301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7653.4536368485597</v>
      </c>
      <c r="D13" s="704">
        <f>industrie!C18</f>
        <v>0</v>
      </c>
      <c r="E13" s="704">
        <f>industrie!D18</f>
        <v>25498.835591521616</v>
      </c>
      <c r="F13" s="704">
        <f>industrie!E18</f>
        <v>1201.3854392315338</v>
      </c>
      <c r="G13" s="704">
        <f>industrie!F18</f>
        <v>4025.0250020789799</v>
      </c>
      <c r="H13" s="704">
        <f>industrie!G18</f>
        <v>0</v>
      </c>
      <c r="I13" s="704">
        <f>industrie!H18</f>
        <v>0</v>
      </c>
      <c r="J13" s="704">
        <f>industrie!I18</f>
        <v>0</v>
      </c>
      <c r="K13" s="704">
        <f>industrie!J18</f>
        <v>6.6627402052090394</v>
      </c>
      <c r="L13" s="704">
        <f>industrie!K18</f>
        <v>0</v>
      </c>
      <c r="M13" s="704">
        <f>industrie!L18</f>
        <v>0</v>
      </c>
      <c r="N13" s="704">
        <f>industrie!M18</f>
        <v>0</v>
      </c>
      <c r="O13" s="704">
        <f>industrie!N18</f>
        <v>2149.5078003396134</v>
      </c>
      <c r="P13" s="704">
        <f>industrie!O18</f>
        <v>0</v>
      </c>
      <c r="Q13" s="705">
        <f>industrie!P18</f>
        <v>0</v>
      </c>
      <c r="R13" s="707">
        <f>SUM(C13:Q13)</f>
        <v>40534.870210225512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84055.129501613075</v>
      </c>
      <c r="D15" s="709">
        <f t="shared" ref="D15:Q15" ca="1" si="0">SUM(D9:D14)</f>
        <v>192.85714285714286</v>
      </c>
      <c r="E15" s="709">
        <f t="shared" ca="1" si="0"/>
        <v>132731.8482955962</v>
      </c>
      <c r="F15" s="709">
        <f t="shared" si="0"/>
        <v>6064.5944164684024</v>
      </c>
      <c r="G15" s="709">
        <f t="shared" ca="1" si="0"/>
        <v>36984.444309471022</v>
      </c>
      <c r="H15" s="709">
        <f t="shared" si="0"/>
        <v>0</v>
      </c>
      <c r="I15" s="709">
        <f t="shared" si="0"/>
        <v>0</v>
      </c>
      <c r="J15" s="709">
        <f t="shared" si="0"/>
        <v>0</v>
      </c>
      <c r="K15" s="709">
        <f t="shared" si="0"/>
        <v>759.29961936147481</v>
      </c>
      <c r="L15" s="709">
        <f t="shared" si="0"/>
        <v>0</v>
      </c>
      <c r="M15" s="709">
        <f t="shared" ca="1" si="0"/>
        <v>0</v>
      </c>
      <c r="N15" s="709">
        <f t="shared" si="0"/>
        <v>0</v>
      </c>
      <c r="O15" s="709">
        <f t="shared" ca="1" si="0"/>
        <v>23588.385477351221</v>
      </c>
      <c r="P15" s="709">
        <f t="shared" si="0"/>
        <v>347.06</v>
      </c>
      <c r="Q15" s="710">
        <f t="shared" si="0"/>
        <v>1410.9333333333334</v>
      </c>
      <c r="R15" s="711">
        <f ca="1">SUM(R9:R14)</f>
        <v>286134.55209605186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2273.8778543693361</v>
      </c>
      <c r="I18" s="704">
        <f>transport!H54</f>
        <v>0</v>
      </c>
      <c r="J18" s="704">
        <f>transport!I54</f>
        <v>0</v>
      </c>
      <c r="K18" s="704">
        <f>transport!J54</f>
        <v>0</v>
      </c>
      <c r="L18" s="704">
        <f>transport!K54</f>
        <v>0</v>
      </c>
      <c r="M18" s="704">
        <f>transport!L54</f>
        <v>0</v>
      </c>
      <c r="N18" s="704">
        <f>transport!M54</f>
        <v>101.12490989889085</v>
      </c>
      <c r="O18" s="704">
        <f>transport!N54</f>
        <v>0</v>
      </c>
      <c r="P18" s="704">
        <f>transport!O54</f>
        <v>0</v>
      </c>
      <c r="Q18" s="705">
        <f>transport!P54</f>
        <v>0</v>
      </c>
      <c r="R18" s="707">
        <f>SUM(C18:Q18)</f>
        <v>2375.0027642682271</v>
      </c>
      <c r="S18" s="67"/>
    </row>
    <row r="19" spans="1:19" s="459" customFormat="1" ht="15" thickBot="1">
      <c r="A19" s="858" t="s">
        <v>307</v>
      </c>
      <c r="B19" s="863"/>
      <c r="C19" s="713">
        <f>transport!B14</f>
        <v>12.879727930435298</v>
      </c>
      <c r="D19" s="713">
        <f>transport!C14</f>
        <v>0</v>
      </c>
      <c r="E19" s="713">
        <f>transport!D14</f>
        <v>20.512084987855673</v>
      </c>
      <c r="F19" s="713">
        <f>transport!E14</f>
        <v>724.61153737670372</v>
      </c>
      <c r="G19" s="713">
        <f>transport!F14</f>
        <v>0</v>
      </c>
      <c r="H19" s="713">
        <f>transport!G14</f>
        <v>232663.65693025972</v>
      </c>
      <c r="I19" s="713">
        <f>transport!H14</f>
        <v>31592.18312798001</v>
      </c>
      <c r="J19" s="713">
        <f>transport!I14</f>
        <v>0</v>
      </c>
      <c r="K19" s="713">
        <f>transport!J14</f>
        <v>0</v>
      </c>
      <c r="L19" s="713">
        <f>transport!K14</f>
        <v>0</v>
      </c>
      <c r="M19" s="713">
        <f>transport!L14</f>
        <v>0</v>
      </c>
      <c r="N19" s="713">
        <f>transport!M14</f>
        <v>11940.559693494042</v>
      </c>
      <c r="O19" s="713">
        <f>transport!N14</f>
        <v>0</v>
      </c>
      <c r="P19" s="713">
        <f>transport!O14</f>
        <v>0</v>
      </c>
      <c r="Q19" s="714">
        <f>transport!P14</f>
        <v>0</v>
      </c>
      <c r="R19" s="715">
        <f>SUM(C19:Q19)</f>
        <v>276954.40310202877</v>
      </c>
      <c r="S19" s="67"/>
    </row>
    <row r="20" spans="1:19" s="459" customFormat="1" ht="15.75" thickBot="1">
      <c r="A20" s="716" t="s">
        <v>230</v>
      </c>
      <c r="B20" s="866"/>
      <c r="C20" s="861">
        <f>SUM(C17:C19)</f>
        <v>12.879727930435298</v>
      </c>
      <c r="D20" s="717">
        <f t="shared" ref="D20:R20" si="1">SUM(D17:D19)</f>
        <v>0</v>
      </c>
      <c r="E20" s="717">
        <f t="shared" si="1"/>
        <v>20.512084987855673</v>
      </c>
      <c r="F20" s="717">
        <f t="shared" si="1"/>
        <v>724.61153737670372</v>
      </c>
      <c r="G20" s="717">
        <f t="shared" si="1"/>
        <v>0</v>
      </c>
      <c r="H20" s="717">
        <f t="shared" si="1"/>
        <v>234937.53478462907</v>
      </c>
      <c r="I20" s="717">
        <f t="shared" si="1"/>
        <v>31592.18312798001</v>
      </c>
      <c r="J20" s="717">
        <f t="shared" si="1"/>
        <v>0</v>
      </c>
      <c r="K20" s="717">
        <f t="shared" si="1"/>
        <v>0</v>
      </c>
      <c r="L20" s="717">
        <f t="shared" si="1"/>
        <v>0</v>
      </c>
      <c r="M20" s="717">
        <f t="shared" si="1"/>
        <v>0</v>
      </c>
      <c r="N20" s="717">
        <f t="shared" si="1"/>
        <v>12041.684603392932</v>
      </c>
      <c r="O20" s="717">
        <f t="shared" si="1"/>
        <v>0</v>
      </c>
      <c r="P20" s="717">
        <f t="shared" si="1"/>
        <v>0</v>
      </c>
      <c r="Q20" s="718">
        <f t="shared" si="1"/>
        <v>0</v>
      </c>
      <c r="R20" s="719">
        <f t="shared" si="1"/>
        <v>279329.40586629702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10940.150685644068</v>
      </c>
      <c r="D22" s="713">
        <f>+landbouw!C8</f>
        <v>9905.7321428571431</v>
      </c>
      <c r="E22" s="713">
        <f>+landbouw!D8</f>
        <v>45785.240521621963</v>
      </c>
      <c r="F22" s="713">
        <f>+landbouw!E8</f>
        <v>137.85999241875376</v>
      </c>
      <c r="G22" s="713">
        <f>+landbouw!F8</f>
        <v>37746.260536980633</v>
      </c>
      <c r="H22" s="713">
        <f>+landbouw!G8</f>
        <v>0</v>
      </c>
      <c r="I22" s="713">
        <f>+landbouw!H8</f>
        <v>0</v>
      </c>
      <c r="J22" s="713">
        <f>+landbouw!I8</f>
        <v>0</v>
      </c>
      <c r="K22" s="713">
        <f>+landbouw!J8</f>
        <v>1645.2742998770614</v>
      </c>
      <c r="L22" s="713">
        <f>+landbouw!K8</f>
        <v>0</v>
      </c>
      <c r="M22" s="713">
        <f>+landbouw!L8</f>
        <v>0</v>
      </c>
      <c r="N22" s="713">
        <f>+landbouw!M8</f>
        <v>0</v>
      </c>
      <c r="O22" s="713">
        <f>+landbouw!N8</f>
        <v>0</v>
      </c>
      <c r="P22" s="713">
        <f>+landbouw!O8</f>
        <v>0</v>
      </c>
      <c r="Q22" s="714">
        <f>+landbouw!P8</f>
        <v>0</v>
      </c>
      <c r="R22" s="715">
        <f>SUM(C22:Q22)</f>
        <v>106160.51817939963</v>
      </c>
      <c r="S22" s="67"/>
    </row>
    <row r="23" spans="1:19" s="459" customFormat="1" ht="17.25" thickTop="1" thickBot="1">
      <c r="A23" s="720" t="s">
        <v>116</v>
      </c>
      <c r="B23" s="852"/>
      <c r="C23" s="721">
        <f ca="1">C20+C15+C22</f>
        <v>95008.159915187585</v>
      </c>
      <c r="D23" s="721">
        <f t="shared" ref="D23:Q23" ca="1" si="2">D20+D15+D22</f>
        <v>10098.589285714286</v>
      </c>
      <c r="E23" s="721">
        <f t="shared" ca="1" si="2"/>
        <v>178537.60090220603</v>
      </c>
      <c r="F23" s="721">
        <f t="shared" si="2"/>
        <v>6927.0659462638596</v>
      </c>
      <c r="G23" s="721">
        <f t="shared" ca="1" si="2"/>
        <v>74730.704846451656</v>
      </c>
      <c r="H23" s="721">
        <f t="shared" si="2"/>
        <v>234937.53478462907</v>
      </c>
      <c r="I23" s="721">
        <f t="shared" si="2"/>
        <v>31592.18312798001</v>
      </c>
      <c r="J23" s="721">
        <f t="shared" si="2"/>
        <v>0</v>
      </c>
      <c r="K23" s="721">
        <f t="shared" si="2"/>
        <v>2404.5739192385363</v>
      </c>
      <c r="L23" s="721">
        <f t="shared" si="2"/>
        <v>0</v>
      </c>
      <c r="M23" s="721">
        <f t="shared" ca="1" si="2"/>
        <v>0</v>
      </c>
      <c r="N23" s="721">
        <f t="shared" si="2"/>
        <v>12041.684603392932</v>
      </c>
      <c r="O23" s="721">
        <f t="shared" ca="1" si="2"/>
        <v>23588.385477351221</v>
      </c>
      <c r="P23" s="721">
        <f t="shared" si="2"/>
        <v>347.06</v>
      </c>
      <c r="Q23" s="722">
        <f t="shared" si="2"/>
        <v>1410.9333333333334</v>
      </c>
      <c r="R23" s="723">
        <f ca="1">R20+R15+R22</f>
        <v>671624.47614174848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6446.2504900263884</v>
      </c>
      <c r="D36" s="704">
        <f ca="1">tertiair!C20</f>
        <v>45.572511784663689</v>
      </c>
      <c r="E36" s="704">
        <f ca="1">tertiair!D20</f>
        <v>6430.8146674388972</v>
      </c>
      <c r="F36" s="704">
        <f>tertiair!E20</f>
        <v>97.23900059508891</v>
      </c>
      <c r="G36" s="704">
        <f ca="1">tertiair!F20</f>
        <v>1599.5869930775661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14619.463662922606</v>
      </c>
    </row>
    <row r="37" spans="1:18">
      <c r="A37" s="873" t="s">
        <v>225</v>
      </c>
      <c r="B37" s="880"/>
      <c r="C37" s="704">
        <f ca="1">huishoudens!B12</f>
        <v>8188.9019389622936</v>
      </c>
      <c r="D37" s="704">
        <f ca="1">huishoudens!C12</f>
        <v>0</v>
      </c>
      <c r="E37" s="704">
        <f>huishoudens!D12</f>
        <v>15230.253898784169</v>
      </c>
      <c r="F37" s="704">
        <f>huishoudens!E12</f>
        <v>1006.7094372376803</v>
      </c>
      <c r="G37" s="704">
        <f>huishoudens!F12</f>
        <v>7200.5779619961095</v>
      </c>
      <c r="H37" s="704">
        <f>huishoudens!G12</f>
        <v>0</v>
      </c>
      <c r="I37" s="704">
        <f>huishoudens!H12</f>
        <v>0</v>
      </c>
      <c r="J37" s="704">
        <f>huishoudens!I12</f>
        <v>0</v>
      </c>
      <c r="K37" s="704">
        <f>huishoudens!J12</f>
        <v>266.43345522131807</v>
      </c>
      <c r="L37" s="704">
        <f>huishoudens!K12</f>
        <v>0</v>
      </c>
      <c r="M37" s="704">
        <f>huishoudens!L12</f>
        <v>0</v>
      </c>
      <c r="N37" s="704">
        <f>huishoudens!M12</f>
        <v>0</v>
      </c>
      <c r="O37" s="704">
        <f>huishoudens!N12</f>
        <v>0</v>
      </c>
      <c r="P37" s="704">
        <f>huishoudens!O12</f>
        <v>0</v>
      </c>
      <c r="Q37" s="814">
        <f>huishoudens!P12</f>
        <v>0</v>
      </c>
      <c r="R37" s="905">
        <f ca="1">SUM(C37:Q37)</f>
        <v>31892.876692201571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1466.0602573919953</v>
      </c>
      <c r="D39" s="704">
        <f ca="1">industrie!C22</f>
        <v>0</v>
      </c>
      <c r="E39" s="704">
        <f>industrie!D22</f>
        <v>5150.7647894873671</v>
      </c>
      <c r="F39" s="704">
        <f>industrie!E22</f>
        <v>272.7144947055582</v>
      </c>
      <c r="G39" s="704">
        <f>industrie!F22</f>
        <v>1074.6816755550876</v>
      </c>
      <c r="H39" s="704">
        <f>industrie!G22</f>
        <v>0</v>
      </c>
      <c r="I39" s="704">
        <f>industrie!H22</f>
        <v>0</v>
      </c>
      <c r="J39" s="704">
        <f>industrie!I22</f>
        <v>0</v>
      </c>
      <c r="K39" s="704">
        <f>industrie!J22</f>
        <v>2.358610032644</v>
      </c>
      <c r="L39" s="704">
        <f>industrie!K22</f>
        <v>0</v>
      </c>
      <c r="M39" s="704">
        <f>industrie!L22</f>
        <v>0</v>
      </c>
      <c r="N39" s="704">
        <f>industrie!M22</f>
        <v>0</v>
      </c>
      <c r="O39" s="704">
        <f>industrie!N22</f>
        <v>0</v>
      </c>
      <c r="P39" s="704">
        <f>industrie!O22</f>
        <v>0</v>
      </c>
      <c r="Q39" s="814">
        <f>industrie!P22</f>
        <v>0</v>
      </c>
      <c r="R39" s="906">
        <f ca="1">SUM(C39:Q39)</f>
        <v>7966.5798271726517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16101.212686380677</v>
      </c>
      <c r="D41" s="749">
        <f t="shared" ref="D41:R41" ca="1" si="4">SUM(D35:D40)</f>
        <v>45.572511784663689</v>
      </c>
      <c r="E41" s="749">
        <f t="shared" ca="1" si="4"/>
        <v>26811.833355710434</v>
      </c>
      <c r="F41" s="749">
        <f t="shared" si="4"/>
        <v>1376.6629325383274</v>
      </c>
      <c r="G41" s="749">
        <f t="shared" ca="1" si="4"/>
        <v>9874.8466306287646</v>
      </c>
      <c r="H41" s="749">
        <f t="shared" si="4"/>
        <v>0</v>
      </c>
      <c r="I41" s="749">
        <f t="shared" si="4"/>
        <v>0</v>
      </c>
      <c r="J41" s="749">
        <f t="shared" si="4"/>
        <v>0</v>
      </c>
      <c r="K41" s="749">
        <f t="shared" si="4"/>
        <v>268.79206525396205</v>
      </c>
      <c r="L41" s="749">
        <f t="shared" si="4"/>
        <v>0</v>
      </c>
      <c r="M41" s="749">
        <f t="shared" ca="1" si="4"/>
        <v>0</v>
      </c>
      <c r="N41" s="749">
        <f t="shared" si="4"/>
        <v>0</v>
      </c>
      <c r="O41" s="749">
        <f t="shared" ca="1" si="4"/>
        <v>0</v>
      </c>
      <c r="P41" s="749">
        <f t="shared" si="4"/>
        <v>0</v>
      </c>
      <c r="Q41" s="750">
        <f t="shared" si="4"/>
        <v>0</v>
      </c>
      <c r="R41" s="751">
        <f t="shared" ca="1" si="4"/>
        <v>54478.920182296832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607.12538711661273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607.12538711661273</v>
      </c>
    </row>
    <row r="45" spans="1:18" ht="15" thickBot="1">
      <c r="A45" s="876" t="s">
        <v>307</v>
      </c>
      <c r="B45" s="886"/>
      <c r="C45" s="713">
        <f ca="1">transport!B18</f>
        <v>2.4671812414098606</v>
      </c>
      <c r="D45" s="713">
        <f>transport!C18</f>
        <v>0</v>
      </c>
      <c r="E45" s="713">
        <f>transport!D18</f>
        <v>4.1434411675468459</v>
      </c>
      <c r="F45" s="713">
        <f>transport!E18</f>
        <v>164.48681898451176</v>
      </c>
      <c r="G45" s="713">
        <f>transport!F18</f>
        <v>0</v>
      </c>
      <c r="H45" s="713">
        <f>transport!G18</f>
        <v>62121.196400379347</v>
      </c>
      <c r="I45" s="713">
        <f>transport!H18</f>
        <v>7866.4535988670223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70158.74744063984</v>
      </c>
    </row>
    <row r="46" spans="1:18" ht="15.75" thickBot="1">
      <c r="A46" s="874" t="s">
        <v>230</v>
      </c>
      <c r="B46" s="887"/>
      <c r="C46" s="749">
        <f t="shared" ref="C46:R46" ca="1" si="5">SUM(C43:C45)</f>
        <v>2.4671812414098606</v>
      </c>
      <c r="D46" s="749">
        <f t="shared" ca="1" si="5"/>
        <v>0</v>
      </c>
      <c r="E46" s="749">
        <f t="shared" si="5"/>
        <v>4.1434411675468459</v>
      </c>
      <c r="F46" s="749">
        <f t="shared" si="5"/>
        <v>164.48681898451176</v>
      </c>
      <c r="G46" s="749">
        <f t="shared" si="5"/>
        <v>0</v>
      </c>
      <c r="H46" s="749">
        <f t="shared" si="5"/>
        <v>62728.321787495959</v>
      </c>
      <c r="I46" s="749">
        <f t="shared" si="5"/>
        <v>7866.4535988670223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70765.872827756451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2095.6447756972179</v>
      </c>
      <c r="D48" s="704">
        <f ca="1">+landbouw!C12</f>
        <v>2340.7434546018912</v>
      </c>
      <c r="E48" s="704">
        <f>+landbouw!D12</f>
        <v>9248.6185853676379</v>
      </c>
      <c r="F48" s="704">
        <f>+landbouw!E12</f>
        <v>31.294218279057105</v>
      </c>
      <c r="G48" s="704">
        <f>+landbouw!F12</f>
        <v>10078.251563373829</v>
      </c>
      <c r="H48" s="704">
        <f>+landbouw!G12</f>
        <v>0</v>
      </c>
      <c r="I48" s="704">
        <f>+landbouw!H12</f>
        <v>0</v>
      </c>
      <c r="J48" s="704">
        <f>+landbouw!I12</f>
        <v>0</v>
      </c>
      <c r="K48" s="704">
        <f>+landbouw!J12</f>
        <v>582.42710215647969</v>
      </c>
      <c r="L48" s="704">
        <f>+landbouw!K12</f>
        <v>0</v>
      </c>
      <c r="M48" s="704">
        <f>+landbouw!L12</f>
        <v>0</v>
      </c>
      <c r="N48" s="704">
        <f>+landbouw!M12</f>
        <v>0</v>
      </c>
      <c r="O48" s="704">
        <f>+landbouw!N12</f>
        <v>0</v>
      </c>
      <c r="P48" s="704">
        <f>+landbouw!O12</f>
        <v>0</v>
      </c>
      <c r="Q48" s="705">
        <f>+landbouw!P12</f>
        <v>0</v>
      </c>
      <c r="R48" s="747">
        <f ca="1">SUM(C48:Q48)</f>
        <v>24376.979699476113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18199.324643319305</v>
      </c>
      <c r="D53" s="759">
        <f t="shared" ref="D53:Q53" ca="1" si="6">D41+D46+D48</f>
        <v>2386.3159663865549</v>
      </c>
      <c r="E53" s="759">
        <f t="shared" ca="1" si="6"/>
        <v>36064.595382245621</v>
      </c>
      <c r="F53" s="759">
        <f t="shared" si="6"/>
        <v>1572.4439698018962</v>
      </c>
      <c r="G53" s="759">
        <f t="shared" ca="1" si="6"/>
        <v>19953.098194002596</v>
      </c>
      <c r="H53" s="759">
        <f t="shared" si="6"/>
        <v>62728.321787495959</v>
      </c>
      <c r="I53" s="759">
        <f t="shared" si="6"/>
        <v>7866.4535988670223</v>
      </c>
      <c r="J53" s="759">
        <f t="shared" si="6"/>
        <v>0</v>
      </c>
      <c r="K53" s="759">
        <f t="shared" si="6"/>
        <v>851.21916741044174</v>
      </c>
      <c r="L53" s="759">
        <f t="shared" si="6"/>
        <v>0</v>
      </c>
      <c r="M53" s="759">
        <f t="shared" ca="1" si="6"/>
        <v>0</v>
      </c>
      <c r="N53" s="759">
        <f t="shared" si="6"/>
        <v>0</v>
      </c>
      <c r="O53" s="759">
        <f t="shared" ca="1" si="6"/>
        <v>0</v>
      </c>
      <c r="P53" s="759">
        <f>P41+P46+P48</f>
        <v>0</v>
      </c>
      <c r="Q53" s="760">
        <f t="shared" si="6"/>
        <v>0</v>
      </c>
      <c r="R53" s="761">
        <f ca="1">R41+R46+R48</f>
        <v>149621.77270952938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0.19155538492236435</v>
      </c>
      <c r="D55" s="824">
        <f t="shared" ca="1" si="7"/>
        <v>0.2363019129575154</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7544.6336668460617</v>
      </c>
      <c r="C64" s="781">
        <f>'lokale energieproductie'!B4</f>
        <v>7544.6336668460617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5603.0953463111209</v>
      </c>
      <c r="C66" s="781">
        <f>'lokale energieproductie'!B6</f>
        <v>5603.0953463111209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7069.0124999999998</v>
      </c>
      <c r="C67" s="780">
        <f>B67*IFERROR(SUM(J67:L67)/SUM(D67:M67),0)</f>
        <v>40.012499999999996</v>
      </c>
      <c r="D67" s="812">
        <f>'lokale energieproductie'!C7</f>
        <v>8269.4117647058829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47.073529411764703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1670.4211764705885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20216.741513157183</v>
      </c>
      <c r="C69" s="789">
        <f>SUM(C64:C68)</f>
        <v>13187.741513157183</v>
      </c>
      <c r="D69" s="790">
        <f t="shared" ref="D69:M69" si="8">SUM(D67:D68)</f>
        <v>8269.4117647058829</v>
      </c>
      <c r="E69" s="790">
        <f t="shared" si="8"/>
        <v>0</v>
      </c>
      <c r="F69" s="790">
        <f t="shared" si="8"/>
        <v>0</v>
      </c>
      <c r="G69" s="790">
        <f t="shared" si="8"/>
        <v>0</v>
      </c>
      <c r="H69" s="790">
        <f t="shared" si="8"/>
        <v>0</v>
      </c>
      <c r="I69" s="790">
        <f t="shared" si="8"/>
        <v>0</v>
      </c>
      <c r="J69" s="790">
        <f t="shared" si="8"/>
        <v>0</v>
      </c>
      <c r="K69" s="790">
        <f t="shared" si="8"/>
        <v>47.073529411764703</v>
      </c>
      <c r="L69" s="790">
        <f t="shared" si="8"/>
        <v>0</v>
      </c>
      <c r="M69" s="918">
        <f t="shared" si="8"/>
        <v>0</v>
      </c>
      <c r="N69" s="791">
        <v>0</v>
      </c>
      <c r="O69" s="791">
        <f>SUM(O67:O68)</f>
        <v>1670.4211764705885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10098.589285714286</v>
      </c>
      <c r="C78" s="803">
        <f>B78*IFERROR(SUM(I78:L78)/SUM(D78:M78),0)</f>
        <v>57.160714285714285</v>
      </c>
      <c r="D78" s="818">
        <f>'lokale energieproductie'!C16</f>
        <v>11813.445378151262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2386.3159663865549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10098.589285714286</v>
      </c>
      <c r="C81" s="789">
        <f>SUM(C78:C80)</f>
        <v>57.160714285714285</v>
      </c>
      <c r="D81" s="789">
        <f t="shared" ref="D81:P81" si="9">SUM(D78:D80)</f>
        <v>11813.445378151262</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2386.3159663865549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42749.526160703761</v>
      </c>
      <c r="C4" s="463">
        <f>huishoudens!C8</f>
        <v>0</v>
      </c>
      <c r="D4" s="463">
        <f>huishoudens!D8</f>
        <v>75397.296528634499</v>
      </c>
      <c r="E4" s="463">
        <f>huishoudens!E8</f>
        <v>4434.8433358488119</v>
      </c>
      <c r="F4" s="463">
        <f>huishoudens!F8</f>
        <v>26968.45678650228</v>
      </c>
      <c r="G4" s="463">
        <f>huishoudens!G8</f>
        <v>0</v>
      </c>
      <c r="H4" s="463">
        <f>huishoudens!H8</f>
        <v>0</v>
      </c>
      <c r="I4" s="463">
        <f>huishoudens!I8</f>
        <v>0</v>
      </c>
      <c r="J4" s="463">
        <f>huishoudens!J8</f>
        <v>752.63687915626576</v>
      </c>
      <c r="K4" s="463">
        <f>huishoudens!K8</f>
        <v>0</v>
      </c>
      <c r="L4" s="463">
        <f>huishoudens!L8</f>
        <v>0</v>
      </c>
      <c r="M4" s="463">
        <f>huishoudens!M8</f>
        <v>0</v>
      </c>
      <c r="N4" s="463">
        <f>huishoudens!N8</f>
        <v>19648.797500144061</v>
      </c>
      <c r="O4" s="463">
        <f>huishoudens!O8</f>
        <v>345.49666666666667</v>
      </c>
      <c r="P4" s="464">
        <f>huishoudens!P8</f>
        <v>1391.8666666666668</v>
      </c>
      <c r="Q4" s="465">
        <f>SUM(B4:P4)</f>
        <v>171688.92052432301</v>
      </c>
    </row>
    <row r="5" spans="1:17">
      <c r="A5" s="462" t="s">
        <v>156</v>
      </c>
      <c r="B5" s="463">
        <f ca="1">tertiair!B16</f>
        <v>31909.588704060759</v>
      </c>
      <c r="C5" s="463">
        <f ca="1">tertiair!C16</f>
        <v>192.85714285714286</v>
      </c>
      <c r="D5" s="463">
        <f ca="1">tertiair!D16</f>
        <v>31835.716175440084</v>
      </c>
      <c r="E5" s="463">
        <f>tertiair!E16</f>
        <v>428.36564138805687</v>
      </c>
      <c r="F5" s="463">
        <f ca="1">tertiair!F16</f>
        <v>5990.9625208897605</v>
      </c>
      <c r="G5" s="463">
        <f>tertiair!G16</f>
        <v>0</v>
      </c>
      <c r="H5" s="463">
        <f>tertiair!H16</f>
        <v>0</v>
      </c>
      <c r="I5" s="463">
        <f>tertiair!I16</f>
        <v>0</v>
      </c>
      <c r="J5" s="463">
        <f>tertiair!J16</f>
        <v>0</v>
      </c>
      <c r="K5" s="463">
        <f>tertiair!K16</f>
        <v>0</v>
      </c>
      <c r="L5" s="463">
        <f ca="1">tertiair!L16</f>
        <v>0</v>
      </c>
      <c r="M5" s="463">
        <f>tertiair!M16</f>
        <v>0</v>
      </c>
      <c r="N5" s="463">
        <f ca="1">tertiair!N16</f>
        <v>1790.0801768675478</v>
      </c>
      <c r="O5" s="463">
        <f>tertiair!O16</f>
        <v>1.5633333333333335</v>
      </c>
      <c r="P5" s="464">
        <f>tertiair!P16</f>
        <v>19.066666666666666</v>
      </c>
      <c r="Q5" s="462">
        <f t="shared" ref="Q5:Q13" ca="1" si="0">SUM(B5:P5)</f>
        <v>72168.200361503346</v>
      </c>
    </row>
    <row r="6" spans="1:17">
      <c r="A6" s="462" t="s">
        <v>194</v>
      </c>
      <c r="B6" s="463">
        <f>'openbare verlichting'!B8</f>
        <v>1742.5609999999999</v>
      </c>
      <c r="C6" s="463"/>
      <c r="D6" s="463"/>
      <c r="E6" s="463"/>
      <c r="F6" s="463"/>
      <c r="G6" s="463"/>
      <c r="H6" s="463"/>
      <c r="I6" s="463"/>
      <c r="J6" s="463"/>
      <c r="K6" s="463"/>
      <c r="L6" s="463"/>
      <c r="M6" s="463"/>
      <c r="N6" s="463"/>
      <c r="O6" s="463"/>
      <c r="P6" s="464"/>
      <c r="Q6" s="462">
        <f t="shared" si="0"/>
        <v>1742.5609999999999</v>
      </c>
    </row>
    <row r="7" spans="1:17">
      <c r="A7" s="462" t="s">
        <v>112</v>
      </c>
      <c r="B7" s="463">
        <f>landbouw!B8</f>
        <v>10940.150685644068</v>
      </c>
      <c r="C7" s="463">
        <f>landbouw!C8</f>
        <v>9905.7321428571431</v>
      </c>
      <c r="D7" s="463">
        <f>landbouw!D8</f>
        <v>45785.240521621963</v>
      </c>
      <c r="E7" s="463">
        <f>landbouw!E8</f>
        <v>137.85999241875376</v>
      </c>
      <c r="F7" s="463">
        <f>landbouw!F8</f>
        <v>37746.260536980633</v>
      </c>
      <c r="G7" s="463">
        <f>landbouw!G8</f>
        <v>0</v>
      </c>
      <c r="H7" s="463">
        <f>landbouw!H8</f>
        <v>0</v>
      </c>
      <c r="I7" s="463">
        <f>landbouw!I8</f>
        <v>0</v>
      </c>
      <c r="J7" s="463">
        <f>landbouw!J8</f>
        <v>1645.2742998770614</v>
      </c>
      <c r="K7" s="463">
        <f>landbouw!K8</f>
        <v>0</v>
      </c>
      <c r="L7" s="463">
        <f>landbouw!L8</f>
        <v>0</v>
      </c>
      <c r="M7" s="463">
        <f>landbouw!M8</f>
        <v>0</v>
      </c>
      <c r="N7" s="463">
        <f>landbouw!N8</f>
        <v>0</v>
      </c>
      <c r="O7" s="463">
        <f>landbouw!O8</f>
        <v>0</v>
      </c>
      <c r="P7" s="464">
        <f>landbouw!P8</f>
        <v>0</v>
      </c>
      <c r="Q7" s="462">
        <f t="shared" si="0"/>
        <v>106160.51817939963</v>
      </c>
    </row>
    <row r="8" spans="1:17">
      <c r="A8" s="462" t="s">
        <v>657</v>
      </c>
      <c r="B8" s="463">
        <f>industrie!B18</f>
        <v>7653.4536368485597</v>
      </c>
      <c r="C8" s="463">
        <f>industrie!C18</f>
        <v>0</v>
      </c>
      <c r="D8" s="463">
        <f>industrie!D18</f>
        <v>25498.835591521616</v>
      </c>
      <c r="E8" s="463">
        <f>industrie!E18</f>
        <v>1201.3854392315338</v>
      </c>
      <c r="F8" s="463">
        <f>industrie!F18</f>
        <v>4025.0250020789799</v>
      </c>
      <c r="G8" s="463">
        <f>industrie!G18</f>
        <v>0</v>
      </c>
      <c r="H8" s="463">
        <f>industrie!H18</f>
        <v>0</v>
      </c>
      <c r="I8" s="463">
        <f>industrie!I18</f>
        <v>0</v>
      </c>
      <c r="J8" s="463">
        <f>industrie!J18</f>
        <v>6.6627402052090394</v>
      </c>
      <c r="K8" s="463">
        <f>industrie!K18</f>
        <v>0</v>
      </c>
      <c r="L8" s="463">
        <f>industrie!L18</f>
        <v>0</v>
      </c>
      <c r="M8" s="463">
        <f>industrie!M18</f>
        <v>0</v>
      </c>
      <c r="N8" s="463">
        <f>industrie!N18</f>
        <v>2149.5078003396134</v>
      </c>
      <c r="O8" s="463">
        <f>industrie!O18</f>
        <v>0</v>
      </c>
      <c r="P8" s="464">
        <f>industrie!P18</f>
        <v>0</v>
      </c>
      <c r="Q8" s="462">
        <f t="shared" si="0"/>
        <v>40534.870210225512</v>
      </c>
    </row>
    <row r="9" spans="1:17" s="468" customFormat="1">
      <c r="A9" s="466" t="s">
        <v>574</v>
      </c>
      <c r="B9" s="467">
        <f>transport!B14</f>
        <v>12.879727930435298</v>
      </c>
      <c r="C9" s="467"/>
      <c r="D9" s="467">
        <f>transport!D14</f>
        <v>20.512084987855673</v>
      </c>
      <c r="E9" s="467">
        <f>transport!E14</f>
        <v>724.61153737670372</v>
      </c>
      <c r="F9" s="467"/>
      <c r="G9" s="467">
        <f>transport!G14</f>
        <v>232663.65693025972</v>
      </c>
      <c r="H9" s="467">
        <f>transport!H14</f>
        <v>31592.18312798001</v>
      </c>
      <c r="I9" s="467"/>
      <c r="J9" s="467"/>
      <c r="K9" s="467"/>
      <c r="L9" s="467"/>
      <c r="M9" s="467">
        <f>transport!M14</f>
        <v>11940.559693494042</v>
      </c>
      <c r="N9" s="467"/>
      <c r="O9" s="467"/>
      <c r="P9" s="467"/>
      <c r="Q9" s="466">
        <f>SUM(B9:P9)</f>
        <v>276954.40310202877</v>
      </c>
    </row>
    <row r="10" spans="1:17">
      <c r="A10" s="462" t="s">
        <v>564</v>
      </c>
      <c r="B10" s="463">
        <f>transport!B54</f>
        <v>0</v>
      </c>
      <c r="C10" s="463"/>
      <c r="D10" s="463">
        <f>transport!D54</f>
        <v>0</v>
      </c>
      <c r="E10" s="463"/>
      <c r="F10" s="463"/>
      <c r="G10" s="463">
        <f>transport!G54</f>
        <v>2273.8778543693361</v>
      </c>
      <c r="H10" s="463"/>
      <c r="I10" s="463"/>
      <c r="J10" s="463"/>
      <c r="K10" s="463"/>
      <c r="L10" s="463"/>
      <c r="M10" s="463">
        <f>transport!M54</f>
        <v>101.12490989889085</v>
      </c>
      <c r="N10" s="463"/>
      <c r="O10" s="463"/>
      <c r="P10" s="464"/>
      <c r="Q10" s="462">
        <f t="shared" si="0"/>
        <v>2375.0027642682271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95008.159915187585</v>
      </c>
      <c r="C14" s="473">
        <f t="shared" ref="C14:Q14" ca="1" si="1">SUM(C4:C13)</f>
        <v>10098.589285714286</v>
      </c>
      <c r="D14" s="473">
        <f t="shared" ca="1" si="1"/>
        <v>178537.60090220603</v>
      </c>
      <c r="E14" s="473">
        <f t="shared" si="1"/>
        <v>6927.0659462638605</v>
      </c>
      <c r="F14" s="473">
        <f t="shared" ca="1" si="1"/>
        <v>74730.704846451656</v>
      </c>
      <c r="G14" s="473">
        <f t="shared" si="1"/>
        <v>234937.53478462907</v>
      </c>
      <c r="H14" s="473">
        <f t="shared" si="1"/>
        <v>31592.18312798001</v>
      </c>
      <c r="I14" s="473">
        <f t="shared" si="1"/>
        <v>0</v>
      </c>
      <c r="J14" s="473">
        <f t="shared" si="1"/>
        <v>2404.5739192385363</v>
      </c>
      <c r="K14" s="473">
        <f t="shared" si="1"/>
        <v>0</v>
      </c>
      <c r="L14" s="473">
        <f t="shared" ca="1" si="1"/>
        <v>0</v>
      </c>
      <c r="M14" s="473">
        <f t="shared" si="1"/>
        <v>12041.684603392932</v>
      </c>
      <c r="N14" s="473">
        <f t="shared" ca="1" si="1"/>
        <v>23588.385477351221</v>
      </c>
      <c r="O14" s="473">
        <f t="shared" si="1"/>
        <v>347.06</v>
      </c>
      <c r="P14" s="474">
        <f t="shared" si="1"/>
        <v>1410.9333333333334</v>
      </c>
      <c r="Q14" s="474">
        <f t="shared" ca="1" si="1"/>
        <v>671624.47614174837</v>
      </c>
    </row>
    <row r="16" spans="1:17">
      <c r="A16" s="476" t="s">
        <v>569</v>
      </c>
      <c r="B16" s="829">
        <f ca="1">huishoudens!B10</f>
        <v>0.19155538492236435</v>
      </c>
      <c r="C16" s="829">
        <f ca="1">huishoudens!C10</f>
        <v>0.2363019129575154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8188.9019389622936</v>
      </c>
      <c r="C21" s="463">
        <f t="shared" ref="C21:C28" ca="1" si="3">C4*$C$16</f>
        <v>0</v>
      </c>
      <c r="D21" s="463">
        <f t="shared" ref="D21:D30" si="4">D4*$D$16</f>
        <v>15230.253898784169</v>
      </c>
      <c r="E21" s="463">
        <f t="shared" ref="E21:E30" si="5">E4*$E$16</f>
        <v>1006.7094372376803</v>
      </c>
      <c r="F21" s="463">
        <f t="shared" ref="F21:F28" si="6">F4*$F$16</f>
        <v>7200.5779619961095</v>
      </c>
      <c r="G21" s="463">
        <f t="shared" ref="G21:G30" si="7">G4*$G$16</f>
        <v>0</v>
      </c>
      <c r="H21" s="463">
        <f t="shared" ref="H21:H30" si="8">H4*$H$16</f>
        <v>0</v>
      </c>
      <c r="I21" s="463">
        <f t="shared" ref="I21:I28" si="9">I4*$I$16</f>
        <v>0</v>
      </c>
      <c r="J21" s="463">
        <f t="shared" ref="J21:J28" si="10">J4*$J$16</f>
        <v>266.43345522131807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31892.876692201571</v>
      </c>
    </row>
    <row r="22" spans="1:17">
      <c r="A22" s="462" t="s">
        <v>156</v>
      </c>
      <c r="B22" s="463">
        <f t="shared" ca="1" si="2"/>
        <v>6112.4535469206885</v>
      </c>
      <c r="C22" s="463">
        <f t="shared" ca="1" si="3"/>
        <v>45.572511784663689</v>
      </c>
      <c r="D22" s="463">
        <f t="shared" ca="1" si="4"/>
        <v>6430.8146674388972</v>
      </c>
      <c r="E22" s="463">
        <f t="shared" si="5"/>
        <v>97.23900059508891</v>
      </c>
      <c r="F22" s="463">
        <f t="shared" ca="1" si="6"/>
        <v>1599.5869930775661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14285.666719816905</v>
      </c>
    </row>
    <row r="23" spans="1:17">
      <c r="A23" s="462" t="s">
        <v>194</v>
      </c>
      <c r="B23" s="463">
        <f t="shared" ca="1" si="2"/>
        <v>333.79694310570011</v>
      </c>
      <c r="C23" s="463"/>
      <c r="D23" s="463"/>
      <c r="E23" s="463"/>
      <c r="F23" s="463"/>
      <c r="G23" s="463"/>
      <c r="H23" s="463"/>
      <c r="I23" s="463"/>
      <c r="J23" s="463"/>
      <c r="K23" s="463"/>
      <c r="L23" s="463"/>
      <c r="M23" s="463"/>
      <c r="N23" s="463"/>
      <c r="O23" s="463"/>
      <c r="P23" s="464"/>
      <c r="Q23" s="462">
        <f t="shared" ca="1" si="17"/>
        <v>333.79694310570011</v>
      </c>
    </row>
    <row r="24" spans="1:17">
      <c r="A24" s="462" t="s">
        <v>112</v>
      </c>
      <c r="B24" s="463">
        <f t="shared" ca="1" si="2"/>
        <v>2095.6447756972179</v>
      </c>
      <c r="C24" s="463">
        <f t="shared" ca="1" si="3"/>
        <v>2340.7434546018912</v>
      </c>
      <c r="D24" s="463">
        <f t="shared" si="4"/>
        <v>9248.6185853676379</v>
      </c>
      <c r="E24" s="463">
        <f t="shared" si="5"/>
        <v>31.294218279057105</v>
      </c>
      <c r="F24" s="463">
        <f t="shared" si="6"/>
        <v>10078.251563373829</v>
      </c>
      <c r="G24" s="463">
        <f t="shared" si="7"/>
        <v>0</v>
      </c>
      <c r="H24" s="463">
        <f t="shared" si="8"/>
        <v>0</v>
      </c>
      <c r="I24" s="463">
        <f t="shared" si="9"/>
        <v>0</v>
      </c>
      <c r="J24" s="463">
        <f t="shared" si="10"/>
        <v>582.42710215647969</v>
      </c>
      <c r="K24" s="463">
        <f t="shared" si="11"/>
        <v>0</v>
      </c>
      <c r="L24" s="463">
        <f t="shared" si="12"/>
        <v>0</v>
      </c>
      <c r="M24" s="463">
        <f t="shared" si="13"/>
        <v>0</v>
      </c>
      <c r="N24" s="463">
        <f t="shared" si="14"/>
        <v>0</v>
      </c>
      <c r="O24" s="463">
        <f t="shared" si="15"/>
        <v>0</v>
      </c>
      <c r="P24" s="464">
        <f t="shared" si="16"/>
        <v>0</v>
      </c>
      <c r="Q24" s="462">
        <f t="shared" ca="1" si="17"/>
        <v>24376.979699476113</v>
      </c>
    </row>
    <row r="25" spans="1:17">
      <c r="A25" s="462" t="s">
        <v>657</v>
      </c>
      <c r="B25" s="463">
        <f t="shared" ca="1" si="2"/>
        <v>1466.0602573919953</v>
      </c>
      <c r="C25" s="463">
        <f t="shared" ca="1" si="3"/>
        <v>0</v>
      </c>
      <c r="D25" s="463">
        <f t="shared" si="4"/>
        <v>5150.7647894873671</v>
      </c>
      <c r="E25" s="463">
        <f t="shared" si="5"/>
        <v>272.7144947055582</v>
      </c>
      <c r="F25" s="463">
        <f t="shared" si="6"/>
        <v>1074.6816755550876</v>
      </c>
      <c r="G25" s="463">
        <f t="shared" si="7"/>
        <v>0</v>
      </c>
      <c r="H25" s="463">
        <f t="shared" si="8"/>
        <v>0</v>
      </c>
      <c r="I25" s="463">
        <f t="shared" si="9"/>
        <v>0</v>
      </c>
      <c r="J25" s="463">
        <f t="shared" si="10"/>
        <v>2.358610032644</v>
      </c>
      <c r="K25" s="463">
        <f t="shared" si="11"/>
        <v>0</v>
      </c>
      <c r="L25" s="463">
        <f t="shared" si="12"/>
        <v>0</v>
      </c>
      <c r="M25" s="463">
        <f t="shared" si="13"/>
        <v>0</v>
      </c>
      <c r="N25" s="463">
        <f t="shared" si="14"/>
        <v>0</v>
      </c>
      <c r="O25" s="463">
        <f t="shared" si="15"/>
        <v>0</v>
      </c>
      <c r="P25" s="464">
        <f t="shared" si="16"/>
        <v>0</v>
      </c>
      <c r="Q25" s="462">
        <f t="shared" ca="1" si="17"/>
        <v>7966.5798271726517</v>
      </c>
    </row>
    <row r="26" spans="1:17" s="468" customFormat="1">
      <c r="A26" s="466" t="s">
        <v>574</v>
      </c>
      <c r="B26" s="823">
        <f t="shared" ca="1" si="2"/>
        <v>2.4671812414098606</v>
      </c>
      <c r="C26" s="467"/>
      <c r="D26" s="467">
        <f t="shared" si="4"/>
        <v>4.1434411675468459</v>
      </c>
      <c r="E26" s="467">
        <f t="shared" si="5"/>
        <v>164.48681898451176</v>
      </c>
      <c r="F26" s="467"/>
      <c r="G26" s="467">
        <f t="shared" si="7"/>
        <v>62121.196400379347</v>
      </c>
      <c r="H26" s="467">
        <f t="shared" si="8"/>
        <v>7866.4535988670223</v>
      </c>
      <c r="I26" s="467"/>
      <c r="J26" s="467"/>
      <c r="K26" s="467"/>
      <c r="L26" s="467"/>
      <c r="M26" s="467">
        <f t="shared" si="13"/>
        <v>0</v>
      </c>
      <c r="N26" s="467"/>
      <c r="O26" s="467"/>
      <c r="P26" s="478"/>
      <c r="Q26" s="466">
        <f t="shared" ca="1" si="17"/>
        <v>70158.74744063984</v>
      </c>
    </row>
    <row r="27" spans="1:17">
      <c r="A27" s="462" t="s">
        <v>564</v>
      </c>
      <c r="B27" s="463">
        <f t="shared" ca="1" si="2"/>
        <v>0</v>
      </c>
      <c r="C27" s="463"/>
      <c r="D27" s="467">
        <f t="shared" si="4"/>
        <v>0</v>
      </c>
      <c r="E27" s="463"/>
      <c r="F27" s="463"/>
      <c r="G27" s="463">
        <f t="shared" si="7"/>
        <v>607.12538711661273</v>
      </c>
      <c r="H27" s="463"/>
      <c r="I27" s="463"/>
      <c r="J27" s="463"/>
      <c r="K27" s="463"/>
      <c r="L27" s="463"/>
      <c r="M27" s="463">
        <f t="shared" si="13"/>
        <v>0</v>
      </c>
      <c r="N27" s="463"/>
      <c r="O27" s="463"/>
      <c r="P27" s="464"/>
      <c r="Q27" s="462">
        <f t="shared" ca="1" si="17"/>
        <v>607.12538711661273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18199.324643319305</v>
      </c>
      <c r="C31" s="473">
        <f t="shared" ca="1" si="18"/>
        <v>2386.3159663865549</v>
      </c>
      <c r="D31" s="473">
        <f t="shared" ca="1" si="18"/>
        <v>36064.595382245614</v>
      </c>
      <c r="E31" s="473">
        <f t="shared" si="18"/>
        <v>1572.4439698018962</v>
      </c>
      <c r="F31" s="473">
        <f t="shared" ca="1" si="18"/>
        <v>19953.098194002592</v>
      </c>
      <c r="G31" s="473">
        <f t="shared" si="18"/>
        <v>62728.321787495959</v>
      </c>
      <c r="H31" s="473">
        <f t="shared" si="18"/>
        <v>7866.4535988670223</v>
      </c>
      <c r="I31" s="473">
        <f t="shared" si="18"/>
        <v>0</v>
      </c>
      <c r="J31" s="473">
        <f t="shared" si="18"/>
        <v>851.21916741044174</v>
      </c>
      <c r="K31" s="473">
        <f t="shared" si="18"/>
        <v>0</v>
      </c>
      <c r="L31" s="473">
        <f t="shared" ca="1" si="18"/>
        <v>0</v>
      </c>
      <c r="M31" s="473">
        <f t="shared" si="18"/>
        <v>0</v>
      </c>
      <c r="N31" s="473">
        <f t="shared" ca="1" si="18"/>
        <v>0</v>
      </c>
      <c r="O31" s="473">
        <f t="shared" si="18"/>
        <v>0</v>
      </c>
      <c r="P31" s="474">
        <f t="shared" si="18"/>
        <v>0</v>
      </c>
      <c r="Q31" s="474">
        <f t="shared" ca="1" si="18"/>
        <v>149621.77270952941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0.19155538492236435</v>
      </c>
      <c r="C17" s="513">
        <f ca="1">'EF ele_warmte'!B22</f>
        <v>0.2363019129575154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0.19155538492236435</v>
      </c>
      <c r="C17" s="513">
        <f ca="1">'EF ele_warmte'!B22</f>
        <v>0.2363019129575154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0.19155538492236435</v>
      </c>
      <c r="C29" s="514">
        <f ca="1">'EF ele_warmte'!B22</f>
        <v>0.2363019129575154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2019-01-02T18:05:02Z</dcterms:modified>
</cp:coreProperties>
</file>