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<sst xmlns="http://schemas.openxmlformats.org/spreadsheetml/2006/main" count="2196" uniqueCount="902">
  <si>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</si>
  <si>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</si>
  <si>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</si>
  <si>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</si>
  <si>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</si>
  <si>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</si>
  <si>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</si>
  <si>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</si>
  <si>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</si>
  <si>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</si>
  <si>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</si>
  <si>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</si>
  <si>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</si>
  <si>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</si>
  <si>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</si>
  <si>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</si>
  <si>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</si>
  <si>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</si>
  <si>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</si>
  <si>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</si>
  <si>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</si>
  <si>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</si>
  <si>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</si>
  <si>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</si>
  <si>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</si>
  <si>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</si>
  <si>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</si>
  <si>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</si>
  <si>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</si>
  <si>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</si>
  <si>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</si>
  <si>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</si>
  <si>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</si>
  <si>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</si>
  <si>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</si>
  <si>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</si>
  <si>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</si>
  <si>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</si>
  <si>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</si>
  <si>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</si>
  <si>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</si>
  <si>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</si>
  <si>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</si>
  <si>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</si>
  <si>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</si>
  <si>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</si>
  <si>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</si>
  <si>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</si>
  <si>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</si>
  <si>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</si>
  <si>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</si>
  <si>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</si>
  <si>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</si>
  <si>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</si>
  <si>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</si>
  <si>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</si>
  <si>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</si>
  <si>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</si>
  <si>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</si>
  <si>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</si>
  <si>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</si>
  <si>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</si>
  <si>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</si>
  <si>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</si>
  <si>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</si>
  <si>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</si>
  <si>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</si>
  <si>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</si>
  <si>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</si>
  <si>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</si>
  <si>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</si>
  <si>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</si>
  <si>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</si>
  <si>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</si>
  <si>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</si>
  <si>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</si>
  <si>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</si>
  <si>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</si>
  <si>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</si>
  <si>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</si>
  <si>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</si>
  <si>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</si>
  <si>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</si>
  <si>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</si>
  <si>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</si>
  <si>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</si>
  <si>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</si>
  <si>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</si>
  <si>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</si>
  <si>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</si>
  <si>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</si>
  <si>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</si>
  <si>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</si>
  <si>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</si>
  <si>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</si>
  <si>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</si>
  <si>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</si>
  <si>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</si>
  <si>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</si>
  <si>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</si>
  <si>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</si>
  <si>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</si>
  <si>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</si>
  <si>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</si>
  <si>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</si>
  <si>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</si>
  <si>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</si>
  <si>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</si>
  <si>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</si>
  <si>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</si>
  <si>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</si>
  <si>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</si>
  <si>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</si>
  <si>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</si>
  <si>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</si>
  <si>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</si>
  <si>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</si>
  <si>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</si>
  <si>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</si>
  <si>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</si>
  <si>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</si>
  <si>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</si>
  <si>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</si>
  <si>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</si>
  <si>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</si>
  <si>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</si>
  <si>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</si>
  <si>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</si>
  <si>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</si>
  <si>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</si>
  <si>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</si>
  <si>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</si>
  <si>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</si>
  <si>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</si>
  <si>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</si>
  <si>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</si>
  <si>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</si>
  <si>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</si>
  <si>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</si>
  <si>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</si>
  <si>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</si>
  <si>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</si>
  <si>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</si>
  <si>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</si>
  <si>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</si>
  <si>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</si>
  <si>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</si>
  <si>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</si>
  <si>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</si>
  <si>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</si>
  <si>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</si>
  <si>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</si>
  <si>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</si>
  <si>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</si>
  <si>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</si>
  <si>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</si>
  <si>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</si>
  <si>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</si>
  <si>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</si>
  <si>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</si>
  <si>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</si>
  <si>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</si>
  <si>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</si>
  <si>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</si>
  <si>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</si>
  <si>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</si>
  <si>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</si>
  <si>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</si>
  <si>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</si>
  <si>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</si>
  <si>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</si>
  <si>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</si>
  <si>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</si>
  <si>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</si>
  <si>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</si>
  <si>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</si>
  <si>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</si>
  <si>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</si>
  <si>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</si>
  <si>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</si>
  <si>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</si>
  <si>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</si>
  <si>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</si>
  <si>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</si>
  <si>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</si>
  <si>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</si>
  <si>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</si>
  <si>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</si>
  <si>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</si>
  <si>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</si>
  <si>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</si>
  <si>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</si>
  <si>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</si>
  <si>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</si>
  <si>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</si>
  <si>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</si>
  <si>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</si>
  <si>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</si>
  <si>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</si>
  <si>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</si>
  <si>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</si>
  <si>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</si>
  <si>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</si>
  <si>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</si>
  <si>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</si>
  <si>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</si>
  <si>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</si>
  <si>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</si>
  <si>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</si>
  <si>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</si>
  <si>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</si>
  <si>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</si>
  <si>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</si>
  <si>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</si>
  <si>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</si>
  <si>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</si>
  <si>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</si>
  <si>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</si>
  <si>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</si>
  <si>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</si>
  <si>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</si>
  <si>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</si>
  <si>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</si>
  <si>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</si>
  <si>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</si>
  <si>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</si>
  <si>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</si>
  <si>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</si>
  <si>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</si>
  <si>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</si>
  <si>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</si>
  <si>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</si>
  <si>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</si>
  <si>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</si>
  <si>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</si>
  <si>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</si>
  <si>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</si>
  <si>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</si>
  <si>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</si>
  <si>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</si>
  <si>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</si>
  <si>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</si>
  <si>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</si>
  <si>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</si>
  <si>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</si>
  <si>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</si>
  <si>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</si>
  <si>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</si>
  <si>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</si>
  <si>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</si>
  <si>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</si>
  <si>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</si>
  <si>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</si>
  <si>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</si>
  <si>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</si>
  <si>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</si>
  <si>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</si>
  <si>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</si>
  <si>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</si>
  <si>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</si>
  <si>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</si>
  <si>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</si>
  <si>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</si>
  <si>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</si>
  <si>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</si>
  <si>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</si>
  <si>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</si>
  <si>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</si>
  <si>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</si>
  <si>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</si>
  <si>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</si>
  <si>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</si>
  <si>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</si>
  <si>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</si>
  <si>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</si>
  <si>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</si>
  <si>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</si>
  <si>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</si>
  <si>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</si>
  <si>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</si>
  <si>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</si>
  <si>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</si>
  <si>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</si>
  <si>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</si>
  <si>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</si>
  <si>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</si>
  <si>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</si>
  <si>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</si>
  <si>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</si>
  <si>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</si>
  <si>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</si>
  <si>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</si>
  <si>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</si>
  <si>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</si>
  <si>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</si>
  <si>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</si>
  <si>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</si>
  <si>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</si>
  <si>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</si>
  <si>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</si>
  <si>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</si>
  <si>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</si>
  <si>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</si>
  <si>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</si>
  <si>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</si>
  <si>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</si>
  <si>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</si>
  <si>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</si>
  <si>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</si>
  <si>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</si>
  <si>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</si>
  <si>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</si>
  <si>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</si>
  <si>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</si>
  <si>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</si>
  <si>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</si>
  <si>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</si>
  <si>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</si>
  <si>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</si>
  <si>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</si>
  <si>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</si>
  <si>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</si>
  <si>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</si>
  <si>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</si>
  <si>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</si>
  <si>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</si>
  <si>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</si>
  <si>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</si>
  <si>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</si>
  <si>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</si>
  <si>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</si>
  <si>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</si>
  <si>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</si>
  <si>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</si>
  <si>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</si>
  <si>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</si>
  <si>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</si>
  <si>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</si>
  <si>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</si>
  <si>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</si>
  <si>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</si>
  <si>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</si>
  <si>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</si>
  <si>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</si>
  <si>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</si>
  <si>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</si>
  <si>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</si>
  <si>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</si>
  <si>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</si>
  <si>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</si>
  <si>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</si>
  <si>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</si>
  <si>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</si>
  <si>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</si>
  <si>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</si>
  <si>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</si>
  <si>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</si>
  <si>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</si>
  <si>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</si>
  <si>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</si>
  <si>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</si>
  <si>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</si>
  <si>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</si>
  <si>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</si>
  <si>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</si>
  <si>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</si>
  <si>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</si>
  <si>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</si>
  <si>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</si>
  <si>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</si>
  <si>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</si>
  <si>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</si>
  <si>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</si>
  <si>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</si>
  <si>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</si>
  <si>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</si>
  <si>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</si>
  <si>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</si>
  <si>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</si>
  <si>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</si>
  <si>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</si>
  <si>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</si>
  <si>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</si>
  <si>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</si>
  <si>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</si>
  <si>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</si>
  <si>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</si>
  <si>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</si>
  <si>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</si>
  <si>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</si>
  <si>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</si>
  <si>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</si>
  <si>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</si>
  <si>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</si>
  <si>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</si>
  <si>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</si>
  <si>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</si>
  <si>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</si>
  <si>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</si>
  <si>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</si>
  <si>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</si>
  <si>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</si>
  <si>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</si>
  <si>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</si>
  <si>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</si>
  <si>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</si>
  <si>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</si>
  <si>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</si>
  <si>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</si>
  <si>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</si>
  <si>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</si>
  <si>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</si>
  <si>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</si>
  <si>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</si>
  <si>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</si>
  <si>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</si>
  <si>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</si>
  <si>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</si>
  <si>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</si>
  <si>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</si>
  <si>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</si>
  <si>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</si>
  <si>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</si>
  <si>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</si>
  <si>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</si>
  <si>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</si>
  <si>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</si>
  <si>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</si>
  <si>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</si>
  <si>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</si>
  <si>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</si>
  <si>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</si>
  <si>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</si>
  <si>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</si>
  <si>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</si>
  <si>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</si>
  <si>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</si>
  <si>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</si>
  <si>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</si>
  <si>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</si>
  <si>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</si>
  <si>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</si>
  <si>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</si>
  <si>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</si>
  <si>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</si>
  <si>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</si>
  <si>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</si>
  <si>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</si>
  <si>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</si>
  <si>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</si>
  <si>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</si>
  <si>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</si>
  <si>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</si>
  <si>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</si>
  <si>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</si>
  <si>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</si>
  <si>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</si>
  <si>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</si>
  <si>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</si>
  <si>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</si>
  <si>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</si>
  <si>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</si>
  <si>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</si>
  <si>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</si>
  <si>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</si>
  <si>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</si>
  <si>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</si>
  <si>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</si>
  <si>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</si>
  <si>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</si>
  <si>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</si>
  <si>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</si>
  <si>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</si>
  <si>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</si>
  <si>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</si>
  <si>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</si>
  <si>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</si>
  <si>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</si>
  <si>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</si>
  <si>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</si>
  <si>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</si>
  <si>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</si>
  <si>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</si>
  <si>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</si>
  <si>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</si>
  <si>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</si>
  <si>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</si>
  <si>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</si>
  <si>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</si>
  <si>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</si>
  <si>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</si>
  <si>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</si>
  <si>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</si>
  <si>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</si>
  <si>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</si>
  <si>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</si>
  <si>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</si>
  <si>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</si>
  <si>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</si>
  <si>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</si>
  <si>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</si>
  <si>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</si>
  <si>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</si>
  <si>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</si>
  <si>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</si>
  <si>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</si>
  <si>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</si>
  <si>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</si>
  <si>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</si>
  <si>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</si>
  <si>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</si>
  <si>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</si>
  <si>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</si>
  <si>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</si>
  <si>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</si>
  <si>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</si>
  <si>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</si>
  <si>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</si>
  <si>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</si>
  <si>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</si>
  <si>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</si>
  <si>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</si>
  <si>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</si>
  <si>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</si>
  <si>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</si>
  <si>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</si>
  <si>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</si>
  <si>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</si>
  <si>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</si>
  <si>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</si>
  <si>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</si>
  <si>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</si>
  <si>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</si>
  <si>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</si>
  <si>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</si>
  <si>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</si>
  <si>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</si>
  <si>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</si>
  <si>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</si>
  <si>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</si>
  <si>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</si>
  <si>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</si>
  <si>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</si>
  <si>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</si>
  <si>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</si>
  <si>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</si>
  <si>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</si>
  <si>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</si>
  <si>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</si>
  <si>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</si>
  <si>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</si>
  <si>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</si>
  <si>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</si>
  <si>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</si>
  <si>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</si>
  <si>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</si>
  <si>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</si>
  <si>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</si>
  <si>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</si>
  <si>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</si>
  <si>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</si>
  <si>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</si>
  <si>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</si>
  <si>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</si>
  <si>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</si>
  <si>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</si>
  <si>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</si>
  <si>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</si>
  <si>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</si>
  <si>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</si>
  <si>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</si>
  <si>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</si>
  <si>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</si>
  <si>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</si>
  <si>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</si>
  <si>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</si>
  <si>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</si>
  <si>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</si>
  <si>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</si>
  <si>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</si>
  <si>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</si>
  <si>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</si>
  <si>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</si>
  <si>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</si>
  <si>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</si>
  <si>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</si>
  <si>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</si>
  <si>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</si>
  <si>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</si>
  <si>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</si>
  <si>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</si>
  <si>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</si>
  <si>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</si>
  <si>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</si>
  <si>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</si>
  <si>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</si>
  <si>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</si>
  <si>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</si>
  <si>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</si>
  <si>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</si>
  <si>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</si>
  <si>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</si>
  <si>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</si>
  <si>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</si>
  <si>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</si>
  <si>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</si>
  <si>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</si>
  <si>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</si>
  <si>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</si>
  <si>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</si>
  <si>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</si>
  <si>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</si>
  <si>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</si>
  <si>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</si>
  <si>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</si>
  <si>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</si>
  <si>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</si>
  <si>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</si>
  <si>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</si>
  <si>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</si>
  <si>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</si>
  <si>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</si>
  <si>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</si>
  <si>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</si>
  <si>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</si>
  <si>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</si>
  <si>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</si>
  <si>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</si>
  <si>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</si>
  <si>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</si>
  <si>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</si>
  <si>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</si>
  <si>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</si>
  <si>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</si>
  <si>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</si>
  <si>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</si>
  <si>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</si>
  <si>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</si>
  <si>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</si>
  <si>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</si>
  <si>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</si>
  <si>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</si>
  <si>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</si>
  <si>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</si>
  <si>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</si>
  <si>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</si>
  <si>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</si>
  <si>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</si>
  <si>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</si>
  <si>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</si>
  <si>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</si>
  <si>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</si>
  <si>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</si>
  <si>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</si>
  <si>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</si>
  <si>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</si>
  <si>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</si>
  <si>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</si>
  <si>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</si>
  <si>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</si>
  <si>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</si>
  <si>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</si>
  <si>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</si>
  <si>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</si>
  <si>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</si>
  <si>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</si>
  <si>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</si>
  <si>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</si>
  <si>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</si>
  <si>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</si>
  <si>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</si>
  <si>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</si>
  <si>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</si>
  <si>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</si>
  <si>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</si>
  <si>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</si>
  <si>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</si>
  <si>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</si>
  <si>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</si>
  <si>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</si>
  <si>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</si>
  <si>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</si>
  <si>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</si>
  <si>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</si>
  <si>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</si>
  <si>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</si>
  <si>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</si>
  <si>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</si>
  <si>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</si>
  <si>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</si>
  <si>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</si>
  <si>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</si>
  <si>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</si>
  <si>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</si>
  <si>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</si>
  <si>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</si>
  <si>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</si>
  <si>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</si>
  <si>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</si>
  <si>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</si>
  <si>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</si>
  <si>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</si>
  <si>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</si>
  <si>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</si>
  <si>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</si>
  <si>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</si>
  <si>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</si>
  <si>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</si>
  <si>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</si>
  <si>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</si>
  <si>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</si>
  <si>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</si>
  <si>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</si>
  <si>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</si>
  <si>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</si>
  <si>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</si>
  <si>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</si>
  <si>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</si>
  <si>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</si>
  <si>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</si>
  <si>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</si>
  <si>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</si>
  <si>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</si>
  <si>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</si>
  <si>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</si>
  <si>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</si>
  <si>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</si>
  <si>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</si>
  <si>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</si>
  <si>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</si>
  <si>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</si>
  <si>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</si>
  <si>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</si>
  <si>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</si>
  <si>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</si>
  <si>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</si>
  <si>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</si>
  <si>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</si>
  <si>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</si>
  <si>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</si>
  <si>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</si>
  <si>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</si>
  <si>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</si>
  <si>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</si>
  <si>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</si>
  <si>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</si>
  <si>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</si>
  <si>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</si>
  <si>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</si>
  <si>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</si>
  <si>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</si>
  <si>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</si>
  <si>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</si>
  <si>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</si>
  <si>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</si>
  <si>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</si>
  <si>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</si>
  <si>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</si>
  <si>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</si>
  <si>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</si>
  <si>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</si>
  <si>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</si>
  <si>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</si>
  <si>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</si>
  <si>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</si>
  <si>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</si>
  <si>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</si>
  <si>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</si>
  <si>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</si>
  <si>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</si>
  <si>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</si>
  <si>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</si>
  <si>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</si>
  <si>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</si>
  <si>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</si>
  <si>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</si>
  <si>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</si>
  <si>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</si>
  <si>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</si>
  <si>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</si>
  <si>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</si>
  <si>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</si>
  <si>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</si>
  <si>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</si>
  <si>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</si>
  <si>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</si>
  <si>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</si>
  <si>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</si>
  <si>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</si>
  <si>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</si>
  <si>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</si>
  <si>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</si>
  <si>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</si>
  <si>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</si>
  <si>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</si>
  <si>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</si>
  <si>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</si>
  <si>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</si>
  <si>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</si>
  <si>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</si>
  <si>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</si>
  <si>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</si>
  <si>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</si>
  <si>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</si>
  <si>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</si>
  <si>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</si>
  <si>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</si>
  <si>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</si>
  <si>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</si>
  <si>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</si>
  <si>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</si>
  <si>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</si>
  <si>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</si>
  <si>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</si>
  <si>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</si>
  <si>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</si>
  <si>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</si>
  <si>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</si>
  <si>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</si>
  <si>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</si>
  <si>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</si>
  <si>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</si>
  <si>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</si>
  <si>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</si>
  <si>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</si>
  <si>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</si>
  <si>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</si>
  <si>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</si>
  <si>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</si>
  <si>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</si>
  <si>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</si>
  <si>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</si>
  <si>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</si>
  <si>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</si>
  <si>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</si>
  <si>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</si>
  <si>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</si>
  <si>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</si>
  <si>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</si>
  <si>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</si>
  <si>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</si>
  <si>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</si>
  <si>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</si>
  <si>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</si>
  <si>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</si>
  <si>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</si>
  <si>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</si>
  <si>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</si>
  <si>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</si>
  <si>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</si>
  <si>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</si>
  <si>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</si>
  <si>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</si>
  <si>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</si>
  <si>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</si>
  <si>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</si>
  <si>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</si>
  <si>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</si>
  <si>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</si>
  <si>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</si>
  <si>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</si>
  <si>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</si>
  <si>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</si>
  <si>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</si>
  <si>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</si>
  <si>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</si>
  <si>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</si>
  <si>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</si>
  <si>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</si>
  <si>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</si>
  <si>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</si>
  <si>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44021</t>
  </si>
  <si>
    <t>GENT</t>
  </si>
  <si>
    <t>Cultuurgrond (ha)</t>
  </si>
  <si>
    <t>Paarden&amp;pony's 200 - 600 kg</t>
  </si>
  <si>
    <t>Paarden&amp;pony's &lt; 200 kg</t>
  </si>
  <si>
    <t>op basis van VEA (maart 2018) en Inventaris Hernieuwbare Energiebronnen (juni 2018)</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</si>
  <si>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</si>
  <si>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</si>
  <si>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</si>
  <si>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</si>
  <si>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</si>
  <si>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</si>
  <si>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</si>
  <si>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</si>
  <si>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</si>
  <si>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</si>
  <si>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</si>
  <si>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WKK interne verbrandinsgmotor (gas)</t>
  </si>
  <si>
    <t>Cediex - Trans EBVBA</t>
  </si>
  <si>
    <t>Moutstraat 34 , 9000 Gent</t>
  </si>
  <si>
    <t>WKK-0397 Cediex-Trans</t>
  </si>
  <si>
    <t>S&amp;R Gent nv</t>
  </si>
  <si>
    <t>Victor Braeckmanlaan 180 , 9040 Sint-Amandsberg</t>
  </si>
  <si>
    <t>WKK-0417 SR Gent</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</si>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</sst>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1751007.7619939391</c:v>
                </c:pt>
                <c:pt idx="1">
                  <c:v>1763850.2427891204</c:v>
                </c:pt>
                <c:pt idx="2">
                  <c:v>14614.142</c:v>
                </c:pt>
                <c:pt idx="3">
                  <c:v>109159.62374824808</c:v>
                </c:pt>
                <c:pt idx="4">
                  <c:v>979318.94917538832</c:v>
                </c:pt>
                <c:pt idx="5">
                  <c:v>2115826.587696861</c:v>
                </c:pt>
                <c:pt idx="6">
                  <c:v>48363.54044648257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1321088"/>
        <c:axId val="181331072"/>
      </c:barChart>
      <c:catAx>
        <c:axId val="181321088"/>
        <c:scaling>
          <c:orientation val="minMax"/>
        </c:scaling>
        <c:axPos val="b"/>
        <c:numFmt formatCode="General" sourceLinked="0"/>
        <c:tickLblPos val="nextTo"/>
        <c:crossAx val="181331072"/>
        <c:crosses val="autoZero"/>
        <c:auto val="1"/>
        <c:lblAlgn val="ctr"/>
        <c:lblOffset val="100"/>
      </c:catAx>
      <c:valAx>
        <c:axId val="181331072"/>
        <c:scaling>
          <c:orientation val="minMax"/>
        </c:scaling>
        <c:axPos val="l"/>
        <c:majorGridlines/>
        <c:numFmt formatCode="#,##0" sourceLinked="1"/>
        <c:tickLblPos val="nextTo"/>
        <c:crossAx val="181321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1751007.7619939391</c:v>
                </c:pt>
                <c:pt idx="1">
                  <c:v>1763850.2427891204</c:v>
                </c:pt>
                <c:pt idx="2">
                  <c:v>14614.142</c:v>
                </c:pt>
                <c:pt idx="3">
                  <c:v>109159.62374824808</c:v>
                </c:pt>
                <c:pt idx="4">
                  <c:v>979318.94917538832</c:v>
                </c:pt>
                <c:pt idx="5">
                  <c:v>2115826.587696861</c:v>
                </c:pt>
                <c:pt idx="6">
                  <c:v>48363.54044648257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332381.74831332936</c:v>
                </c:pt>
                <c:pt idx="1">
                  <c:v>357934.71933739656</c:v>
                </c:pt>
                <c:pt idx="2">
                  <c:v>2925.1677067550795</c:v>
                </c:pt>
                <c:pt idx="3">
                  <c:v>22795.509832904623</c:v>
                </c:pt>
                <c:pt idx="4">
                  <c:v>188318.9570784535</c:v>
                </c:pt>
                <c:pt idx="5">
                  <c:v>535422.74742473732</c:v>
                </c:pt>
                <c:pt idx="6">
                  <c:v>11852.887568942999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582080"/>
        <c:axId val="181641216"/>
      </c:barChart>
      <c:catAx>
        <c:axId val="181582080"/>
        <c:scaling>
          <c:orientation val="minMax"/>
        </c:scaling>
        <c:axPos val="b"/>
        <c:numFmt formatCode="General" sourceLinked="0"/>
        <c:tickLblPos val="nextTo"/>
        <c:crossAx val="181641216"/>
        <c:crosses val="autoZero"/>
        <c:auto val="1"/>
        <c:lblAlgn val="ctr"/>
        <c:lblOffset val="100"/>
      </c:catAx>
      <c:valAx>
        <c:axId val="181641216"/>
        <c:scaling>
          <c:orientation val="minMax"/>
        </c:scaling>
        <c:axPos val="l"/>
        <c:majorGridlines/>
        <c:numFmt formatCode="#,##0" sourceLinked="1"/>
        <c:tickLblPos val="nextTo"/>
        <c:crossAx val="1815820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332381.74831332936</c:v>
                </c:pt>
                <c:pt idx="1">
                  <c:v>357934.71933739656</c:v>
                </c:pt>
                <c:pt idx="2">
                  <c:v>2925.1677067550795</c:v>
                </c:pt>
                <c:pt idx="3">
                  <c:v>22795.509832904623</c:v>
                </c:pt>
                <c:pt idx="4">
                  <c:v>188318.9570784535</c:v>
                </c:pt>
                <c:pt idx="5">
                  <c:v>535422.74742473732</c:v>
                </c:pt>
                <c:pt idx="6">
                  <c:v>11852.887568942999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44021</v>
      </c>
      <c r="B6" s="398"/>
      <c r="C6" s="399"/>
    </row>
    <row r="7" spans="1:7" s="396" customFormat="1" ht="15.75" customHeight="1">
      <c r="A7" s="400" t="str">
        <f>txtMunicipality</f>
        <v>GENT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44021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116518</v>
      </c>
      <c r="C9" s="338">
        <v>123757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3153</v>
      </c>
    </row>
    <row r="15" spans="1:6">
      <c r="A15" s="1269" t="s">
        <v>184</v>
      </c>
      <c r="B15" s="335">
        <v>38</v>
      </c>
    </row>
    <row r="16" spans="1:6">
      <c r="A16" s="1269" t="s">
        <v>6</v>
      </c>
      <c r="B16" s="335">
        <v>1331</v>
      </c>
    </row>
    <row r="17" spans="1:6">
      <c r="A17" s="1269" t="s">
        <v>7</v>
      </c>
      <c r="B17" s="335">
        <v>853</v>
      </c>
    </row>
    <row r="18" spans="1:6">
      <c r="A18" s="1269" t="s">
        <v>8</v>
      </c>
      <c r="B18" s="335">
        <v>1351</v>
      </c>
    </row>
    <row r="19" spans="1:6">
      <c r="A19" s="1269" t="s">
        <v>9</v>
      </c>
      <c r="B19" s="335">
        <v>1250</v>
      </c>
    </row>
    <row r="20" spans="1:6">
      <c r="A20" s="1269" t="s">
        <v>10</v>
      </c>
      <c r="B20" s="335">
        <v>966</v>
      </c>
    </row>
    <row r="21" spans="1:6">
      <c r="A21" s="1269" t="s">
        <v>11</v>
      </c>
      <c r="B21" s="335">
        <v>1904</v>
      </c>
    </row>
    <row r="22" spans="1:6">
      <c r="A22" s="1269" t="s">
        <v>12</v>
      </c>
      <c r="B22" s="335">
        <v>3846</v>
      </c>
    </row>
    <row r="23" spans="1:6">
      <c r="A23" s="1269" t="s">
        <v>13</v>
      </c>
      <c r="B23" s="335">
        <v>23</v>
      </c>
    </row>
    <row r="24" spans="1:6">
      <c r="A24" s="1269" t="s">
        <v>14</v>
      </c>
      <c r="B24" s="335">
        <v>7</v>
      </c>
    </row>
    <row r="25" spans="1:6">
      <c r="A25" s="1269" t="s">
        <v>15</v>
      </c>
      <c r="B25" s="335">
        <v>606</v>
      </c>
    </row>
    <row r="26" spans="1:6">
      <c r="A26" s="1269" t="s">
        <v>16</v>
      </c>
      <c r="B26" s="335">
        <v>382</v>
      </c>
    </row>
    <row r="27" spans="1:6">
      <c r="A27" s="1269" t="s">
        <v>17</v>
      </c>
      <c r="B27" s="335">
        <v>3</v>
      </c>
    </row>
    <row r="28" spans="1:6" s="341" customFormat="1">
      <c r="A28" s="1270" t="s">
        <v>18</v>
      </c>
      <c r="B28" s="1270">
        <v>3</v>
      </c>
    </row>
    <row r="29" spans="1:6">
      <c r="A29" s="1270" t="s">
        <v>874</v>
      </c>
      <c r="B29" s="1270">
        <v>494</v>
      </c>
      <c r="C29" s="341"/>
      <c r="D29" s="341"/>
      <c r="E29" s="341"/>
      <c r="F29" s="341"/>
    </row>
    <row r="30" spans="1:6">
      <c r="A30" s="1265" t="s">
        <v>875</v>
      </c>
      <c r="B30" s="1265">
        <v>73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10</v>
      </c>
      <c r="F35" s="335">
        <v>115783.359688678</v>
      </c>
    </row>
    <row r="36" spans="1:6">
      <c r="A36" s="1269" t="s">
        <v>25</v>
      </c>
      <c r="B36" s="1269" t="s">
        <v>27</v>
      </c>
      <c r="C36" s="335">
        <v>36</v>
      </c>
      <c r="D36" s="335">
        <v>1769989.52508911</v>
      </c>
      <c r="E36" s="335">
        <v>99</v>
      </c>
      <c r="F36" s="335">
        <v>6293472.6057255603</v>
      </c>
    </row>
    <row r="37" spans="1:6">
      <c r="A37" s="1269" t="s">
        <v>25</v>
      </c>
      <c r="B37" s="1269" t="s">
        <v>28</v>
      </c>
      <c r="C37" s="335">
        <v>0</v>
      </c>
      <c r="D37" s="335">
        <v>0</v>
      </c>
      <c r="E37" s="335">
        <v>0</v>
      </c>
      <c r="F37" s="335">
        <v>0</v>
      </c>
    </row>
    <row r="38" spans="1:6">
      <c r="A38" s="1269" t="s">
        <v>25</v>
      </c>
      <c r="B38" s="1269" t="s">
        <v>29</v>
      </c>
      <c r="C38" s="335">
        <v>8</v>
      </c>
      <c r="D38" s="335">
        <v>186580.53070517301</v>
      </c>
      <c r="E38" s="335">
        <v>21</v>
      </c>
      <c r="F38" s="335">
        <v>1251145.40622778</v>
      </c>
    </row>
    <row r="39" spans="1:6">
      <c r="A39" s="1269" t="s">
        <v>30</v>
      </c>
      <c r="B39" s="1269" t="s">
        <v>31</v>
      </c>
      <c r="C39" s="335">
        <v>86268</v>
      </c>
      <c r="D39" s="335">
        <v>1361674882.748524</v>
      </c>
      <c r="E39" s="335">
        <v>115138</v>
      </c>
      <c r="F39" s="335">
        <v>375345503.58448952</v>
      </c>
    </row>
    <row r="40" spans="1:6">
      <c r="A40" s="1269" t="s">
        <v>30</v>
      </c>
      <c r="B40" s="1269" t="s">
        <v>29</v>
      </c>
      <c r="C40" s="335">
        <v>3</v>
      </c>
      <c r="D40" s="335">
        <v>251153.36446871</v>
      </c>
      <c r="E40" s="335">
        <v>3</v>
      </c>
      <c r="F40" s="335">
        <v>13029.2489568</v>
      </c>
    </row>
    <row r="41" spans="1:6">
      <c r="A41" s="1269" t="s">
        <v>32</v>
      </c>
      <c r="B41" s="1269" t="s">
        <v>33</v>
      </c>
      <c r="C41" s="335">
        <v>891</v>
      </c>
      <c r="D41" s="335">
        <v>73348180.082651898</v>
      </c>
      <c r="E41" s="335">
        <v>1636</v>
      </c>
      <c r="F41" s="335">
        <v>37999802.967372797</v>
      </c>
    </row>
    <row r="42" spans="1:6">
      <c r="A42" s="1269" t="s">
        <v>32</v>
      </c>
      <c r="B42" s="1269" t="s">
        <v>34</v>
      </c>
      <c r="C42" s="335">
        <v>6</v>
      </c>
      <c r="D42" s="335">
        <v>6110082.7243416402</v>
      </c>
      <c r="E42" s="335">
        <v>17</v>
      </c>
      <c r="F42" s="335">
        <v>39138518.124988802</v>
      </c>
    </row>
    <row r="43" spans="1:6">
      <c r="A43" s="1269" t="s">
        <v>32</v>
      </c>
      <c r="B43" s="1269" t="s">
        <v>35</v>
      </c>
      <c r="C43" s="335">
        <v>0</v>
      </c>
      <c r="D43" s="335">
        <v>0</v>
      </c>
      <c r="E43" s="335">
        <v>0</v>
      </c>
      <c r="F43" s="335">
        <v>0</v>
      </c>
    </row>
    <row r="44" spans="1:6">
      <c r="A44" s="1269" t="s">
        <v>32</v>
      </c>
      <c r="B44" s="1269" t="s">
        <v>36</v>
      </c>
      <c r="C44" s="335">
        <v>62</v>
      </c>
      <c r="D44" s="335">
        <v>29814766.268429</v>
      </c>
      <c r="E44" s="335">
        <v>160</v>
      </c>
      <c r="F44" s="335">
        <v>31354449.407478001</v>
      </c>
    </row>
    <row r="45" spans="1:6">
      <c r="A45" s="1269" t="s">
        <v>32</v>
      </c>
      <c r="B45" s="1269" t="s">
        <v>37</v>
      </c>
      <c r="C45" s="335">
        <v>3</v>
      </c>
      <c r="D45" s="335">
        <v>195948.81196101799</v>
      </c>
      <c r="E45" s="335">
        <v>33</v>
      </c>
      <c r="F45" s="335">
        <v>78836678.193114206</v>
      </c>
    </row>
    <row r="46" spans="1:6">
      <c r="A46" s="1269" t="s">
        <v>32</v>
      </c>
      <c r="B46" s="1269" t="s">
        <v>38</v>
      </c>
      <c r="C46" s="335">
        <v>0</v>
      </c>
      <c r="D46" s="335">
        <v>0</v>
      </c>
      <c r="E46" s="335">
        <v>0</v>
      </c>
      <c r="F46" s="335">
        <v>0</v>
      </c>
    </row>
    <row r="47" spans="1:6">
      <c r="A47" s="1269" t="s">
        <v>32</v>
      </c>
      <c r="B47" s="1269" t="s">
        <v>39</v>
      </c>
      <c r="C47" s="335">
        <v>77</v>
      </c>
      <c r="D47" s="335">
        <v>2453563.3068096898</v>
      </c>
      <c r="E47" s="335">
        <v>118</v>
      </c>
      <c r="F47" s="335">
        <v>13306049.4173385</v>
      </c>
    </row>
    <row r="48" spans="1:6">
      <c r="A48" s="1269" t="s">
        <v>32</v>
      </c>
      <c r="B48" s="1269" t="s">
        <v>29</v>
      </c>
      <c r="C48" s="335">
        <v>274</v>
      </c>
      <c r="D48" s="335">
        <v>241186096.06824499</v>
      </c>
      <c r="E48" s="335">
        <v>346</v>
      </c>
      <c r="F48" s="335">
        <v>165485056.07067701</v>
      </c>
    </row>
    <row r="49" spans="1:6">
      <c r="A49" s="1269" t="s">
        <v>32</v>
      </c>
      <c r="B49" s="1269" t="s">
        <v>40</v>
      </c>
      <c r="C49" s="335">
        <v>19</v>
      </c>
      <c r="D49" s="335">
        <v>540798.39835464302</v>
      </c>
      <c r="E49" s="335">
        <v>25</v>
      </c>
      <c r="F49" s="335">
        <v>348959.992402801</v>
      </c>
    </row>
    <row r="50" spans="1:6">
      <c r="A50" s="1269" t="s">
        <v>32</v>
      </c>
      <c r="B50" s="1269" t="s">
        <v>41</v>
      </c>
      <c r="C50" s="335">
        <v>151</v>
      </c>
      <c r="D50" s="335">
        <v>29816316.6629689</v>
      </c>
      <c r="E50" s="335">
        <v>217</v>
      </c>
      <c r="F50" s="335">
        <v>17805521.938684899</v>
      </c>
    </row>
    <row r="51" spans="1:6">
      <c r="A51" s="1269" t="s">
        <v>42</v>
      </c>
      <c r="B51" s="1269" t="s">
        <v>43</v>
      </c>
      <c r="C51" s="335">
        <v>67</v>
      </c>
      <c r="D51" s="335">
        <v>4003608.0224129101</v>
      </c>
      <c r="E51" s="335">
        <v>227</v>
      </c>
      <c r="F51" s="335">
        <v>2550152.40283312</v>
      </c>
    </row>
    <row r="52" spans="1:6">
      <c r="A52" s="1269" t="s">
        <v>42</v>
      </c>
      <c r="B52" s="1269" t="s">
        <v>29</v>
      </c>
      <c r="C52" s="335">
        <v>30</v>
      </c>
      <c r="D52" s="335">
        <v>2996905.5274578501</v>
      </c>
      <c r="E52" s="335">
        <v>53</v>
      </c>
      <c r="F52" s="335">
        <v>484311.938360981</v>
      </c>
    </row>
    <row r="53" spans="1:6">
      <c r="A53" s="1269" t="s">
        <v>44</v>
      </c>
      <c r="B53" s="1269" t="s">
        <v>45</v>
      </c>
      <c r="C53" s="335">
        <v>3478</v>
      </c>
      <c r="D53" s="335">
        <v>98499386.837011695</v>
      </c>
      <c r="E53" s="335">
        <v>5857</v>
      </c>
      <c r="F53" s="335">
        <v>27365906.761385001</v>
      </c>
    </row>
    <row r="54" spans="1:6">
      <c r="A54" s="1269" t="s">
        <v>46</v>
      </c>
      <c r="B54" s="1269" t="s">
        <v>47</v>
      </c>
      <c r="C54" s="335">
        <v>0</v>
      </c>
      <c r="D54" s="335">
        <v>0</v>
      </c>
      <c r="E54" s="335">
        <v>12</v>
      </c>
      <c r="F54" s="335">
        <v>14614142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892</v>
      </c>
      <c r="D57" s="335">
        <v>52487746.474877901</v>
      </c>
      <c r="E57" s="335">
        <v>1336</v>
      </c>
      <c r="F57" s="335">
        <v>43728600.753462002</v>
      </c>
    </row>
    <row r="58" spans="1:6">
      <c r="A58" s="1269" t="s">
        <v>49</v>
      </c>
      <c r="B58" s="1269" t="s">
        <v>51</v>
      </c>
      <c r="C58" s="335">
        <v>663</v>
      </c>
      <c r="D58" s="335">
        <v>111781913.077445</v>
      </c>
      <c r="E58" s="335">
        <v>1026</v>
      </c>
      <c r="F58" s="335">
        <v>64011031.851442397</v>
      </c>
    </row>
    <row r="59" spans="1:6">
      <c r="A59" s="1269" t="s">
        <v>49</v>
      </c>
      <c r="B59" s="1269" t="s">
        <v>52</v>
      </c>
      <c r="C59" s="335">
        <v>2028</v>
      </c>
      <c r="D59" s="335">
        <v>93719793.105707794</v>
      </c>
      <c r="E59" s="335">
        <v>3553</v>
      </c>
      <c r="F59" s="335">
        <v>159588054.449597</v>
      </c>
    </row>
    <row r="60" spans="1:6">
      <c r="A60" s="1269" t="s">
        <v>49</v>
      </c>
      <c r="B60" s="1269" t="s">
        <v>53</v>
      </c>
      <c r="C60" s="335">
        <v>1314</v>
      </c>
      <c r="D60" s="335">
        <v>99697299.242592007</v>
      </c>
      <c r="E60" s="335">
        <v>1643</v>
      </c>
      <c r="F60" s="335">
        <v>56938645.9270989</v>
      </c>
    </row>
    <row r="61" spans="1:6">
      <c r="A61" s="1269" t="s">
        <v>49</v>
      </c>
      <c r="B61" s="1269" t="s">
        <v>54</v>
      </c>
      <c r="C61" s="335">
        <v>4875</v>
      </c>
      <c r="D61" s="335">
        <v>378976345.52146</v>
      </c>
      <c r="E61" s="335">
        <v>8940</v>
      </c>
      <c r="F61" s="335">
        <v>194826174.67273799</v>
      </c>
    </row>
    <row r="62" spans="1:6">
      <c r="A62" s="1269" t="s">
        <v>49</v>
      </c>
      <c r="B62" s="1269" t="s">
        <v>55</v>
      </c>
      <c r="C62" s="335">
        <v>483</v>
      </c>
      <c r="D62" s="335">
        <v>141222929.44539699</v>
      </c>
      <c r="E62" s="335">
        <v>830</v>
      </c>
      <c r="F62" s="335">
        <v>90918294.695144206</v>
      </c>
    </row>
    <row r="63" spans="1:6">
      <c r="A63" s="1269" t="s">
        <v>49</v>
      </c>
      <c r="B63" s="1269" t="s">
        <v>29</v>
      </c>
      <c r="C63" s="335">
        <v>830</v>
      </c>
      <c r="D63" s="335">
        <v>112591979.17916501</v>
      </c>
      <c r="E63" s="335">
        <v>897</v>
      </c>
      <c r="F63" s="335">
        <v>74498696.950933501</v>
      </c>
    </row>
    <row r="64" spans="1:6">
      <c r="A64" s="1269" t="s">
        <v>56</v>
      </c>
      <c r="B64" s="1269" t="s">
        <v>57</v>
      </c>
      <c r="C64" s="335">
        <v>0</v>
      </c>
      <c r="D64" s="335">
        <v>0</v>
      </c>
      <c r="E64" s="335">
        <v>0</v>
      </c>
      <c r="F64" s="335">
        <v>0</v>
      </c>
    </row>
    <row r="65" spans="1:6">
      <c r="A65" s="1269" t="s">
        <v>56</v>
      </c>
      <c r="B65" s="1269" t="s">
        <v>29</v>
      </c>
      <c r="C65" s="335">
        <v>13</v>
      </c>
      <c r="D65" s="335">
        <v>524834.77394000697</v>
      </c>
      <c r="E65" s="335">
        <v>24</v>
      </c>
      <c r="F65" s="335">
        <v>1094967.9019653001</v>
      </c>
    </row>
    <row r="66" spans="1:6">
      <c r="A66" s="1269" t="s">
        <v>56</v>
      </c>
      <c r="B66" s="1269" t="s">
        <v>58</v>
      </c>
      <c r="C66" s="335">
        <v>0</v>
      </c>
      <c r="D66" s="335">
        <v>0</v>
      </c>
      <c r="E66" s="335">
        <v>6</v>
      </c>
      <c r="F66" s="335">
        <v>28533.862206077301</v>
      </c>
    </row>
    <row r="67" spans="1:6">
      <c r="A67" s="1270" t="s">
        <v>56</v>
      </c>
      <c r="B67" s="1270" t="s">
        <v>59</v>
      </c>
      <c r="C67" s="335">
        <v>0</v>
      </c>
      <c r="D67" s="335">
        <v>0</v>
      </c>
      <c r="E67" s="335">
        <v>0</v>
      </c>
      <c r="F67" s="335">
        <v>0</v>
      </c>
    </row>
    <row r="68" spans="1:6">
      <c r="A68" s="1265" t="s">
        <v>56</v>
      </c>
      <c r="B68" s="1265" t="s">
        <v>60</v>
      </c>
      <c r="C68" s="335">
        <v>30</v>
      </c>
      <c r="D68" s="335">
        <v>1502938.60133279</v>
      </c>
      <c r="E68" s="335">
        <v>65</v>
      </c>
      <c r="F68" s="335">
        <v>2279073.09372454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599576061</v>
      </c>
      <c r="E73" s="335">
        <v>578079962.54652369</v>
      </c>
    </row>
    <row r="74" spans="1:6">
      <c r="A74" s="1269" t="s">
        <v>64</v>
      </c>
      <c r="B74" s="1269" t="s">
        <v>727</v>
      </c>
      <c r="C74" s="1269" t="s">
        <v>728</v>
      </c>
      <c r="D74" s="335">
        <v>88264413.49243848</v>
      </c>
      <c r="E74" s="335">
        <v>83805662.525545672</v>
      </c>
    </row>
    <row r="75" spans="1:6">
      <c r="A75" s="1269" t="s">
        <v>65</v>
      </c>
      <c r="B75" s="1269" t="s">
        <v>725</v>
      </c>
      <c r="C75" s="1269" t="s">
        <v>729</v>
      </c>
      <c r="D75" s="335">
        <v>378480412</v>
      </c>
      <c r="E75" s="335">
        <v>354211076.14638919</v>
      </c>
    </row>
    <row r="76" spans="1:6">
      <c r="A76" s="1269" t="s">
        <v>65</v>
      </c>
      <c r="B76" s="1269" t="s">
        <v>727</v>
      </c>
      <c r="C76" s="1269" t="s">
        <v>730</v>
      </c>
      <c r="D76" s="335">
        <v>31037256.49243848</v>
      </c>
      <c r="E76" s="335">
        <v>24505526.076054547</v>
      </c>
    </row>
    <row r="77" spans="1:6">
      <c r="A77" s="1269" t="s">
        <v>66</v>
      </c>
      <c r="B77" s="1269" t="s">
        <v>725</v>
      </c>
      <c r="C77" s="1269" t="s">
        <v>731</v>
      </c>
      <c r="D77" s="335">
        <v>981972199</v>
      </c>
      <c r="E77" s="335">
        <v>1033815157.3914365</v>
      </c>
    </row>
    <row r="78" spans="1:6">
      <c r="A78" s="1265" t="s">
        <v>66</v>
      </c>
      <c r="B78" s="1265" t="s">
        <v>727</v>
      </c>
      <c r="C78" s="1265" t="s">
        <v>732</v>
      </c>
      <c r="D78" s="1265">
        <v>154995943</v>
      </c>
      <c r="E78" s="1265">
        <v>165350484.5809049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10346457.015123038</v>
      </c>
      <c r="C83" s="335">
        <v>10325487.105371019</v>
      </c>
    </row>
    <row r="84" spans="1:6">
      <c r="A84" s="1265" t="s">
        <v>337</v>
      </c>
      <c r="B84" s="338">
        <v>2610018.5804313007</v>
      </c>
      <c r="C84" s="338">
        <v>2624738.0339463553</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83819.039884106867</v>
      </c>
    </row>
    <row r="91" spans="1:6">
      <c r="A91" s="1269" t="s">
        <v>68</v>
      </c>
      <c r="B91" s="335">
        <v>16464.259656503935</v>
      </c>
    </row>
    <row r="92" spans="1:6">
      <c r="A92" s="1265" t="s">
        <v>69</v>
      </c>
      <c r="B92" s="338">
        <v>32911.416994952298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62627</v>
      </c>
    </row>
    <row r="98" spans="1:6">
      <c r="A98" s="1269" t="s">
        <v>72</v>
      </c>
      <c r="B98" s="335">
        <v>127</v>
      </c>
    </row>
    <row r="99" spans="1:6">
      <c r="A99" s="1269" t="s">
        <v>73</v>
      </c>
      <c r="B99" s="335">
        <v>385</v>
      </c>
    </row>
    <row r="100" spans="1:6">
      <c r="A100" s="1269" t="s">
        <v>74</v>
      </c>
      <c r="B100" s="335">
        <v>8623</v>
      </c>
    </row>
    <row r="101" spans="1:6">
      <c r="A101" s="1269" t="s">
        <v>75</v>
      </c>
      <c r="B101" s="335">
        <v>396</v>
      </c>
    </row>
    <row r="102" spans="1:6">
      <c r="A102" s="1269" t="s">
        <v>76</v>
      </c>
      <c r="B102" s="335">
        <v>4616</v>
      </c>
    </row>
    <row r="103" spans="1:6">
      <c r="A103" s="1269" t="s">
        <v>77</v>
      </c>
      <c r="B103" s="335">
        <v>1823</v>
      </c>
    </row>
    <row r="104" spans="1:6">
      <c r="A104" s="1269" t="s">
        <v>78</v>
      </c>
      <c r="B104" s="335">
        <v>21695</v>
      </c>
    </row>
    <row r="105" spans="1:6">
      <c r="A105" s="1265" t="s">
        <v>79</v>
      </c>
      <c r="B105" s="1265">
        <v>311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1</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229</v>
      </c>
      <c r="C123" s="335">
        <v>215</v>
      </c>
    </row>
    <row r="124" spans="1:6">
      <c r="A124" s="1265" t="s">
        <v>89</v>
      </c>
      <c r="B124" s="335">
        <v>4</v>
      </c>
      <c r="C124" s="335">
        <v>4</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721</v>
      </c>
    </row>
    <row r="130" spans="1:6">
      <c r="A130" s="1269" t="s">
        <v>295</v>
      </c>
      <c r="B130" s="335">
        <v>16</v>
      </c>
    </row>
    <row r="131" spans="1:6">
      <c r="A131" s="1269" t="s">
        <v>296</v>
      </c>
      <c r="B131" s="335">
        <v>14</v>
      </c>
    </row>
    <row r="132" spans="1:6">
      <c r="A132" s="1265" t="s">
        <v>297</v>
      </c>
      <c r="B132" s="338">
        <v>32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1499699.7750393897</v>
      </c>
      <c r="C3" s="43" t="s">
        <v>170</v>
      </c>
      <c r="D3" s="43"/>
      <c r="E3" s="156"/>
      <c r="F3" s="43"/>
      <c r="G3" s="43"/>
      <c r="H3" s="43"/>
      <c r="I3" s="43"/>
      <c r="J3" s="43"/>
      <c r="K3" s="96"/>
    </row>
    <row r="4" spans="1:11">
      <c r="A4" s="366" t="s">
        <v>171</v>
      </c>
      <c r="B4" s="49">
        <f>IF(ISERROR('SEAP template'!B69),0,'SEAP template'!B69)</f>
        <v>145331.21653556312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864.56268117002901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0.20016007144005304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982.28553311568544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11677.5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8.4117793458846971E-2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14614.142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14614.142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0.20016007144005304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2925.1677067550795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375358.53283344634</v>
      </c>
      <c r="C5" s="17">
        <f>IF(ISERROR('Eigen informatie GS &amp; warmtenet'!B57),0,'Eigen informatie GS &amp; warmtenet'!B57)</f>
        <v>0</v>
      </c>
      <c r="D5" s="30">
        <f>(SUM(HH_hh_gas_kWh,HH_rest_gas_kWh)/1000)*0.902</f>
        <v>1228457.2845739196</v>
      </c>
      <c r="E5" s="17">
        <f>B46*B57</f>
        <v>25577.527280916682</v>
      </c>
      <c r="F5" s="17">
        <f>B51*B62</f>
        <v>0</v>
      </c>
      <c r="G5" s="18"/>
      <c r="H5" s="17"/>
      <c r="I5" s="17"/>
      <c r="J5" s="17">
        <f>B50*B61+C50*C61</f>
        <v>0</v>
      </c>
      <c r="K5" s="17"/>
      <c r="L5" s="17"/>
      <c r="M5" s="17"/>
      <c r="N5" s="17">
        <f>B48*B59+C48*C59</f>
        <v>98627.957649152231</v>
      </c>
      <c r="O5" s="17">
        <f>B69*B70*B71</f>
        <v>1469.5333333333333</v>
      </c>
      <c r="P5" s="17">
        <f>B77*B78*B79/1000-B77*B78*B79/1000/B80</f>
        <v>5052.666666666667</v>
      </c>
    </row>
    <row r="6" spans="1:16">
      <c r="A6" s="16" t="s">
        <v>634</v>
      </c>
      <c r="B6" s="831">
        <f>kWh_PV_kleiner_dan_10kW</f>
        <v>16464.259656503935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391822.79248995025</v>
      </c>
      <c r="C8" s="21">
        <f>C5</f>
        <v>0</v>
      </c>
      <c r="D8" s="21">
        <f>D5</f>
        <v>1228457.2845739196</v>
      </c>
      <c r="E8" s="21">
        <f>E5</f>
        <v>25577.527280916682</v>
      </c>
      <c r="F8" s="21">
        <f>F5</f>
        <v>0</v>
      </c>
      <c r="G8" s="21"/>
      <c r="H8" s="21"/>
      <c r="I8" s="21"/>
      <c r="J8" s="21">
        <f>J5</f>
        <v>0</v>
      </c>
      <c r="K8" s="21"/>
      <c r="L8" s="21">
        <f>L5</f>
        <v>0</v>
      </c>
      <c r="M8" s="21">
        <f>M5</f>
        <v>0</v>
      </c>
      <c r="N8" s="21">
        <f>N5</f>
        <v>98627.957649152231</v>
      </c>
      <c r="O8" s="21">
        <f>O5</f>
        <v>1469.5333333333333</v>
      </c>
      <c r="P8" s="21">
        <f>P5</f>
        <v>5052.666666666667</v>
      </c>
    </row>
    <row r="9" spans="1:16">
      <c r="B9" s="19"/>
      <c r="C9" s="19"/>
      <c r="D9" s="261"/>
      <c r="E9" s="19"/>
      <c r="F9" s="19"/>
      <c r="G9" s="19"/>
      <c r="H9" s="19"/>
      <c r="I9" s="19"/>
      <c r="J9" s="19"/>
      <c r="K9" s="19"/>
      <c r="L9" s="19"/>
      <c r="M9" s="19"/>
      <c r="N9" s="19"/>
      <c r="O9" s="19"/>
      <c r="P9" s="19"/>
    </row>
    <row r="10" spans="1:16">
      <c r="A10" s="24" t="s">
        <v>214</v>
      </c>
      <c r="B10" s="25">
        <f ca="1">'EF ele_warmte'!B12</f>
        <v>0.20016007144005304</v>
      </c>
      <c r="C10" s="25">
        <f ca="1">'EF ele_warmte'!B22</f>
        <v>8.4117793458846971E-2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78427.278136629524</v>
      </c>
      <c r="C12" s="23">
        <f ca="1">C10*C8</f>
        <v>0</v>
      </c>
      <c r="D12" s="23">
        <f>D8*D10</f>
        <v>248148.37148393178</v>
      </c>
      <c r="E12" s="23">
        <f>E10*E8</f>
        <v>5806.0986927680869</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62627</v>
      </c>
      <c r="C18" s="168" t="s">
        <v>111</v>
      </c>
      <c r="D18" s="230"/>
      <c r="E18" s="15"/>
    </row>
    <row r="19" spans="1:7">
      <c r="A19" s="173" t="s">
        <v>72</v>
      </c>
      <c r="B19" s="37">
        <f>aantalw2001_ander</f>
        <v>127</v>
      </c>
      <c r="C19" s="168" t="s">
        <v>111</v>
      </c>
      <c r="D19" s="231"/>
      <c r="E19" s="15"/>
    </row>
    <row r="20" spans="1:7">
      <c r="A20" s="173" t="s">
        <v>73</v>
      </c>
      <c r="B20" s="37">
        <f>aantalw2001_propaan</f>
        <v>385</v>
      </c>
      <c r="C20" s="169">
        <f>IF(ISERROR(B20/SUM($B$20,$B$21,$B$22)*100),0,B20/SUM($B$20,$B$21,$B$22)*100)</f>
        <v>4.0940025521054872</v>
      </c>
      <c r="D20" s="231"/>
      <c r="E20" s="15"/>
    </row>
    <row r="21" spans="1:7">
      <c r="A21" s="173" t="s">
        <v>74</v>
      </c>
      <c r="B21" s="37">
        <f>aantalw2001_elektriciteit</f>
        <v>8623</v>
      </c>
      <c r="C21" s="169">
        <f>IF(ISERROR(B21/SUM($B$20,$B$21,$B$22)*100),0,B21/SUM($B$20,$B$21,$B$22)*100)</f>
        <v>91.695023394300307</v>
      </c>
      <c r="D21" s="231"/>
      <c r="E21" s="15"/>
    </row>
    <row r="22" spans="1:7">
      <c r="A22" s="173" t="s">
        <v>75</v>
      </c>
      <c r="B22" s="37">
        <f>aantalw2001_hout</f>
        <v>396</v>
      </c>
      <c r="C22" s="169">
        <f>IF(ISERROR(B22/SUM($B$20,$B$21,$B$22)*100),0,B22/SUM($B$20,$B$21,$B$22)*100)</f>
        <v>4.2109740535942155</v>
      </c>
      <c r="D22" s="231"/>
      <c r="E22" s="15"/>
    </row>
    <row r="23" spans="1:7">
      <c r="A23" s="173" t="s">
        <v>76</v>
      </c>
      <c r="B23" s="37">
        <f>aantalw2001_niet_gespec</f>
        <v>4616</v>
      </c>
      <c r="C23" s="168" t="s">
        <v>111</v>
      </c>
      <c r="D23" s="230"/>
      <c r="E23" s="15"/>
    </row>
    <row r="24" spans="1:7">
      <c r="A24" s="173" t="s">
        <v>77</v>
      </c>
      <c r="B24" s="37">
        <f>aantalw2001_steenkool</f>
        <v>1823</v>
      </c>
      <c r="C24" s="168" t="s">
        <v>111</v>
      </c>
      <c r="D24" s="231"/>
      <c r="E24" s="15"/>
    </row>
    <row r="25" spans="1:7">
      <c r="A25" s="173" t="s">
        <v>78</v>
      </c>
      <c r="B25" s="37">
        <f>aantalw2001_stookolie</f>
        <v>21695</v>
      </c>
      <c r="C25" s="168" t="s">
        <v>111</v>
      </c>
      <c r="D25" s="230"/>
      <c r="E25" s="52"/>
    </row>
    <row r="26" spans="1:7">
      <c r="A26" s="173" t="s">
        <v>79</v>
      </c>
      <c r="B26" s="37">
        <f>aantalw2001_WP</f>
        <v>311</v>
      </c>
      <c r="C26" s="168" t="s">
        <v>111</v>
      </c>
      <c r="D26" s="230"/>
      <c r="E26" s="15"/>
    </row>
    <row r="27" spans="1:7" s="15" customFormat="1">
      <c r="A27" s="173"/>
      <c r="B27" s="29"/>
      <c r="C27" s="36"/>
      <c r="D27" s="230"/>
    </row>
    <row r="28" spans="1:7" s="15" customFormat="1">
      <c r="A28" s="232" t="s">
        <v>745</v>
      </c>
      <c r="B28" s="37">
        <f>aantalHuishoudens2011</f>
        <v>116518</v>
      </c>
      <c r="C28" s="36"/>
      <c r="D28" s="230"/>
    </row>
    <row r="29" spans="1:7" s="15" customFormat="1">
      <c r="A29" s="232" t="s">
        <v>746</v>
      </c>
      <c r="B29" s="37">
        <f>SUM(HH_hh_gas_aantal,HH_rest_gas_aantal)</f>
        <v>86271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86271</v>
      </c>
      <c r="C32" s="169">
        <f>IF(ISERROR(B32/SUM($B$32,$B$34,$B$35,$B$36,$B$38,$B$39)*100),0,B32/SUM($B$32,$B$34,$B$35,$B$36,$B$38,$B$39)*100)</f>
        <v>74.209697814249949</v>
      </c>
      <c r="D32" s="235"/>
      <c r="G32" s="15"/>
    </row>
    <row r="33" spans="1:7">
      <c r="A33" s="173" t="s">
        <v>72</v>
      </c>
      <c r="B33" s="34" t="s">
        <v>111</v>
      </c>
      <c r="C33" s="169"/>
      <c r="D33" s="235"/>
      <c r="G33" s="15"/>
    </row>
    <row r="34" spans="1:7">
      <c r="A34" s="173" t="s">
        <v>73</v>
      </c>
      <c r="B34" s="33">
        <f>IF((($B$28-$B$32-$B$39-$B$77-$B$38)*C20/100)&lt;0,0,($B$28-$B$32-$B$39-$B$77-$B$38)*C20/100)</f>
        <v>1227.4638451722672</v>
      </c>
      <c r="C34" s="169">
        <f>IF(ISERROR(B34/SUM($B$32,$B$34,$B$35,$B$36,$B$38,$B$39)*100),0,B34/SUM($B$32,$B$34,$B$35,$B$36,$B$38,$B$39)*100)</f>
        <v>1.0558556296803241</v>
      </c>
      <c r="D34" s="235"/>
      <c r="G34" s="15"/>
    </row>
    <row r="35" spans="1:7">
      <c r="A35" s="173" t="s">
        <v>74</v>
      </c>
      <c r="B35" s="33">
        <f>IF((($B$28-$B$32-$B$39-$B$77-$B$38)*C21/100)&lt;0,0,($B$28-$B$32-$B$39-$B$77-$B$38)*C21/100)</f>
        <v>27492.001914079119</v>
      </c>
      <c r="C35" s="169">
        <f>IF(ISERROR(B35/SUM($B$32,$B$34,$B$35,$B$36,$B$38,$B$39)*100),0,B35/SUM($B$32,$B$34,$B$35,$B$36,$B$38,$B$39)*100)</f>
        <v>23.648423622684248</v>
      </c>
      <c r="D35" s="235"/>
      <c r="G35" s="15"/>
    </row>
    <row r="36" spans="1:7">
      <c r="A36" s="173" t="s">
        <v>75</v>
      </c>
      <c r="B36" s="33">
        <f>IF((($B$28-$B$32-$B$39-$B$77-$B$38)*C22/100)&lt;0,0,($B$28-$B$32-$B$39-$B$77-$B$38)*C22/100)</f>
        <v>1262.5342407486178</v>
      </c>
      <c r="C36" s="169">
        <f>IF(ISERROR(B36/SUM($B$32,$B$34,$B$35,$B$36,$B$38,$B$39)*100),0,B36/SUM($B$32,$B$34,$B$35,$B$36,$B$38,$B$39)*100)</f>
        <v>1.0860229333854763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86271</v>
      </c>
      <c r="C44" s="34" t="s">
        <v>111</v>
      </c>
      <c r="D44" s="176"/>
    </row>
    <row r="45" spans="1:7">
      <c r="A45" s="173" t="s">
        <v>72</v>
      </c>
      <c r="B45" s="33" t="str">
        <f t="shared" si="0"/>
        <v>-</v>
      </c>
      <c r="C45" s="34" t="s">
        <v>111</v>
      </c>
      <c r="D45" s="176"/>
    </row>
    <row r="46" spans="1:7">
      <c r="A46" s="173" t="s">
        <v>73</v>
      </c>
      <c r="B46" s="33">
        <f t="shared" si="0"/>
        <v>1227.4638451722672</v>
      </c>
      <c r="C46" s="34" t="s">
        <v>111</v>
      </c>
      <c r="D46" s="176"/>
    </row>
    <row r="47" spans="1:7">
      <c r="A47" s="173" t="s">
        <v>74</v>
      </c>
      <c r="B47" s="33">
        <f t="shared" si="0"/>
        <v>27492.001914079119</v>
      </c>
      <c r="C47" s="34" t="s">
        <v>111</v>
      </c>
      <c r="D47" s="176"/>
    </row>
    <row r="48" spans="1:7">
      <c r="A48" s="173" t="s">
        <v>75</v>
      </c>
      <c r="B48" s="33">
        <f t="shared" si="0"/>
        <v>1262.5342407486178</v>
      </c>
      <c r="C48" s="33">
        <f>B48*10</f>
        <v>12625.342407486178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940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684509.49930041609</v>
      </c>
      <c r="C5" s="17">
        <f>IF(ISERROR('Eigen informatie GS &amp; warmtenet'!B58),0,'Eigen informatie GS &amp; warmtenet'!B58)</f>
        <v>0</v>
      </c>
      <c r="D5" s="30">
        <f>SUM(D6:D12)</f>
        <v>893411.16145407362</v>
      </c>
      <c r="E5" s="17">
        <f>SUM(E6:E12)</f>
        <v>7521.9677652300552</v>
      </c>
      <c r="F5" s="17">
        <f>SUM(F6:F12)</f>
        <v>144001.54256794957</v>
      </c>
      <c r="G5" s="18"/>
      <c r="H5" s="17"/>
      <c r="I5" s="17"/>
      <c r="J5" s="17">
        <f>SUM(J6:J12)</f>
        <v>0</v>
      </c>
      <c r="K5" s="17"/>
      <c r="L5" s="17"/>
      <c r="M5" s="17"/>
      <c r="N5" s="17">
        <f>SUM(N6:N12)</f>
        <v>37611.910749070201</v>
      </c>
      <c r="O5" s="17">
        <f>B38*B39*B40</f>
        <v>25.013333333333335</v>
      </c>
      <c r="P5" s="17">
        <f>B46*B47*B48/1000-B46*B47*B48/1000/B49</f>
        <v>266.93333333333334</v>
      </c>
      <c r="R5" s="32"/>
    </row>
    <row r="6" spans="1:18">
      <c r="A6" s="32" t="s">
        <v>54</v>
      </c>
      <c r="B6" s="37">
        <f>B26</f>
        <v>194826.17467273798</v>
      </c>
      <c r="C6" s="33"/>
      <c r="D6" s="37">
        <f>IF(ISERROR(TER_kantoor_gas_kWh/1000),0,TER_kantoor_gas_kWh/1000)*0.902</f>
        <v>341836.66366035695</v>
      </c>
      <c r="E6" s="33">
        <f>$C$26*'E Balans VL '!I12/100/3.6*1000000</f>
        <v>756.94093570802124</v>
      </c>
      <c r="F6" s="33">
        <f>$C$26*('E Balans VL '!L12+'E Balans VL '!N12)/100/3.6*1000000</f>
        <v>29631.28839087196</v>
      </c>
      <c r="G6" s="34"/>
      <c r="H6" s="33"/>
      <c r="I6" s="33"/>
      <c r="J6" s="33">
        <f>$C$26*('E Balans VL '!D12+'E Balans VL '!E12)/100/3.6*1000000</f>
        <v>0</v>
      </c>
      <c r="K6" s="33"/>
      <c r="L6" s="33"/>
      <c r="M6" s="33"/>
      <c r="N6" s="33">
        <f>$C$26*'E Balans VL '!Y12/100/3.6*1000000</f>
        <v>107.37256184562141</v>
      </c>
      <c r="O6" s="33"/>
      <c r="P6" s="33"/>
      <c r="R6" s="32"/>
    </row>
    <row r="7" spans="1:18">
      <c r="A7" s="32" t="s">
        <v>53</v>
      </c>
      <c r="B7" s="37">
        <f t="shared" ref="B7:B12" si="0">B27</f>
        <v>56938.6459270989</v>
      </c>
      <c r="C7" s="33"/>
      <c r="D7" s="37">
        <f>IF(ISERROR(TER_horeca_gas_kWh/1000),0,TER_horeca_gas_kWh/1000)*0.902</f>
        <v>89926.963916818</v>
      </c>
      <c r="E7" s="33">
        <f>$C$27*'E Balans VL '!I9/100/3.6*1000000</f>
        <v>3207.3691479452382</v>
      </c>
      <c r="F7" s="33">
        <f>$C$27*('E Balans VL '!L9+'E Balans VL '!N9)/100/3.6*1000000</f>
        <v>16417.696638231861</v>
      </c>
      <c r="G7" s="34"/>
      <c r="H7" s="33"/>
      <c r="I7" s="33"/>
      <c r="J7" s="33">
        <f>$C$27*('E Balans VL '!D9+'E Balans VL '!E9)/100/3.6*1000000</f>
        <v>0</v>
      </c>
      <c r="K7" s="33"/>
      <c r="L7" s="33"/>
      <c r="M7" s="33"/>
      <c r="N7" s="33">
        <f>$C$27*'E Balans VL '!Y9/100/3.6*1000000</f>
        <v>15.720464259429228</v>
      </c>
      <c r="O7" s="33"/>
      <c r="P7" s="33"/>
      <c r="R7" s="32"/>
    </row>
    <row r="8" spans="1:18">
      <c r="A8" s="6" t="s">
        <v>52</v>
      </c>
      <c r="B8" s="37">
        <f t="shared" si="0"/>
        <v>159588.054449597</v>
      </c>
      <c r="C8" s="33"/>
      <c r="D8" s="37">
        <f>IF(ISERROR(TER_handel_gas_kWh/1000),0,TER_handel_gas_kWh/1000)*0.902</f>
        <v>84535.253381348433</v>
      </c>
      <c r="E8" s="33">
        <f>$C$28*'E Balans VL '!I13/100/3.6*1000000</f>
        <v>2300.2052930284831</v>
      </c>
      <c r="F8" s="33">
        <f>$C$28*('E Balans VL '!L13+'E Balans VL '!N13)/100/3.6*1000000</f>
        <v>27724.161612894262</v>
      </c>
      <c r="G8" s="34"/>
      <c r="H8" s="33"/>
      <c r="I8" s="33"/>
      <c r="J8" s="33">
        <f>$C$28*('E Balans VL '!D13+'E Balans VL '!E13)/100/3.6*1000000</f>
        <v>0</v>
      </c>
      <c r="K8" s="33"/>
      <c r="L8" s="33"/>
      <c r="M8" s="33"/>
      <c r="N8" s="33">
        <f>$C$28*'E Balans VL '!Y13/100/3.6*1000000</f>
        <v>478.14357683919025</v>
      </c>
      <c r="O8" s="33"/>
      <c r="P8" s="33"/>
      <c r="R8" s="32"/>
    </row>
    <row r="9" spans="1:18">
      <c r="A9" s="32" t="s">
        <v>51</v>
      </c>
      <c r="B9" s="37">
        <f t="shared" si="0"/>
        <v>64011.0318514424</v>
      </c>
      <c r="C9" s="33"/>
      <c r="D9" s="37">
        <f>IF(ISERROR(TER_gezond_gas_kWh/1000),0,TER_gezond_gas_kWh/1000)*0.902</f>
        <v>100827.2855958554</v>
      </c>
      <c r="E9" s="33">
        <f>$C$29*'E Balans VL '!I10/100/3.6*1000000</f>
        <v>68.380373067509368</v>
      </c>
      <c r="F9" s="33">
        <f>$C$29*('E Balans VL '!L10+'E Balans VL '!N10)/100/3.6*1000000</f>
        <v>10442.14466322863</v>
      </c>
      <c r="G9" s="34"/>
      <c r="H9" s="33"/>
      <c r="I9" s="33"/>
      <c r="J9" s="33">
        <f>$C$29*('E Balans VL '!D10+'E Balans VL '!E10)/100/3.6*1000000</f>
        <v>0</v>
      </c>
      <c r="K9" s="33"/>
      <c r="L9" s="33"/>
      <c r="M9" s="33"/>
      <c r="N9" s="33">
        <f>$C$29*'E Balans VL '!Y10/100/3.6*1000000</f>
        <v>658.95704894448943</v>
      </c>
      <c r="O9" s="33"/>
      <c r="P9" s="33"/>
      <c r="R9" s="32"/>
    </row>
    <row r="10" spans="1:18">
      <c r="A10" s="32" t="s">
        <v>50</v>
      </c>
      <c r="B10" s="37">
        <f t="shared" si="0"/>
        <v>43728.600753462</v>
      </c>
      <c r="C10" s="33"/>
      <c r="D10" s="37">
        <f>IF(ISERROR(TER_ander_gas_kWh/1000),0,TER_ander_gas_kWh/1000)*0.902</f>
        <v>47343.947320339867</v>
      </c>
      <c r="E10" s="33">
        <f>$C$30*'E Balans VL '!I14/100/3.6*1000000</f>
        <v>201.10118325122369</v>
      </c>
      <c r="F10" s="33">
        <f>$C$30*('E Balans VL '!L14+'E Balans VL '!N14)/100/3.6*1000000</f>
        <v>13106.840969851624</v>
      </c>
      <c r="G10" s="34"/>
      <c r="H10" s="33"/>
      <c r="I10" s="33"/>
      <c r="J10" s="33">
        <f>$C$30*('E Balans VL '!D14+'E Balans VL '!E14)/100/3.6*1000000</f>
        <v>0</v>
      </c>
      <c r="K10" s="33"/>
      <c r="L10" s="33"/>
      <c r="M10" s="33"/>
      <c r="N10" s="33">
        <f>$C$30*'E Balans VL '!Y14/100/3.6*1000000</f>
        <v>30437.992682958833</v>
      </c>
      <c r="O10" s="33"/>
      <c r="P10" s="33"/>
      <c r="R10" s="32"/>
    </row>
    <row r="11" spans="1:18">
      <c r="A11" s="32" t="s">
        <v>55</v>
      </c>
      <c r="B11" s="37">
        <f t="shared" si="0"/>
        <v>90918.294695144199</v>
      </c>
      <c r="C11" s="33"/>
      <c r="D11" s="37">
        <f>IF(ISERROR(TER_onderwijs_gas_kWh/1000),0,TER_onderwijs_gas_kWh/1000)*0.902</f>
        <v>127383.08235974809</v>
      </c>
      <c r="E11" s="33">
        <f>$C$31*'E Balans VL '!I11/100/3.6*1000000</f>
        <v>84.338674883599765</v>
      </c>
      <c r="F11" s="33">
        <f>$C$31*('E Balans VL '!L11+'E Balans VL '!N11)/100/3.6*1000000</f>
        <v>31937.507319635399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74498.696950933503</v>
      </c>
      <c r="C12" s="33"/>
      <c r="D12" s="37">
        <f>IF(ISERROR(TER_rest_gas_kWh/1000),0,TER_rest_gas_kWh/1000)*0.902</f>
        <v>101557.96521960683</v>
      </c>
      <c r="E12" s="33">
        <f>$C$32*'E Balans VL '!I8/100/3.6*1000000</f>
        <v>903.6321573459802</v>
      </c>
      <c r="F12" s="33">
        <f>$C$32*('E Balans VL '!L8+'E Balans VL '!N8)/100/3.6*1000000</f>
        <v>14741.902973235849</v>
      </c>
      <c r="G12" s="34"/>
      <c r="H12" s="33"/>
      <c r="I12" s="33"/>
      <c r="J12" s="33">
        <f>$C$32*('E Balans VL '!D8+'E Balans VL '!E8)/100/3.6*1000000</f>
        <v>0</v>
      </c>
      <c r="K12" s="33"/>
      <c r="L12" s="33"/>
      <c r="M12" s="33"/>
      <c r="N12" s="33">
        <f>$C$32*'E Balans VL '!Y8/100/3.6*1000000</f>
        <v>5913.72441422264</v>
      </c>
      <c r="O12" s="33"/>
      <c r="P12" s="33"/>
      <c r="R12" s="32"/>
    </row>
    <row r="13" spans="1:18">
      <c r="A13" s="16" t="s">
        <v>497</v>
      </c>
      <c r="B13" s="249">
        <f ca="1">'lokale energieproductie'!N90+'lokale energieproductie'!N59</f>
        <v>2236.5</v>
      </c>
      <c r="C13" s="249">
        <f ca="1">'lokale energieproductie'!O90+'lokale energieproductie'!O59</f>
        <v>540.00000000000011</v>
      </c>
      <c r="D13" s="312">
        <f ca="1">('lokale energieproductie'!P59+'lokale energieproductie'!P90)*(-1)</f>
        <v>-964.28571428571456</v>
      </c>
      <c r="E13" s="250"/>
      <c r="F13" s="312">
        <f ca="1">('lokale energieproductie'!S59+'lokale energieproductie'!S90)*(-1)</f>
        <v>0</v>
      </c>
      <c r="G13" s="251"/>
      <c r="H13" s="250"/>
      <c r="I13" s="250"/>
      <c r="J13" s="250"/>
      <c r="K13" s="250"/>
      <c r="L13" s="312">
        <f ca="1">('lokale energieproductie'!U59+'lokale energieproductie'!T59+'lokale energieproductie'!U90+'lokale energieproductie'!T90)*(-1)</f>
        <v>-115.71428571428572</v>
      </c>
      <c r="M13" s="250"/>
      <c r="N13" s="312">
        <f ca="1">('lokale energieproductie'!Q59+'lokale energieproductie'!R59+'lokale energieproductie'!V59+'lokale energieproductie'!Q90+'lokale energieproductie'!R90+'lokale energieproductie'!V90)*(-1)</f>
        <v>-5310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686745.99930041609</v>
      </c>
      <c r="C16" s="21">
        <f t="shared" ca="1" si="1"/>
        <v>540.00000000000011</v>
      </c>
      <c r="D16" s="21">
        <f t="shared" ca="1" si="1"/>
        <v>892446.87573978794</v>
      </c>
      <c r="E16" s="21">
        <f t="shared" si="1"/>
        <v>7521.9677652300552</v>
      </c>
      <c r="F16" s="21">
        <f t="shared" ca="1" si="1"/>
        <v>144001.54256794957</v>
      </c>
      <c r="G16" s="21">
        <f t="shared" si="1"/>
        <v>0</v>
      </c>
      <c r="H16" s="21">
        <f t="shared" si="1"/>
        <v>0</v>
      </c>
      <c r="I16" s="21">
        <f t="shared" si="1"/>
        <v>0</v>
      </c>
      <c r="J16" s="21">
        <f t="shared" si="1"/>
        <v>0</v>
      </c>
      <c r="K16" s="21">
        <f t="shared" si="1"/>
        <v>0</v>
      </c>
      <c r="L16" s="21">
        <f t="shared" ca="1" si="1"/>
        <v>0</v>
      </c>
      <c r="M16" s="21">
        <f t="shared" si="1"/>
        <v>0</v>
      </c>
      <c r="N16" s="21">
        <f t="shared" ca="1" si="1"/>
        <v>32301.910749070201</v>
      </c>
      <c r="O16" s="21">
        <f>O5</f>
        <v>25.013333333333335</v>
      </c>
      <c r="P16" s="21">
        <f>P5</f>
        <v>266.93333333333334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0.20016007144005304</v>
      </c>
      <c r="C18" s="25">
        <f ca="1">'EF ele_warmte'!B22</f>
        <v>8.4117793458846971E-2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137459.12828114189</v>
      </c>
      <c r="C20" s="23">
        <f t="shared" ref="C20:P20" ca="1" si="2">C16*C18</f>
        <v>45.42360846777737</v>
      </c>
      <c r="D20" s="23">
        <f t="shared" ca="1" si="2"/>
        <v>180274.26889943719</v>
      </c>
      <c r="E20" s="23">
        <f t="shared" si="2"/>
        <v>1707.4866827072226</v>
      </c>
      <c r="F20" s="23">
        <f t="shared" ca="1" si="2"/>
        <v>38448.411865642534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194826.17467273798</v>
      </c>
      <c r="C26" s="39">
        <f>IF(ISERROR(B26*3.6/1000000/'E Balans VL '!Z12*100),0,B26*3.6/1000000/'E Balans VL '!Z12*100)</f>
        <v>4.138204454390495</v>
      </c>
      <c r="D26" s="239" t="s">
        <v>692</v>
      </c>
      <c r="F26" s="6"/>
    </row>
    <row r="27" spans="1:18">
      <c r="A27" s="233" t="s">
        <v>53</v>
      </c>
      <c r="B27" s="33">
        <f>IF(ISERROR(TER_horeca_ele_kWh/1000),0,TER_horeca_ele_kWh/1000)</f>
        <v>56938.6459270989</v>
      </c>
      <c r="C27" s="39">
        <f>IF(ISERROR(B27*3.6/1000000/'E Balans VL '!Z9*100),0,B27*3.6/1000000/'E Balans VL '!Z9*100)</f>
        <v>4.427326481643691</v>
      </c>
      <c r="D27" s="239" t="s">
        <v>692</v>
      </c>
      <c r="F27" s="6"/>
    </row>
    <row r="28" spans="1:18">
      <c r="A28" s="173" t="s">
        <v>52</v>
      </c>
      <c r="B28" s="33">
        <f>IF(ISERROR(TER_handel_ele_kWh/1000),0,TER_handel_ele_kWh/1000)</f>
        <v>159588.054449597</v>
      </c>
      <c r="C28" s="39">
        <f>IF(ISERROR(B28*3.6/1000000/'E Balans VL '!Z13*100),0,B28*3.6/1000000/'E Balans VL '!Z13*100)</f>
        <v>4.5660020541548336</v>
      </c>
      <c r="D28" s="239" t="s">
        <v>692</v>
      </c>
      <c r="F28" s="6"/>
    </row>
    <row r="29" spans="1:18">
      <c r="A29" s="233" t="s">
        <v>51</v>
      </c>
      <c r="B29" s="33">
        <f>IF(ISERROR(TER_gezond_ele_kWh/1000),0,TER_gezond_ele_kWh/1000)</f>
        <v>64011.0318514424</v>
      </c>
      <c r="C29" s="39">
        <f>IF(ISERROR(B29*3.6/1000000/'E Balans VL '!Z10*100),0,B29*3.6/1000000/'E Balans VL '!Z10*100)</f>
        <v>6.9786899097962953</v>
      </c>
      <c r="D29" s="239" t="s">
        <v>692</v>
      </c>
      <c r="F29" s="6"/>
    </row>
    <row r="30" spans="1:18">
      <c r="A30" s="233" t="s">
        <v>50</v>
      </c>
      <c r="B30" s="33">
        <f>IF(ISERROR(TER_ander_ele_kWh/1000),0,TER_ander_ele_kWh/1000)</f>
        <v>43728.600753462</v>
      </c>
      <c r="C30" s="39">
        <f>IF(ISERROR(B30*3.6/1000000/'E Balans VL '!Z14*100),0,B30*3.6/1000000/'E Balans VL '!Z14*100)</f>
        <v>3.1999598071590252</v>
      </c>
      <c r="D30" s="239" t="s">
        <v>692</v>
      </c>
      <c r="F30" s="6"/>
    </row>
    <row r="31" spans="1:18">
      <c r="A31" s="233" t="s">
        <v>55</v>
      </c>
      <c r="B31" s="33">
        <f>IF(ISERROR(TER_onderwijs_ele_kWh/1000),0,TER_onderwijs_ele_kWh/1000)</f>
        <v>90918.294695144199</v>
      </c>
      <c r="C31" s="39">
        <f>IF(ISERROR(B31*3.6/1000000/'E Balans VL '!Z11*100),0,B31*3.6/1000000/'E Balans VL '!Z11*100)</f>
        <v>18.261007003583657</v>
      </c>
      <c r="D31" s="239" t="s">
        <v>692</v>
      </c>
    </row>
    <row r="32" spans="1:18">
      <c r="A32" s="233" t="s">
        <v>260</v>
      </c>
      <c r="B32" s="33">
        <f>IF(ISERROR(TER_rest_ele_kWh/1000),0,TER_rest_ele_kWh/1000)</f>
        <v>74498.696950933503</v>
      </c>
      <c r="C32" s="39">
        <f>IF(ISERROR(B32*3.6/1000000/'E Balans VL '!Z8*100),0,B32*3.6/1000000/'E Balans VL '!Z8*100)</f>
        <v>0.60711916918806097</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384275.03611205705</v>
      </c>
      <c r="C5" s="17">
        <f>IF(ISERROR('Eigen informatie GS &amp; warmtenet'!B59),0,'Eigen informatie GS &amp; warmtenet'!B59)</f>
        <v>0</v>
      </c>
      <c r="D5" s="30">
        <f>SUM(D6:D15)</f>
        <v>345886.10859603318</v>
      </c>
      <c r="E5" s="17">
        <f>SUM(E6:E15)</f>
        <v>22809.208533619694</v>
      </c>
      <c r="F5" s="17">
        <f>SUM(F6:F15)</f>
        <v>130283.31621887733</v>
      </c>
      <c r="G5" s="18"/>
      <c r="H5" s="17"/>
      <c r="I5" s="17"/>
      <c r="J5" s="17">
        <f>SUM(J6:J15)</f>
        <v>857.97898802299324</v>
      </c>
      <c r="K5" s="17"/>
      <c r="L5" s="17"/>
      <c r="M5" s="17"/>
      <c r="N5" s="17">
        <f>SUM(N6:N15)</f>
        <v>80357.300726778136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31354.449407478001</v>
      </c>
      <c r="C8" s="33"/>
      <c r="D8" s="37">
        <f>IF( ISERROR(IND_metaal_Gas_kWH/1000),0,IND_metaal_Gas_kWH/1000)*0.902</f>
        <v>26892.919174122959</v>
      </c>
      <c r="E8" s="33">
        <f>C30*'E Balans VL '!I18/100/3.6*1000000</f>
        <v>900.61747714778403</v>
      </c>
      <c r="F8" s="33">
        <f>C30*'E Balans VL '!L18/100/3.6*1000000+C30*'E Balans VL '!N18/100/3.6*1000000</f>
        <v>8041.8132402933943</v>
      </c>
      <c r="G8" s="34"/>
      <c r="H8" s="33"/>
      <c r="I8" s="33"/>
      <c r="J8" s="40">
        <f>C30*'E Balans VL '!D18/100/3.6*1000000+C30*'E Balans VL '!E18/100/3.6*1000000</f>
        <v>0</v>
      </c>
      <c r="K8" s="33"/>
      <c r="L8" s="33"/>
      <c r="M8" s="33"/>
      <c r="N8" s="33">
        <f>C30*'E Balans VL '!Y18/100/3.6*1000000</f>
        <v>851.33730491213828</v>
      </c>
      <c r="O8" s="33"/>
      <c r="P8" s="33"/>
      <c r="R8" s="32"/>
    </row>
    <row r="9" spans="1:18">
      <c r="A9" s="6" t="s">
        <v>33</v>
      </c>
      <c r="B9" s="37">
        <f t="shared" si="0"/>
        <v>37999.802967372794</v>
      </c>
      <c r="C9" s="33"/>
      <c r="D9" s="37">
        <f>IF( ISERROR(IND_andere_gas_kWh/1000),0,IND_andere_gas_kWh/1000)*0.902</f>
        <v>66160.058434552018</v>
      </c>
      <c r="E9" s="33">
        <f>C31*'E Balans VL '!I19/100/3.6*1000000</f>
        <v>10285.612360575324</v>
      </c>
      <c r="F9" s="33">
        <f>C31*'E Balans VL '!L19/100/3.6*1000000+C31*'E Balans VL '!N19/100/3.6*1000000</f>
        <v>25311.889995417696</v>
      </c>
      <c r="G9" s="34"/>
      <c r="H9" s="33"/>
      <c r="I9" s="33"/>
      <c r="J9" s="40">
        <f>C31*'E Balans VL '!D19/100/3.6*1000000+C31*'E Balans VL '!E19/100/3.6*1000000</f>
        <v>0</v>
      </c>
      <c r="K9" s="33"/>
      <c r="L9" s="33"/>
      <c r="M9" s="33"/>
      <c r="N9" s="33">
        <f>C31*'E Balans VL '!Y19/100/3.6*1000000</f>
        <v>12406.304438079627</v>
      </c>
      <c r="O9" s="33"/>
      <c r="P9" s="33"/>
      <c r="R9" s="32"/>
    </row>
    <row r="10" spans="1:18">
      <c r="A10" s="6" t="s">
        <v>41</v>
      </c>
      <c r="B10" s="37">
        <f t="shared" si="0"/>
        <v>17805.521938684898</v>
      </c>
      <c r="C10" s="33"/>
      <c r="D10" s="37">
        <f>IF( ISERROR(IND_voed_gas_kWh/1000),0,IND_voed_gas_kWh/1000)*0.902</f>
        <v>26894.31762999795</v>
      </c>
      <c r="E10" s="33">
        <f>C32*'E Balans VL '!I20/100/3.6*1000000</f>
        <v>1452.2592764413357</v>
      </c>
      <c r="F10" s="33">
        <f>C32*'E Balans VL '!L20/100/3.6*1000000+C32*'E Balans VL '!N20/100/3.6*1000000</f>
        <v>26549.648669078015</v>
      </c>
      <c r="G10" s="34"/>
      <c r="H10" s="33"/>
      <c r="I10" s="33"/>
      <c r="J10" s="40">
        <f>C32*'E Balans VL '!D20/100/3.6*1000000+C32*'E Balans VL '!E20/100/3.6*1000000</f>
        <v>0.23554544224456536</v>
      </c>
      <c r="K10" s="33"/>
      <c r="L10" s="33"/>
      <c r="M10" s="33"/>
      <c r="N10" s="33">
        <f>C32*'E Balans VL '!Y20/100/3.6*1000000</f>
        <v>5230.6340564634775</v>
      </c>
      <c r="O10" s="33"/>
      <c r="P10" s="33"/>
      <c r="R10" s="32"/>
    </row>
    <row r="11" spans="1:18">
      <c r="A11" s="6" t="s">
        <v>40</v>
      </c>
      <c r="B11" s="37">
        <f t="shared" si="0"/>
        <v>348.95999240280099</v>
      </c>
      <c r="C11" s="33"/>
      <c r="D11" s="37">
        <f>IF( ISERROR(IND_textiel_gas_kWh/1000),0,IND_textiel_gas_kWh/1000)*0.902</f>
        <v>487.80015531588805</v>
      </c>
      <c r="E11" s="33">
        <f>C33*'E Balans VL '!I21/100/3.6*1000000</f>
        <v>6.9171010114392958E-2</v>
      </c>
      <c r="F11" s="33">
        <f>C33*'E Balans VL '!L21/100/3.6*1000000+C33*'E Balans VL '!N21/100/3.6*1000000</f>
        <v>12.852617541770027</v>
      </c>
      <c r="G11" s="34"/>
      <c r="H11" s="33"/>
      <c r="I11" s="33"/>
      <c r="J11" s="40">
        <f>C33*'E Balans VL '!D21/100/3.6*1000000+C33*'E Balans VL '!E21/100/3.6*1000000</f>
        <v>0</v>
      </c>
      <c r="K11" s="33"/>
      <c r="L11" s="33"/>
      <c r="M11" s="33"/>
      <c r="N11" s="33">
        <f>C33*'E Balans VL '!Y21/100/3.6*1000000</f>
        <v>1.6225758725681312</v>
      </c>
      <c r="O11" s="33"/>
      <c r="P11" s="33"/>
      <c r="R11" s="32"/>
    </row>
    <row r="12" spans="1:18">
      <c r="A12" s="6" t="s">
        <v>37</v>
      </c>
      <c r="B12" s="37">
        <f t="shared" si="0"/>
        <v>78836.678193114203</v>
      </c>
      <c r="C12" s="33"/>
      <c r="D12" s="37">
        <f>IF( ISERROR(IND_min_gas_kWh/1000),0,IND_min_gas_kWh/1000)*0.902</f>
        <v>176.74582838883822</v>
      </c>
      <c r="E12" s="33">
        <f>C34*'E Balans VL '!I22/100/3.6*1000000</f>
        <v>614.12054534336289</v>
      </c>
      <c r="F12" s="33">
        <f>C34*'E Balans VL '!L22/100/3.6*1000000+C34*'E Balans VL '!N22/100/3.6*1000000</f>
        <v>29732.350352600864</v>
      </c>
      <c r="G12" s="34"/>
      <c r="H12" s="33"/>
      <c r="I12" s="33"/>
      <c r="J12" s="40">
        <f>C34*'E Balans VL '!D22/100/3.6*1000000+C34*'E Balans VL '!E22/100/3.6*1000000</f>
        <v>433.59483714056438</v>
      </c>
      <c r="K12" s="33"/>
      <c r="L12" s="33"/>
      <c r="M12" s="33"/>
      <c r="N12" s="33">
        <f>C34*'E Balans VL '!Y22/100/3.6*1000000</f>
        <v>0</v>
      </c>
      <c r="O12" s="33"/>
      <c r="P12" s="33"/>
      <c r="R12" s="32"/>
    </row>
    <row r="13" spans="1:18">
      <c r="A13" s="6" t="s">
        <v>39</v>
      </c>
      <c r="B13" s="37">
        <f t="shared" si="0"/>
        <v>13306.0494173385</v>
      </c>
      <c r="C13" s="33"/>
      <c r="D13" s="37">
        <f>IF( ISERROR(IND_papier_gas_kWh/1000),0,IND_papier_gas_kWh/1000)*0.902</f>
        <v>2213.1141027423405</v>
      </c>
      <c r="E13" s="33">
        <f>C35*'E Balans VL '!I23/100/3.6*1000000</f>
        <v>139.40510831032242</v>
      </c>
      <c r="F13" s="33">
        <f>C35*'E Balans VL '!L23/100/3.6*1000000+C35*'E Balans VL '!N23/100/3.6*1000000</f>
        <v>992.89976596627309</v>
      </c>
      <c r="G13" s="34"/>
      <c r="H13" s="33"/>
      <c r="I13" s="33"/>
      <c r="J13" s="40">
        <f>C35*'E Balans VL '!D23/100/3.6*1000000+C35*'E Balans VL '!E23/100/3.6*1000000</f>
        <v>0</v>
      </c>
      <c r="K13" s="33"/>
      <c r="L13" s="33"/>
      <c r="M13" s="33"/>
      <c r="N13" s="33">
        <f>C35*'E Balans VL '!Y23/100/3.6*1000000</f>
        <v>28440.291786321413</v>
      </c>
      <c r="O13" s="33"/>
      <c r="P13" s="33"/>
      <c r="R13" s="32"/>
    </row>
    <row r="14" spans="1:18">
      <c r="A14" s="6" t="s">
        <v>34</v>
      </c>
      <c r="B14" s="37">
        <f t="shared" si="0"/>
        <v>39138.518124988805</v>
      </c>
      <c r="C14" s="33"/>
      <c r="D14" s="37">
        <f>IF( ISERROR(IND_chemie_gas_kWh/1000),0,IND_chemie_gas_kWh/1000)*0.902</f>
        <v>5511.2946173561604</v>
      </c>
      <c r="E14" s="33">
        <f>C36*'E Balans VL '!I24/100/3.6*1000000</f>
        <v>185.01696608397475</v>
      </c>
      <c r="F14" s="33">
        <f>C36*'E Balans VL '!L24/100/3.6*1000000+C36*'E Balans VL '!N24/100/3.6*1000000</f>
        <v>739.69698453003423</v>
      </c>
      <c r="G14" s="34"/>
      <c r="H14" s="33"/>
      <c r="I14" s="33"/>
      <c r="J14" s="40">
        <f>C36*'E Balans VL '!D24/100/3.6*1000000+C36*'E Balans VL '!E24/100/3.6*1000000</f>
        <v>0</v>
      </c>
      <c r="K14" s="33"/>
      <c r="L14" s="33"/>
      <c r="M14" s="33"/>
      <c r="N14" s="33">
        <f>C36*'E Balans VL '!Y24/100/3.6*1000000</f>
        <v>950.15081324851622</v>
      </c>
      <c r="O14" s="33"/>
      <c r="P14" s="33"/>
      <c r="R14" s="32"/>
    </row>
    <row r="15" spans="1:18">
      <c r="A15" s="6" t="s">
        <v>270</v>
      </c>
      <c r="B15" s="37">
        <f t="shared" si="0"/>
        <v>165485.056070677</v>
      </c>
      <c r="C15" s="33"/>
      <c r="D15" s="37">
        <f>IF( ISERROR(IND_rest_gas_kWh/1000),0,IND_rest_gas_kWh/1000)*0.902</f>
        <v>217549.85865355699</v>
      </c>
      <c r="E15" s="33">
        <f>C37*'E Balans VL '!I15/100/3.6*1000000</f>
        <v>9232.1076287074757</v>
      </c>
      <c r="F15" s="33">
        <f>C37*'E Balans VL '!L15/100/3.6*1000000+C37*'E Balans VL '!N15/100/3.6*1000000</f>
        <v>38902.164593449284</v>
      </c>
      <c r="G15" s="34"/>
      <c r="H15" s="33"/>
      <c r="I15" s="33"/>
      <c r="J15" s="40">
        <f>C37*'E Balans VL '!D15/100/3.6*1000000+C37*'E Balans VL '!E15/100/3.6*1000000</f>
        <v>424.14860544018427</v>
      </c>
      <c r="K15" s="33"/>
      <c r="L15" s="33"/>
      <c r="M15" s="33"/>
      <c r="N15" s="33">
        <f>C37*'E Balans VL '!Y15/100/3.6*1000000</f>
        <v>32476.959751880397</v>
      </c>
      <c r="O15" s="33"/>
      <c r="P15" s="33"/>
      <c r="R15" s="32"/>
    </row>
    <row r="16" spans="1:18">
      <c r="A16" s="16" t="s">
        <v>497</v>
      </c>
      <c r="B16" s="249">
        <f>'lokale energieproductie'!N89+'lokale energieproductie'!N58</f>
        <v>9900</v>
      </c>
      <c r="C16" s="249">
        <f>'lokale energieproductie'!O89+'lokale energieproductie'!O58</f>
        <v>11137.5</v>
      </c>
      <c r="D16" s="312">
        <f>('lokale energieproductie'!P58+'lokale energieproductie'!P89)*(-1)</f>
        <v>0</v>
      </c>
      <c r="E16" s="250"/>
      <c r="F16" s="312">
        <f>('lokale energieproductie'!S58+'lokale energieproductie'!S89)*(-1)</f>
        <v>-6187.5</v>
      </c>
      <c r="G16" s="251"/>
      <c r="H16" s="250"/>
      <c r="I16" s="250"/>
      <c r="J16" s="250"/>
      <c r="K16" s="250"/>
      <c r="L16" s="312">
        <f>('lokale energieproductie'!T58+'lokale energieproductie'!U58+'lokale energieproductie'!T89+'lokale energieproductie'!U89)*(-1)</f>
        <v>-18562.5</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394175.03611205705</v>
      </c>
      <c r="C18" s="21">
        <f>C5+C16</f>
        <v>11137.5</v>
      </c>
      <c r="D18" s="21">
        <f>MAX((D5+D16),0)</f>
        <v>345886.10859603318</v>
      </c>
      <c r="E18" s="21">
        <f>MAX((E5+E16),0)</f>
        <v>22809.208533619694</v>
      </c>
      <c r="F18" s="21">
        <f>MAX((F5+F16),0)</f>
        <v>124095.81621887733</v>
      </c>
      <c r="G18" s="21"/>
      <c r="H18" s="21"/>
      <c r="I18" s="21"/>
      <c r="J18" s="21">
        <f>MAX((J5+J16),0)</f>
        <v>857.97898802299324</v>
      </c>
      <c r="K18" s="21"/>
      <c r="L18" s="21">
        <f>MAX((L5+L16),0)</f>
        <v>0</v>
      </c>
      <c r="M18" s="21"/>
      <c r="N18" s="21">
        <f>MAX((N5+N16),0)</f>
        <v>80357.300726778136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0.20016007144005304</v>
      </c>
      <c r="C20" s="25">
        <f ca="1">'EF ele_warmte'!B22</f>
        <v>8.4117793458846971E-2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78898.103388074829</v>
      </c>
      <c r="C22" s="23">
        <f ca="1">C18*C20</f>
        <v>936.86192464790815</v>
      </c>
      <c r="D22" s="23">
        <f>D18*D20</f>
        <v>69868.993936398707</v>
      </c>
      <c r="E22" s="23">
        <f>E18*E20</f>
        <v>5177.6903371316712</v>
      </c>
      <c r="F22" s="23">
        <f>F18*F20</f>
        <v>33133.58293044025</v>
      </c>
      <c r="G22" s="23"/>
      <c r="H22" s="23"/>
      <c r="I22" s="23"/>
      <c r="J22" s="23">
        <f>J18*J20</f>
        <v>303.72456176013958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31354.449407478001</v>
      </c>
      <c r="C30" s="39">
        <f>IF(ISERROR(B30*3.6/1000000/'E Balans VL '!Z18*100),0,B30*3.6/1000000/'E Balans VL '!Z18*100)</f>
        <v>3.0851977823126977</v>
      </c>
      <c r="D30" s="239" t="s">
        <v>692</v>
      </c>
    </row>
    <row r="31" spans="1:18">
      <c r="A31" s="6" t="s">
        <v>33</v>
      </c>
      <c r="B31" s="37">
        <f>IF( ISERROR(IND_ander_ele_kWh/1000),0,IND_ander_ele_kWh/1000)</f>
        <v>37999.802967372794</v>
      </c>
      <c r="C31" s="39">
        <f>IF(ISERROR(B31*3.6/1000000/'E Balans VL '!Z19*100),0,B31*3.6/1000000/'E Balans VL '!Z19*100)</f>
        <v>1.6548611070848522</v>
      </c>
      <c r="D31" s="239" t="s">
        <v>692</v>
      </c>
    </row>
    <row r="32" spans="1:18">
      <c r="A32" s="173" t="s">
        <v>41</v>
      </c>
      <c r="B32" s="37">
        <f>IF( ISERROR(IND_voed_ele_kWh/1000),0,IND_voed_ele_kWh/1000)</f>
        <v>17805.521938684898</v>
      </c>
      <c r="C32" s="39">
        <f>IF(ISERROR(B32*3.6/1000000/'E Balans VL '!Z20*100),0,B32*3.6/1000000/'E Balans VL '!Z20*100)</f>
        <v>3.37834100430439</v>
      </c>
      <c r="D32" s="239" t="s">
        <v>692</v>
      </c>
    </row>
    <row r="33" spans="1:5">
      <c r="A33" s="173" t="s">
        <v>40</v>
      </c>
      <c r="B33" s="37">
        <f>IF( ISERROR(IND_textiel_ele_kWh/1000),0,IND_textiel_ele_kWh/1000)</f>
        <v>348.95999240280099</v>
      </c>
      <c r="C33" s="39">
        <f>IF(ISERROR(B33*3.6/1000000/'E Balans VL '!Z21*100),0,B33*3.6/1000000/'E Balans VL '!Z21*100)</f>
        <v>1.9923845900966203E-2</v>
      </c>
      <c r="D33" s="239" t="s">
        <v>692</v>
      </c>
    </row>
    <row r="34" spans="1:5">
      <c r="A34" s="173" t="s">
        <v>37</v>
      </c>
      <c r="B34" s="37">
        <f>IF( ISERROR(IND_min_ele_kWh/1000),0,IND_min_ele_kWh/1000)</f>
        <v>78836.678193114203</v>
      </c>
      <c r="C34" s="39">
        <f>IF(ISERROR(B34*3.6/1000000/'E Balans VL '!Z22*100),0,B34*3.6/1000000/'E Balans VL '!Z22*100)</f>
        <v>11.085228607198731</v>
      </c>
      <c r="D34" s="239" t="s">
        <v>692</v>
      </c>
    </row>
    <row r="35" spans="1:5">
      <c r="A35" s="173" t="s">
        <v>39</v>
      </c>
      <c r="B35" s="37">
        <f>IF( ISERROR(IND_papier_ele_kWh/1000),0,IND_papier_ele_kWh/1000)</f>
        <v>13306.0494173385</v>
      </c>
      <c r="C35" s="39">
        <f>IF(ISERROR(B35*3.6/1000000/'E Balans VL '!Z22*100),0,B35*3.6/1000000/'E Balans VL '!Z22*100)</f>
        <v>1.8709641632613061</v>
      </c>
      <c r="D35" s="239" t="s">
        <v>692</v>
      </c>
    </row>
    <row r="36" spans="1:5">
      <c r="A36" s="173" t="s">
        <v>34</v>
      </c>
      <c r="B36" s="37">
        <f>IF( ISERROR(IND_chemie_ele_kWh/1000),0,IND_chemie_ele_kWh/1000)</f>
        <v>39138.518124988805</v>
      </c>
      <c r="C36" s="39">
        <f>IF(ISERROR(B36*3.6/1000000/'E Balans VL '!Z24*100),0,B36*3.6/1000000/'E Balans VL '!Z24*100)</f>
        <v>1.1406120702301632</v>
      </c>
      <c r="D36" s="239" t="s">
        <v>692</v>
      </c>
    </row>
    <row r="37" spans="1:5">
      <c r="A37" s="173" t="s">
        <v>270</v>
      </c>
      <c r="B37" s="37">
        <f>IF( ISERROR(IND_rest_ele_kWh/1000),0,IND_rest_ele_kWh/1000)</f>
        <v>165485.056070677</v>
      </c>
      <c r="C37" s="39">
        <f>IF(ISERROR(B37*3.6/1000000/'E Balans VL '!Z15*100),0,B37*3.6/1000000/'E Balans VL '!Z15*100)</f>
        <v>1.2752656145706038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3034.4643411941011</v>
      </c>
      <c r="C5" s="17">
        <f>'Eigen informatie GS &amp; warmtenet'!B60</f>
        <v>0</v>
      </c>
      <c r="D5" s="30">
        <f>IF(ISERROR(SUM(LB_lb_gas_kWh,LB_rest_gas_kWh,onbekend_gas_kWh)/1000),0,SUM(LB_lb_gas_kWh,LB_rest_gas_kWh,onbekend_gas_kWh)/1000)*0.902</f>
        <v>95160.910148967974</v>
      </c>
      <c r="E5" s="17">
        <f>B17*'E Balans VL '!I25/3.6*1000000/100</f>
        <v>38.238159883934856</v>
      </c>
      <c r="F5" s="17">
        <f>B17*('E Balans VL '!L25/3.6*1000000+'E Balans VL '!N25/3.6*1000000)/100</f>
        <v>10469.662155859662</v>
      </c>
      <c r="G5" s="18"/>
      <c r="H5" s="17"/>
      <c r="I5" s="17"/>
      <c r="J5" s="17">
        <f>('E Balans VL '!D25+'E Balans VL '!E25)/3.6*1000000*landbouw!B17/100</f>
        <v>456.34894234238891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3034.4643411941011</v>
      </c>
      <c r="C8" s="21">
        <f>C5+C6</f>
        <v>0</v>
      </c>
      <c r="D8" s="21">
        <f>MAX((D5+D6),0)</f>
        <v>95160.910148967974</v>
      </c>
      <c r="E8" s="21">
        <f>MAX((E5+E6),0)</f>
        <v>38.238159883934856</v>
      </c>
      <c r="F8" s="21">
        <f>MAX((F5+F6),0)</f>
        <v>10469.662155859662</v>
      </c>
      <c r="G8" s="21"/>
      <c r="H8" s="21"/>
      <c r="I8" s="21"/>
      <c r="J8" s="21">
        <f>MAX((J5+J6),0)</f>
        <v>456.34894234238891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0.20016007144005304</v>
      </c>
      <c r="C10" s="31">
        <f ca="1">'EF ele_warmte'!B22</f>
        <v>8.4117793458846971E-2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607.37859931570472</v>
      </c>
      <c r="C12" s="23">
        <f ca="1">C8*C10</f>
        <v>0</v>
      </c>
      <c r="D12" s="23">
        <f>D8*D10</f>
        <v>19222.503850091533</v>
      </c>
      <c r="E12" s="23">
        <f>E8*E10</f>
        <v>8.6800622936532132</v>
      </c>
      <c r="F12" s="23">
        <f>F8*F10</f>
        <v>2795.3997956145299</v>
      </c>
      <c r="G12" s="23"/>
      <c r="H12" s="23"/>
      <c r="I12" s="23"/>
      <c r="J12" s="23">
        <f>J8*J10</f>
        <v>161.54752558920566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0.42321213483213521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441.09625096733271</v>
      </c>
      <c r="C26" s="249">
        <f>B26*'GWP N2O_CH4'!B5</f>
        <v>9263.0212703139878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98.577923052591089</v>
      </c>
      <c r="C27" s="249">
        <f>B27*'GWP N2O_CH4'!B5</f>
        <v>2070.1363841044131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5.5682902848360403</v>
      </c>
      <c r="C28" s="249">
        <f>B28*'GWP N2O_CH4'!B4</f>
        <v>1726.1699882991725</v>
      </c>
      <c r="D28" s="50"/>
    </row>
    <row r="29" spans="1:4">
      <c r="A29" s="41" t="s">
        <v>277</v>
      </c>
      <c r="B29" s="249">
        <f>B34*'ha_N2O bodem landbouw'!B4</f>
        <v>18.781235962854275</v>
      </c>
      <c r="C29" s="249">
        <f>B29*'GWP N2O_CH4'!B4</f>
        <v>5822.1831484848253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4.6894869525771357E-3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3.8529107910624928E-4</v>
      </c>
      <c r="C5" s="448" t="s">
        <v>211</v>
      </c>
      <c r="D5" s="433">
        <f>SUM(D6:D11)</f>
        <v>6.4005801906213879E-4</v>
      </c>
      <c r="E5" s="433">
        <f>SUM(E6:E11)</f>
        <v>2.1868608726843621E-2</v>
      </c>
      <c r="F5" s="446" t="s">
        <v>211</v>
      </c>
      <c r="G5" s="433">
        <f>SUM(G6:G11)</f>
        <v>6.2883325382773121</v>
      </c>
      <c r="H5" s="433">
        <f>SUM(H6:H11)</f>
        <v>0.97737557115762519</v>
      </c>
      <c r="I5" s="448" t="s">
        <v>211</v>
      </c>
      <c r="J5" s="448" t="s">
        <v>211</v>
      </c>
      <c r="K5" s="448" t="s">
        <v>211</v>
      </c>
      <c r="L5" s="448" t="s">
        <v>211</v>
      </c>
      <c r="M5" s="433">
        <f>SUM(M6:M11)</f>
        <v>0.32837364844875033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1.1786118787397224E-4</v>
      </c>
      <c r="C6" s="949"/>
      <c r="D6" s="949">
        <f>vkm_2011_GW_PW*SUMIFS(TableVerdeelsleutelVkm[CNG],TableVerdeelsleutelVkm[Voertuigtype],"Lichte voertuigen")*SUMIFS(TableECFTransport[EnergieConsumptieFactor (PJ per km)],TableECFTransport[Index],CONCATENATE($A6,"_CNG_CNG"))</f>
        <v>1.6691449339308842E-4</v>
      </c>
      <c r="E6" s="949">
        <f>vkm_2011_GW_PW*SUMIFS(TableVerdeelsleutelVkm[LPG],TableVerdeelsleutelVkm[Voertuigtype],"Lichte voertuigen")*SUMIFS(TableECFTransport[EnergieConsumptieFactor (PJ per km)],TableECFTransport[Index],CONCATENATE($A6,"_LPG_LPG"))</f>
        <v>5.2422347404578237E-3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0.9421731259376197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0.25246287038763099</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5.4049149663864676E-2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0.83319385309376781</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2.9602513848142912E-4</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3.7599401713453086E-2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7.439948631529907E-5</v>
      </c>
      <c r="C8" s="949"/>
      <c r="D8" s="436">
        <f>vkm_2011_NGW_PW*SUMIFS(TableVerdeelsleutelVkm[CNG],TableVerdeelsleutelVkm[Voertuigtype],"Lichte voertuigen")*SUMIFS(TableECFTransport[EnergieConsumptieFactor (PJ per km)],TableECFTransport[Index],CONCATENATE($A8,"_CNG_CNG"))</f>
        <v>1.8770816113456478E-4</v>
      </c>
      <c r="E8" s="436">
        <f>vkm_2011_NGW_PW*SUMIFS(TableVerdeelsleutelVkm[LPG],TableVerdeelsleutelVkm[Voertuigtype],"Lichte voertuigen")*SUMIFS(TableECFTransport[EnergieConsumptieFactor (PJ per km)],TableECFTransport[Index],CONCATENATE($A8,"_LPG_LPG"))</f>
        <v>5.4299750417981527E-3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0.92043342403428807</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0.27394896503783761</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5.4051191869159285E-2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0.37374041749924714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1.2565428515105481E-4</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1.6865396039521335E-2</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1.9303040491697795E-4</v>
      </c>
      <c r="C10" s="949"/>
      <c r="D10" s="436">
        <f>vkm_2011_SW_PW*SUMIFS(TableVerdeelsleutelVkm[CNG],TableVerdeelsleutelVkm[Voertuigtype],"Lichte voertuigen")*SUMIFS(TableECFTransport[EnergieConsumptieFactor (PJ per km)],TableECFTransport[Index],CONCATENATE($A10,"_CNG_CNG"))</f>
        <v>2.8543536453448561E-4</v>
      </c>
      <c r="E10" s="436">
        <f>vkm_2011_SW_PW*SUMIFS(TableVerdeelsleutelVkm[LPG],TableVerdeelsleutelVkm[Voertuigtype],"Lichte voertuigen")*SUMIFS(TableECFTransport[EnergieConsumptieFactor (PJ per km)],TableECFTransport[Index],CONCATENATE($A10,"_LPG_LPG"))</f>
        <v>1.1196398944587644E-2</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1.8224445942225675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0.45000705436869959</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0.10279400366340645</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1.3963471234898224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5.3500193982448875E-4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6.3014505499345522E-2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107.0252997517359</v>
      </c>
      <c r="C14" s="21"/>
      <c r="D14" s="21">
        <f t="shared" ref="D14:M14" si="0">((D5)*10^9/3600)+D12</f>
        <v>177.79389418392742</v>
      </c>
      <c r="E14" s="21">
        <f t="shared" si="0"/>
        <v>6074.613535234339</v>
      </c>
      <c r="F14" s="21"/>
      <c r="G14" s="21">
        <f t="shared" si="0"/>
        <v>1746759.0384103644</v>
      </c>
      <c r="H14" s="21">
        <f t="shared" si="0"/>
        <v>271493.21421045146</v>
      </c>
      <c r="I14" s="21"/>
      <c r="J14" s="21"/>
      <c r="K14" s="21"/>
      <c r="L14" s="21"/>
      <c r="M14" s="21">
        <f t="shared" si="0"/>
        <v>91214.902346875082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0.20016007144005304</v>
      </c>
      <c r="C16" s="56">
        <f ca="1">'EF ele_warmte'!B22</f>
        <v>8.4117793458846971E-2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21.422191644200549</v>
      </c>
      <c r="C18" s="23"/>
      <c r="D18" s="23">
        <f t="shared" ref="D18:M18" si="1">D14*D16</f>
        <v>35.914366625153342</v>
      </c>
      <c r="E18" s="23">
        <f t="shared" si="1"/>
        <v>1378.9372724981949</v>
      </c>
      <c r="F18" s="23"/>
      <c r="G18" s="23">
        <f t="shared" si="1"/>
        <v>466384.66325556731</v>
      </c>
      <c r="H18" s="23">
        <f t="shared" si="1"/>
        <v>67601.810338402414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3.3121135785673203E-2</v>
      </c>
      <c r="C50" s="323">
        <f t="shared" ref="C50:P50" si="2">SUM(C51:C52)</f>
        <v>0</v>
      </c>
      <c r="D50" s="323">
        <f t="shared" si="2"/>
        <v>0</v>
      </c>
      <c r="E50" s="323">
        <f t="shared" si="2"/>
        <v>0</v>
      </c>
      <c r="F50" s="323">
        <f t="shared" si="2"/>
        <v>0</v>
      </c>
      <c r="G50" s="323">
        <f t="shared" si="2"/>
        <v>0.13498451813917134</v>
      </c>
      <c r="H50" s="323">
        <f t="shared" si="2"/>
        <v>0</v>
      </c>
      <c r="I50" s="323">
        <f t="shared" si="2"/>
        <v>0</v>
      </c>
      <c r="J50" s="323">
        <f t="shared" si="2"/>
        <v>0</v>
      </c>
      <c r="K50" s="323">
        <f t="shared" si="2"/>
        <v>0</v>
      </c>
      <c r="L50" s="323">
        <f t="shared" si="2"/>
        <v>0</v>
      </c>
      <c r="M50" s="323">
        <f t="shared" si="2"/>
        <v>6.0030916824926938E-3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0.13498451813917134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6.0030916824926938E-3</v>
      </c>
      <c r="N51" s="325"/>
      <c r="O51" s="325"/>
      <c r="P51" s="328"/>
    </row>
    <row r="52" spans="1:18">
      <c r="A52" s="4" t="s">
        <v>330</v>
      </c>
      <c r="B52" s="329">
        <f>vkm_2011_tram*SUMIFS(TableECFTransport[EnergieConsumptieFactor (PJ per km)],TableECFTransport[Index],"Tram_gemiddeld_Electric_Electric")</f>
        <v>3.3121135785673203E-2</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9200.3154960203356</v>
      </c>
      <c r="C54" s="21">
        <f t="shared" ref="C54:P54" si="3">(C50)*10^9/3600</f>
        <v>0</v>
      </c>
      <c r="D54" s="21">
        <f t="shared" si="3"/>
        <v>0</v>
      </c>
      <c r="E54" s="21">
        <f t="shared" si="3"/>
        <v>0</v>
      </c>
      <c r="F54" s="21">
        <f t="shared" si="3"/>
        <v>0</v>
      </c>
      <c r="G54" s="21">
        <f t="shared" si="3"/>
        <v>37495.699483103148</v>
      </c>
      <c r="H54" s="21">
        <f t="shared" si="3"/>
        <v>0</v>
      </c>
      <c r="I54" s="21">
        <f t="shared" si="3"/>
        <v>0</v>
      </c>
      <c r="J54" s="21">
        <f t="shared" si="3"/>
        <v>0</v>
      </c>
      <c r="K54" s="21">
        <f t="shared" si="3"/>
        <v>0</v>
      </c>
      <c r="L54" s="21">
        <f t="shared" si="3"/>
        <v>0</v>
      </c>
      <c r="M54" s="21">
        <f t="shared" si="3"/>
        <v>1667.5254673590816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0.20016007144005304</v>
      </c>
      <c r="C56" s="56">
        <f ca="1">'EF ele_warmte'!B22</f>
        <v>8.4117793458846971E-2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1841.5358069544575</v>
      </c>
      <c r="C58" s="23">
        <f t="shared" ref="C58:P58" ca="1" si="4">C54*C56</f>
        <v>0</v>
      </c>
      <c r="D58" s="23">
        <f t="shared" si="4"/>
        <v>0</v>
      </c>
      <c r="E58" s="23">
        <f t="shared" si="4"/>
        <v>0</v>
      </c>
      <c r="F58" s="23">
        <f t="shared" si="4"/>
        <v>0</v>
      </c>
      <c r="G58" s="23">
        <f t="shared" si="4"/>
        <v>10011.351761988541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83819.039884106867</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49375.676651456233</v>
      </c>
      <c r="C6" s="1251"/>
      <c r="D6" s="1236"/>
      <c r="E6" s="1236"/>
      <c r="F6" s="1254"/>
      <c r="G6" s="1257"/>
      <c r="H6" s="1248"/>
      <c r="I6" s="1236"/>
      <c r="J6" s="1236"/>
      <c r="K6" s="1236"/>
      <c r="L6" s="1240"/>
      <c r="M6" s="561"/>
      <c r="N6" s="1214"/>
      <c r="O6" s="1215"/>
      <c r="Q6" s="559"/>
      <c r="R6" s="1202"/>
      <c r="S6" s="1202"/>
    </row>
    <row r="7" spans="1:19" s="549" customFormat="1">
      <c r="A7" s="562" t="s">
        <v>252</v>
      </c>
      <c r="B7" s="563">
        <f>N57</f>
        <v>10278</v>
      </c>
      <c r="C7" s="564">
        <f>B100</f>
        <v>451.40983222557327</v>
      </c>
      <c r="D7" s="565"/>
      <c r="E7" s="565">
        <f>E100</f>
        <v>2896.5464234474275</v>
      </c>
      <c r="F7" s="566"/>
      <c r="G7" s="567"/>
      <c r="H7" s="565">
        <f>I100</f>
        <v>0</v>
      </c>
      <c r="I7" s="565">
        <f>G100+F100</f>
        <v>8743.8084502093516</v>
      </c>
      <c r="J7" s="565">
        <f>H100+D100+C100</f>
        <v>0</v>
      </c>
      <c r="K7" s="565"/>
      <c r="L7" s="568"/>
      <c r="M7" s="569">
        <f>C7*$C$11+D7*$D$11+E7*$E$11+F7*$F$11+G7*$G$11+H7*$H$11+I7*$I$11+J7*$J$11</f>
        <v>864.56268117002901</v>
      </c>
      <c r="N7" s="1214"/>
      <c r="O7" s="1215"/>
      <c r="Q7" s="559"/>
      <c r="R7" s="1202"/>
      <c r="S7" s="1202"/>
    </row>
    <row r="8" spans="1:19" s="549" customFormat="1" ht="17.45" customHeight="1" thickBot="1">
      <c r="A8" s="570" t="s">
        <v>248</v>
      </c>
      <c r="B8" s="571">
        <f>N88+'Eigen informatie GS &amp; warmtenet'!B12</f>
        <v>1858.5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145331.21653556312</v>
      </c>
      <c r="C9" s="580">
        <f t="shared" ref="C9:L9" si="0">SUM(C7:C8)</f>
        <v>451.40983222557327</v>
      </c>
      <c r="D9" s="580">
        <f t="shared" si="0"/>
        <v>0</v>
      </c>
      <c r="E9" s="580">
        <f t="shared" si="0"/>
        <v>2896.5464234474275</v>
      </c>
      <c r="F9" s="580">
        <f t="shared" si="0"/>
        <v>0</v>
      </c>
      <c r="G9" s="580">
        <f t="shared" si="0"/>
        <v>0</v>
      </c>
      <c r="H9" s="580">
        <f t="shared" si="0"/>
        <v>0</v>
      </c>
      <c r="I9" s="580">
        <f t="shared" si="0"/>
        <v>8743.8084502093516</v>
      </c>
      <c r="J9" s="580">
        <f t="shared" si="0"/>
        <v>5310</v>
      </c>
      <c r="K9" s="580">
        <f t="shared" si="0"/>
        <v>0</v>
      </c>
      <c r="L9" s="580">
        <f t="shared" si="0"/>
        <v>0</v>
      </c>
      <c r="M9" s="581">
        <f>SUM(M4:M8)</f>
        <v>864.56268117002901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11677.5</v>
      </c>
      <c r="C16" s="596">
        <f>B101</f>
        <v>512.87588206014129</v>
      </c>
      <c r="D16" s="597"/>
      <c r="E16" s="597">
        <f>E101</f>
        <v>3290.9535765525725</v>
      </c>
      <c r="F16" s="598"/>
      <c r="G16" s="599"/>
      <c r="H16" s="596">
        <f>I101</f>
        <v>0</v>
      </c>
      <c r="I16" s="597">
        <f>G101+F101</f>
        <v>9934.4058355049347</v>
      </c>
      <c r="J16" s="597">
        <f>H101+D101+C101</f>
        <v>0</v>
      </c>
      <c r="K16" s="597"/>
      <c r="L16" s="600"/>
      <c r="M16" s="601">
        <f>C16*$C$21+E16*$E$21+H16*$H$21+I16*$I$21+J16*$J$21+D16*$D$21+F16*$F$21+G16*$G$21+K16*$K$21+L16*$L$21</f>
        <v>982.28553311568544</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11677.5</v>
      </c>
      <c r="C19" s="579">
        <f>SUM(C16:C18)</f>
        <v>512.87588206014129</v>
      </c>
      <c r="D19" s="579">
        <f t="shared" ref="D19:M19" si="1">SUM(D16:D18)</f>
        <v>0</v>
      </c>
      <c r="E19" s="579">
        <f t="shared" si="1"/>
        <v>3290.9535765525725</v>
      </c>
      <c r="F19" s="579">
        <f t="shared" si="1"/>
        <v>0</v>
      </c>
      <c r="G19" s="579">
        <f t="shared" si="1"/>
        <v>0</v>
      </c>
      <c r="H19" s="579">
        <f t="shared" si="1"/>
        <v>0</v>
      </c>
      <c r="I19" s="579">
        <f t="shared" si="1"/>
        <v>9934.4058355049347</v>
      </c>
      <c r="J19" s="579">
        <f t="shared" si="1"/>
        <v>0</v>
      </c>
      <c r="K19" s="579">
        <f t="shared" si="1"/>
        <v>0</v>
      </c>
      <c r="L19" s="579">
        <f t="shared" si="1"/>
        <v>0</v>
      </c>
      <c r="M19" s="606">
        <f t="shared" si="1"/>
        <v>982.28553311568544</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44021</v>
      </c>
      <c r="C27" s="839">
        <v>9042</v>
      </c>
      <c r="D27" s="658" t="s">
        <v>878</v>
      </c>
      <c r="E27" s="657" t="s">
        <v>879</v>
      </c>
      <c r="F27" s="657" t="s">
        <v>880</v>
      </c>
      <c r="G27" s="657" t="s">
        <v>881</v>
      </c>
      <c r="H27" s="657" t="s">
        <v>882</v>
      </c>
      <c r="I27" s="657" t="s">
        <v>883</v>
      </c>
      <c r="J27" s="838">
        <v>39812</v>
      </c>
      <c r="K27" s="838">
        <v>39812</v>
      </c>
      <c r="L27" s="657" t="s">
        <v>884</v>
      </c>
      <c r="M27" s="657">
        <v>2200</v>
      </c>
      <c r="N27" s="657">
        <v>9900</v>
      </c>
      <c r="O27" s="657">
        <v>11137.5</v>
      </c>
      <c r="P27" s="657">
        <v>0</v>
      </c>
      <c r="Q27" s="657">
        <v>0</v>
      </c>
      <c r="R27" s="657">
        <v>0</v>
      </c>
      <c r="S27" s="657">
        <v>6187.5</v>
      </c>
      <c r="T27" s="657">
        <v>18562.5</v>
      </c>
      <c r="U27" s="657">
        <v>0</v>
      </c>
      <c r="V27" s="657">
        <v>0</v>
      </c>
      <c r="W27" s="657">
        <v>0</v>
      </c>
      <c r="X27" s="657">
        <v>300</v>
      </c>
      <c r="Y27" s="657" t="s">
        <v>34</v>
      </c>
      <c r="Z27" s="659" t="s">
        <v>390</v>
      </c>
    </row>
    <row r="28" spans="1:26" s="611" customFormat="1" ht="63.75">
      <c r="A28" s="610"/>
      <c r="B28" s="839">
        <v>44021</v>
      </c>
      <c r="C28" s="839">
        <v>9031</v>
      </c>
      <c r="D28" s="658" t="s">
        <v>885</v>
      </c>
      <c r="E28" s="657" t="s">
        <v>886</v>
      </c>
      <c r="F28" s="657" t="s">
        <v>887</v>
      </c>
      <c r="G28" s="657" t="s">
        <v>881</v>
      </c>
      <c r="H28" s="657" t="s">
        <v>888</v>
      </c>
      <c r="I28" s="657" t="s">
        <v>886</v>
      </c>
      <c r="J28" s="838">
        <v>40096</v>
      </c>
      <c r="K28" s="838">
        <v>40179</v>
      </c>
      <c r="L28" s="657" t="s">
        <v>884</v>
      </c>
      <c r="M28" s="657">
        <v>9</v>
      </c>
      <c r="N28" s="657">
        <v>40.5</v>
      </c>
      <c r="O28" s="657">
        <v>57.857142857142861</v>
      </c>
      <c r="P28" s="657">
        <v>0</v>
      </c>
      <c r="Q28" s="657">
        <v>0</v>
      </c>
      <c r="R28" s="657">
        <v>0</v>
      </c>
      <c r="S28" s="657">
        <v>0</v>
      </c>
      <c r="T28" s="657">
        <v>0</v>
      </c>
      <c r="U28" s="657">
        <v>115.71428571428572</v>
      </c>
      <c r="V28" s="657">
        <v>0</v>
      </c>
      <c r="W28" s="657">
        <v>0</v>
      </c>
      <c r="X28" s="657">
        <v>1600</v>
      </c>
      <c r="Y28" s="657" t="s">
        <v>50</v>
      </c>
      <c r="Z28" s="659" t="s">
        <v>156</v>
      </c>
    </row>
    <row r="29" spans="1:26" s="611" customFormat="1" ht="25.5">
      <c r="A29" s="610"/>
      <c r="B29" s="839">
        <v>44021</v>
      </c>
      <c r="C29" s="839">
        <v>9000</v>
      </c>
      <c r="D29" s="658" t="s">
        <v>889</v>
      </c>
      <c r="E29" s="657" t="s">
        <v>890</v>
      </c>
      <c r="F29" s="657" t="s">
        <v>891</v>
      </c>
      <c r="G29" s="657" t="s">
        <v>881</v>
      </c>
      <c r="H29" s="657" t="s">
        <v>888</v>
      </c>
      <c r="I29" s="657" t="s">
        <v>890</v>
      </c>
      <c r="J29" s="838">
        <v>40928</v>
      </c>
      <c r="K29" s="838">
        <v>41030</v>
      </c>
      <c r="L29" s="657" t="s">
        <v>884</v>
      </c>
      <c r="M29" s="657">
        <v>5</v>
      </c>
      <c r="N29" s="657">
        <v>22.5</v>
      </c>
      <c r="O29" s="657">
        <v>32.142857142857146</v>
      </c>
      <c r="P29" s="657">
        <v>64.285714285714292</v>
      </c>
      <c r="Q29" s="657">
        <v>0</v>
      </c>
      <c r="R29" s="657">
        <v>0</v>
      </c>
      <c r="S29" s="657">
        <v>0</v>
      </c>
      <c r="T29" s="657">
        <v>0</v>
      </c>
      <c r="U29" s="657">
        <v>0</v>
      </c>
      <c r="V29" s="657">
        <v>0</v>
      </c>
      <c r="W29" s="657">
        <v>0</v>
      </c>
      <c r="X29" s="657">
        <v>1300</v>
      </c>
      <c r="Y29" s="657" t="s">
        <v>54</v>
      </c>
      <c r="Z29" s="659" t="s">
        <v>156</v>
      </c>
    </row>
    <row r="30" spans="1:26" s="611" customFormat="1" ht="25.5">
      <c r="A30" s="610"/>
      <c r="B30" s="839">
        <v>44021</v>
      </c>
      <c r="C30" s="839">
        <v>9040</v>
      </c>
      <c r="D30" s="658" t="s">
        <v>892</v>
      </c>
      <c r="E30" s="657" t="s">
        <v>893</v>
      </c>
      <c r="F30" s="657" t="s">
        <v>894</v>
      </c>
      <c r="G30" s="657" t="s">
        <v>881</v>
      </c>
      <c r="H30" s="657" t="s">
        <v>888</v>
      </c>
      <c r="I30" s="657" t="s">
        <v>893</v>
      </c>
      <c r="J30" s="838">
        <v>41003</v>
      </c>
      <c r="K30" s="838">
        <v>41003</v>
      </c>
      <c r="L30" s="657" t="s">
        <v>884</v>
      </c>
      <c r="M30" s="657">
        <v>70</v>
      </c>
      <c r="N30" s="657">
        <v>315.00000000000006</v>
      </c>
      <c r="O30" s="657">
        <v>450.00000000000011</v>
      </c>
      <c r="P30" s="657">
        <v>900.00000000000023</v>
      </c>
      <c r="Q30" s="657">
        <v>0</v>
      </c>
      <c r="R30" s="657">
        <v>0</v>
      </c>
      <c r="S30" s="657">
        <v>0</v>
      </c>
      <c r="T30" s="657">
        <v>0</v>
      </c>
      <c r="U30" s="657">
        <v>0</v>
      </c>
      <c r="V30" s="657">
        <v>0</v>
      </c>
      <c r="W30" s="657">
        <v>0</v>
      </c>
      <c r="X30" s="657">
        <v>1300</v>
      </c>
      <c r="Y30" s="657" t="s">
        <v>54</v>
      </c>
      <c r="Z30" s="659" t="s">
        <v>156</v>
      </c>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2284</v>
      </c>
      <c r="N57" s="615">
        <f>SUM(N27:N56)</f>
        <v>10278</v>
      </c>
      <c r="O57" s="615">
        <f t="shared" ref="O57:W57" si="2">SUM(O27:O56)</f>
        <v>11677.5</v>
      </c>
      <c r="P57" s="615">
        <f t="shared" si="2"/>
        <v>964.28571428571456</v>
      </c>
      <c r="Q57" s="615">
        <f t="shared" si="2"/>
        <v>0</v>
      </c>
      <c r="R57" s="615">
        <f t="shared" si="2"/>
        <v>0</v>
      </c>
      <c r="S57" s="615">
        <f t="shared" si="2"/>
        <v>6187.5</v>
      </c>
      <c r="T57" s="615">
        <f t="shared" si="2"/>
        <v>18562.5</v>
      </c>
      <c r="U57" s="615">
        <f t="shared" si="2"/>
        <v>115.71428571428572</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2200</v>
      </c>
      <c r="N58" s="615">
        <f t="shared" ref="N58:W58" si="3">SUMIF($Z$27:$Z$56,"industrie",N27:N56)</f>
        <v>9900</v>
      </c>
      <c r="O58" s="615">
        <f t="shared" si="3"/>
        <v>11137.5</v>
      </c>
      <c r="P58" s="615">
        <f t="shared" si="3"/>
        <v>0</v>
      </c>
      <c r="Q58" s="615">
        <f t="shared" si="3"/>
        <v>0</v>
      </c>
      <c r="R58" s="615">
        <f t="shared" si="3"/>
        <v>0</v>
      </c>
      <c r="S58" s="615">
        <f t="shared" si="3"/>
        <v>6187.5</v>
      </c>
      <c r="T58" s="615">
        <f t="shared" si="3"/>
        <v>18562.5</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84</v>
      </c>
      <c r="N59" s="615">
        <f ca="1">SUMIF($Z$27:AB56,"tertiair",N27:N56)</f>
        <v>378.00000000000006</v>
      </c>
      <c r="O59" s="615">
        <f ca="1">SUMIF($Z$27:AC56,"tertiair",O27:O56)</f>
        <v>540.00000000000011</v>
      </c>
      <c r="P59" s="615">
        <f ca="1">SUMIF($Z$27:AD56,"tertiair",P27:P56)</f>
        <v>964.28571428571456</v>
      </c>
      <c r="Q59" s="615">
        <f ca="1">SUMIF($Z$27:AE56,"tertiair",Q27:Q56)</f>
        <v>0</v>
      </c>
      <c r="R59" s="615">
        <f ca="1">SUMIF($Z$27:AF56,"tertiair",R27:R56)</f>
        <v>0</v>
      </c>
      <c r="S59" s="615">
        <f ca="1">SUMIF($Z$27:AG56,"tertiair",S27:S56)</f>
        <v>0</v>
      </c>
      <c r="T59" s="615">
        <f ca="1">SUMIF($Z$27:AH56,"tertiair",T27:T56)</f>
        <v>0</v>
      </c>
      <c r="U59" s="615">
        <f ca="1">SUMIF($Z$27:AI56,"tertiair",U27:U56)</f>
        <v>115.71428571428572</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44021</v>
      </c>
      <c r="C63" s="839">
        <v>9000</v>
      </c>
      <c r="D63" s="660" t="s">
        <v>895</v>
      </c>
      <c r="E63" s="660" t="s">
        <v>896</v>
      </c>
      <c r="F63" s="660" t="s">
        <v>897</v>
      </c>
      <c r="G63" s="660" t="s">
        <v>898</v>
      </c>
      <c r="H63" s="660" t="s">
        <v>899</v>
      </c>
      <c r="I63" s="660" t="s">
        <v>900</v>
      </c>
      <c r="J63" s="838">
        <v>38292</v>
      </c>
      <c r="K63" s="838">
        <v>38687</v>
      </c>
      <c r="L63" s="660" t="s">
        <v>901</v>
      </c>
      <c r="M63" s="660">
        <v>413</v>
      </c>
      <c r="N63" s="660">
        <v>1858.5</v>
      </c>
      <c r="O63" s="660">
        <v>0</v>
      </c>
      <c r="P63" s="660">
        <v>0</v>
      </c>
      <c r="Q63" s="660">
        <v>5310</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413</v>
      </c>
      <c r="N88" s="615">
        <f t="shared" ref="N88:W88" si="5">SUM(N63:N87)</f>
        <v>1858.5</v>
      </c>
      <c r="O88" s="615">
        <f t="shared" si="5"/>
        <v>0</v>
      </c>
      <c r="P88" s="615">
        <f t="shared" si="5"/>
        <v>0</v>
      </c>
      <c r="Q88" s="615">
        <f t="shared" si="5"/>
        <v>5310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413</v>
      </c>
      <c r="N90" s="615">
        <f t="shared" ref="N90:W90" si="7">SUMIF($Z$63:$Z$88,"tertiair",N63:N88)</f>
        <v>1858.5</v>
      </c>
      <c r="O90" s="615">
        <f t="shared" si="7"/>
        <v>0</v>
      </c>
      <c r="P90" s="615">
        <f t="shared" si="7"/>
        <v>0</v>
      </c>
      <c r="Q90" s="615">
        <f t="shared" si="7"/>
        <v>5310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0.53187128509940562</v>
      </c>
      <c r="C97" s="640">
        <f>IF(ISERROR(N57/(O57+N57)),0,N57/(N57+O57))</f>
        <v>0.46812871490059438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451.40983222557327</v>
      </c>
      <c r="C100" s="649">
        <f t="shared" si="9"/>
        <v>0</v>
      </c>
      <c r="D100" s="649">
        <f t="shared" si="9"/>
        <v>0</v>
      </c>
      <c r="E100" s="649">
        <f t="shared" si="9"/>
        <v>2896.5464234474275</v>
      </c>
      <c r="F100" s="649">
        <f t="shared" si="9"/>
        <v>8689.6392703422825</v>
      </c>
      <c r="G100" s="649">
        <f t="shared" si="9"/>
        <v>54.169179867068785</v>
      </c>
      <c r="H100" s="649">
        <f t="shared" si="9"/>
        <v>0</v>
      </c>
      <c r="I100" s="650">
        <f t="shared" si="9"/>
        <v>0</v>
      </c>
      <c r="J100" s="607"/>
      <c r="K100" s="607"/>
      <c r="L100" s="645"/>
      <c r="M100" s="632"/>
      <c r="N100" s="632"/>
    </row>
    <row r="101" spans="1:14" ht="15.75" thickBot="1">
      <c r="A101" s="651" t="s">
        <v>286</v>
      </c>
      <c r="B101" s="652">
        <f>$B$97*P57</f>
        <v>512.87588206014129</v>
      </c>
      <c r="C101" s="652">
        <f t="shared" ref="C101:H101" si="10">$B$97*Q57</f>
        <v>0</v>
      </c>
      <c r="D101" s="652">
        <f t="shared" si="10"/>
        <v>0</v>
      </c>
      <c r="E101" s="652">
        <f t="shared" si="10"/>
        <v>3290.9535765525725</v>
      </c>
      <c r="F101" s="652">
        <f t="shared" si="10"/>
        <v>9872.8607296577175</v>
      </c>
      <c r="G101" s="652">
        <f t="shared" si="10"/>
        <v>61.545105847216938</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701360.14130041609</v>
      </c>
      <c r="D10" s="704">
        <f ca="1">tertiair!C16</f>
        <v>540.00000000000011</v>
      </c>
      <c r="E10" s="704">
        <f ca="1">tertiair!D16</f>
        <v>892446.87573978794</v>
      </c>
      <c r="F10" s="704">
        <f>tertiair!E16</f>
        <v>7521.9677652300552</v>
      </c>
      <c r="G10" s="704">
        <f ca="1">tertiair!F16</f>
        <v>144001.54256794957</v>
      </c>
      <c r="H10" s="704">
        <f>tertiair!G16</f>
        <v>0</v>
      </c>
      <c r="I10" s="704">
        <f>tertiair!H16</f>
        <v>0</v>
      </c>
      <c r="J10" s="704">
        <f>tertiair!I16</f>
        <v>0</v>
      </c>
      <c r="K10" s="704">
        <f>tertiair!J16</f>
        <v>0</v>
      </c>
      <c r="L10" s="704">
        <f>tertiair!K16</f>
        <v>0</v>
      </c>
      <c r="M10" s="704">
        <f ca="1">tertiair!L16</f>
        <v>0</v>
      </c>
      <c r="N10" s="704">
        <f>tertiair!M16</f>
        <v>0</v>
      </c>
      <c r="O10" s="704">
        <f ca="1">tertiair!N16</f>
        <v>32301.910749070201</v>
      </c>
      <c r="P10" s="704">
        <f>tertiair!O16</f>
        <v>25.013333333333335</v>
      </c>
      <c r="Q10" s="705">
        <f>tertiair!P16</f>
        <v>266.93333333333334</v>
      </c>
      <c r="R10" s="707">
        <f ca="1">SUM(C10:Q10)</f>
        <v>1778464.3847891204</v>
      </c>
      <c r="S10" s="67"/>
    </row>
    <row r="11" spans="1:19" s="459" customFormat="1">
      <c r="A11" s="858" t="s">
        <v>225</v>
      </c>
      <c r="B11" s="863"/>
      <c r="C11" s="704">
        <f>huishoudens!B8</f>
        <v>391822.79248995025</v>
      </c>
      <c r="D11" s="704">
        <f>huishoudens!C8</f>
        <v>0</v>
      </c>
      <c r="E11" s="704">
        <f>huishoudens!D8</f>
        <v>1228457.2845739196</v>
      </c>
      <c r="F11" s="704">
        <f>huishoudens!E8</f>
        <v>25577.527280916682</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98627.957649152231</v>
      </c>
      <c r="P11" s="704">
        <f>huishoudens!O8</f>
        <v>1469.5333333333333</v>
      </c>
      <c r="Q11" s="705">
        <f>huishoudens!P8</f>
        <v>5052.666666666667</v>
      </c>
      <c r="R11" s="707">
        <f>SUM(C11:Q11)</f>
        <v>1751007.7619939391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394175.03611205705</v>
      </c>
      <c r="D13" s="704">
        <f>industrie!C18</f>
        <v>11137.5</v>
      </c>
      <c r="E13" s="704">
        <f>industrie!D18</f>
        <v>345886.10859603318</v>
      </c>
      <c r="F13" s="704">
        <f>industrie!E18</f>
        <v>22809.208533619694</v>
      </c>
      <c r="G13" s="704">
        <f>industrie!F18</f>
        <v>124095.81621887733</v>
      </c>
      <c r="H13" s="704">
        <f>industrie!G18</f>
        <v>0</v>
      </c>
      <c r="I13" s="704">
        <f>industrie!H18</f>
        <v>0</v>
      </c>
      <c r="J13" s="704">
        <f>industrie!I18</f>
        <v>0</v>
      </c>
      <c r="K13" s="704">
        <f>industrie!J18</f>
        <v>857.97898802299324</v>
      </c>
      <c r="L13" s="704">
        <f>industrie!K18</f>
        <v>0</v>
      </c>
      <c r="M13" s="704">
        <f>industrie!L18</f>
        <v>0</v>
      </c>
      <c r="N13" s="704">
        <f>industrie!M18</f>
        <v>0</v>
      </c>
      <c r="O13" s="704">
        <f>industrie!N18</f>
        <v>80357.300726778136</v>
      </c>
      <c r="P13" s="704">
        <f>industrie!O18</f>
        <v>0</v>
      </c>
      <c r="Q13" s="705">
        <f>industrie!P18</f>
        <v>0</v>
      </c>
      <c r="R13" s="707">
        <f>SUM(C13:Q13)</f>
        <v>979318.94917538832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1487357.9699024234</v>
      </c>
      <c r="D15" s="709">
        <f t="shared" ref="D15:Q15" ca="1" si="0">SUM(D9:D14)</f>
        <v>11677.5</v>
      </c>
      <c r="E15" s="709">
        <f t="shared" ca="1" si="0"/>
        <v>2466790.2689097412</v>
      </c>
      <c r="F15" s="709">
        <f t="shared" si="0"/>
        <v>55908.703579766428</v>
      </c>
      <c r="G15" s="709">
        <f t="shared" ca="1" si="0"/>
        <v>268097.3587868269</v>
      </c>
      <c r="H15" s="709">
        <f t="shared" si="0"/>
        <v>0</v>
      </c>
      <c r="I15" s="709">
        <f t="shared" si="0"/>
        <v>0</v>
      </c>
      <c r="J15" s="709">
        <f t="shared" si="0"/>
        <v>0</v>
      </c>
      <c r="K15" s="709">
        <f t="shared" si="0"/>
        <v>857.97898802299324</v>
      </c>
      <c r="L15" s="709">
        <f t="shared" si="0"/>
        <v>0</v>
      </c>
      <c r="M15" s="709">
        <f t="shared" ca="1" si="0"/>
        <v>0</v>
      </c>
      <c r="N15" s="709">
        <f t="shared" si="0"/>
        <v>0</v>
      </c>
      <c r="O15" s="709">
        <f t="shared" ca="1" si="0"/>
        <v>211287.16912500057</v>
      </c>
      <c r="P15" s="709">
        <f t="shared" si="0"/>
        <v>1494.5466666666666</v>
      </c>
      <c r="Q15" s="710">
        <f t="shared" si="0"/>
        <v>5319.6</v>
      </c>
      <c r="R15" s="711">
        <f ca="1">SUM(R9:R14)</f>
        <v>4508791.095958448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9200.3154960203356</v>
      </c>
      <c r="D18" s="704">
        <f>transport!C54</f>
        <v>0</v>
      </c>
      <c r="E18" s="704">
        <f>transport!D54</f>
        <v>0</v>
      </c>
      <c r="F18" s="704">
        <f>transport!E54</f>
        <v>0</v>
      </c>
      <c r="G18" s="704">
        <f>transport!F54</f>
        <v>0</v>
      </c>
      <c r="H18" s="704">
        <f>transport!G54</f>
        <v>37495.699483103148</v>
      </c>
      <c r="I18" s="704">
        <f>transport!H54</f>
        <v>0</v>
      </c>
      <c r="J18" s="704">
        <f>transport!I54</f>
        <v>0</v>
      </c>
      <c r="K18" s="704">
        <f>transport!J54</f>
        <v>0</v>
      </c>
      <c r="L18" s="704">
        <f>transport!K54</f>
        <v>0</v>
      </c>
      <c r="M18" s="704">
        <f>transport!L54</f>
        <v>0</v>
      </c>
      <c r="N18" s="704">
        <f>transport!M54</f>
        <v>1667.5254673590816</v>
      </c>
      <c r="O18" s="704">
        <f>transport!N54</f>
        <v>0</v>
      </c>
      <c r="P18" s="704">
        <f>transport!O54</f>
        <v>0</v>
      </c>
      <c r="Q18" s="705">
        <f>transport!P54</f>
        <v>0</v>
      </c>
      <c r="R18" s="707">
        <f>SUM(C18:Q18)</f>
        <v>48363.54044648257</v>
      </c>
      <c r="S18" s="67"/>
    </row>
    <row r="19" spans="1:19" s="459" customFormat="1" ht="15" thickBot="1">
      <c r="A19" s="858" t="s">
        <v>307</v>
      </c>
      <c r="B19" s="863"/>
      <c r="C19" s="713">
        <f>transport!B14</f>
        <v>107.0252997517359</v>
      </c>
      <c r="D19" s="713">
        <f>transport!C14</f>
        <v>0</v>
      </c>
      <c r="E19" s="713">
        <f>transport!D14</f>
        <v>177.79389418392742</v>
      </c>
      <c r="F19" s="713">
        <f>transport!E14</f>
        <v>6074.613535234339</v>
      </c>
      <c r="G19" s="713">
        <f>transport!F14</f>
        <v>0</v>
      </c>
      <c r="H19" s="713">
        <f>transport!G14</f>
        <v>1746759.0384103644</v>
      </c>
      <c r="I19" s="713">
        <f>transport!H14</f>
        <v>271493.21421045146</v>
      </c>
      <c r="J19" s="713">
        <f>transport!I14</f>
        <v>0</v>
      </c>
      <c r="K19" s="713">
        <f>transport!J14</f>
        <v>0</v>
      </c>
      <c r="L19" s="713">
        <f>transport!K14</f>
        <v>0</v>
      </c>
      <c r="M19" s="713">
        <f>transport!L14</f>
        <v>0</v>
      </c>
      <c r="N19" s="713">
        <f>transport!M14</f>
        <v>91214.902346875082</v>
      </c>
      <c r="O19" s="713">
        <f>transport!N14</f>
        <v>0</v>
      </c>
      <c r="P19" s="713">
        <f>transport!O14</f>
        <v>0</v>
      </c>
      <c r="Q19" s="714">
        <f>transport!P14</f>
        <v>0</v>
      </c>
      <c r="R19" s="715">
        <f>SUM(C19:Q19)</f>
        <v>2115826.587696861</v>
      </c>
      <c r="S19" s="67"/>
    </row>
    <row r="20" spans="1:19" s="459" customFormat="1" ht="15.75" thickBot="1">
      <c r="A20" s="716" t="s">
        <v>230</v>
      </c>
      <c r="B20" s="866"/>
      <c r="C20" s="861">
        <f>SUM(C17:C19)</f>
        <v>9307.3407957720719</v>
      </c>
      <c r="D20" s="717">
        <f t="shared" ref="D20:R20" si="1">SUM(D17:D19)</f>
        <v>0</v>
      </c>
      <c r="E20" s="717">
        <f t="shared" si="1"/>
        <v>177.79389418392742</v>
      </c>
      <c r="F20" s="717">
        <f t="shared" si="1"/>
        <v>6074.613535234339</v>
      </c>
      <c r="G20" s="717">
        <f t="shared" si="1"/>
        <v>0</v>
      </c>
      <c r="H20" s="717">
        <f t="shared" si="1"/>
        <v>1784254.7378934675</v>
      </c>
      <c r="I20" s="717">
        <f t="shared" si="1"/>
        <v>271493.21421045146</v>
      </c>
      <c r="J20" s="717">
        <f t="shared" si="1"/>
        <v>0</v>
      </c>
      <c r="K20" s="717">
        <f t="shared" si="1"/>
        <v>0</v>
      </c>
      <c r="L20" s="717">
        <f t="shared" si="1"/>
        <v>0</v>
      </c>
      <c r="M20" s="717">
        <f t="shared" si="1"/>
        <v>0</v>
      </c>
      <c r="N20" s="717">
        <f t="shared" si="1"/>
        <v>92882.427814234165</v>
      </c>
      <c r="O20" s="717">
        <f t="shared" si="1"/>
        <v>0</v>
      </c>
      <c r="P20" s="717">
        <f t="shared" si="1"/>
        <v>0</v>
      </c>
      <c r="Q20" s="718">
        <f t="shared" si="1"/>
        <v>0</v>
      </c>
      <c r="R20" s="719">
        <f t="shared" si="1"/>
        <v>2164190.1281433436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3034.4643411941011</v>
      </c>
      <c r="D22" s="713">
        <f>+landbouw!C8</f>
        <v>0</v>
      </c>
      <c r="E22" s="713">
        <f>+landbouw!D8</f>
        <v>95160.910148967974</v>
      </c>
      <c r="F22" s="713">
        <f>+landbouw!E8</f>
        <v>38.238159883934856</v>
      </c>
      <c r="G22" s="713">
        <f>+landbouw!F8</f>
        <v>10469.662155859662</v>
      </c>
      <c r="H22" s="713">
        <f>+landbouw!G8</f>
        <v>0</v>
      </c>
      <c r="I22" s="713">
        <f>+landbouw!H8</f>
        <v>0</v>
      </c>
      <c r="J22" s="713">
        <f>+landbouw!I8</f>
        <v>0</v>
      </c>
      <c r="K22" s="713">
        <f>+landbouw!J8</f>
        <v>456.34894234238891</v>
      </c>
      <c r="L22" s="713">
        <f>+landbouw!K8</f>
        <v>0</v>
      </c>
      <c r="M22" s="713">
        <f>+landbouw!L8</f>
        <v>0</v>
      </c>
      <c r="N22" s="713">
        <f>+landbouw!M8</f>
        <v>0</v>
      </c>
      <c r="O22" s="713">
        <f>+landbouw!N8</f>
        <v>0</v>
      </c>
      <c r="P22" s="713">
        <f>+landbouw!O8</f>
        <v>0</v>
      </c>
      <c r="Q22" s="714">
        <f>+landbouw!P8</f>
        <v>0</v>
      </c>
      <c r="R22" s="715">
        <f>SUM(C22:Q22)</f>
        <v>109159.62374824808</v>
      </c>
      <c r="S22" s="67"/>
    </row>
    <row r="23" spans="1:19" s="459" customFormat="1" ht="17.25" thickTop="1" thickBot="1">
      <c r="A23" s="720" t="s">
        <v>116</v>
      </c>
      <c r="B23" s="852"/>
      <c r="C23" s="721">
        <f ca="1">C20+C15+C22</f>
        <v>1499699.7750393897</v>
      </c>
      <c r="D23" s="721">
        <f t="shared" ref="D23:Q23" ca="1" si="2">D20+D15+D22</f>
        <v>11677.5</v>
      </c>
      <c r="E23" s="721">
        <f t="shared" ca="1" si="2"/>
        <v>2562128.972952893</v>
      </c>
      <c r="F23" s="721">
        <f t="shared" si="2"/>
        <v>62021.555274884704</v>
      </c>
      <c r="G23" s="721">
        <f t="shared" ca="1" si="2"/>
        <v>278567.02094268653</v>
      </c>
      <c r="H23" s="721">
        <f t="shared" si="2"/>
        <v>1784254.7378934675</v>
      </c>
      <c r="I23" s="721">
        <f t="shared" si="2"/>
        <v>271493.21421045146</v>
      </c>
      <c r="J23" s="721">
        <f t="shared" si="2"/>
        <v>0</v>
      </c>
      <c r="K23" s="721">
        <f t="shared" si="2"/>
        <v>1314.3279303653821</v>
      </c>
      <c r="L23" s="721">
        <f t="shared" si="2"/>
        <v>0</v>
      </c>
      <c r="M23" s="721">
        <f t="shared" ca="1" si="2"/>
        <v>0</v>
      </c>
      <c r="N23" s="721">
        <f t="shared" si="2"/>
        <v>92882.427814234165</v>
      </c>
      <c r="O23" s="721">
        <f t="shared" ca="1" si="2"/>
        <v>211287.16912500057</v>
      </c>
      <c r="P23" s="721">
        <f t="shared" si="2"/>
        <v>1494.5466666666666</v>
      </c>
      <c r="Q23" s="722">
        <f t="shared" si="2"/>
        <v>5319.6</v>
      </c>
      <c r="R23" s="723">
        <f ca="1">R20+R15+R22</f>
        <v>6782140.8478500396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140384.29598789697</v>
      </c>
      <c r="D36" s="704">
        <f ca="1">tertiair!C20</f>
        <v>45.42360846777737</v>
      </c>
      <c r="E36" s="704">
        <f ca="1">tertiair!D20</f>
        <v>180274.26889943719</v>
      </c>
      <c r="F36" s="704">
        <f>tertiair!E20</f>
        <v>1707.4866827072226</v>
      </c>
      <c r="G36" s="704">
        <f ca="1">tertiair!F20</f>
        <v>38448.411865642534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360859.88704415166</v>
      </c>
    </row>
    <row r="37" spans="1:18">
      <c r="A37" s="873" t="s">
        <v>225</v>
      </c>
      <c r="B37" s="880"/>
      <c r="C37" s="704">
        <f ca="1">huishoudens!B12</f>
        <v>78427.278136629524</v>
      </c>
      <c r="D37" s="704">
        <f ca="1">huishoudens!C12</f>
        <v>0</v>
      </c>
      <c r="E37" s="704">
        <f>huishoudens!D12</f>
        <v>248148.37148393178</v>
      </c>
      <c r="F37" s="704">
        <f>huishoudens!E12</f>
        <v>5806.0986927680869</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332381.74831332936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78898.103388074829</v>
      </c>
      <c r="D39" s="704">
        <f ca="1">industrie!C22</f>
        <v>936.86192464790815</v>
      </c>
      <c r="E39" s="704">
        <f>industrie!D22</f>
        <v>69868.993936398707</v>
      </c>
      <c r="F39" s="704">
        <f>industrie!E22</f>
        <v>5177.6903371316712</v>
      </c>
      <c r="G39" s="704">
        <f>industrie!F22</f>
        <v>33133.58293044025</v>
      </c>
      <c r="H39" s="704">
        <f>industrie!G22</f>
        <v>0</v>
      </c>
      <c r="I39" s="704">
        <f>industrie!H22</f>
        <v>0</v>
      </c>
      <c r="J39" s="704">
        <f>industrie!I22</f>
        <v>0</v>
      </c>
      <c r="K39" s="704">
        <f>industrie!J22</f>
        <v>303.72456176013958</v>
      </c>
      <c r="L39" s="704">
        <f>industrie!K22</f>
        <v>0</v>
      </c>
      <c r="M39" s="704">
        <f>industrie!L22</f>
        <v>0</v>
      </c>
      <c r="N39" s="704">
        <f>industrie!M22</f>
        <v>0</v>
      </c>
      <c r="O39" s="704">
        <f>industrie!N22</f>
        <v>0</v>
      </c>
      <c r="P39" s="704">
        <f>industrie!O22</f>
        <v>0</v>
      </c>
      <c r="Q39" s="814">
        <f>industrie!P22</f>
        <v>0</v>
      </c>
      <c r="R39" s="906">
        <f ca="1">SUM(C39:Q39)</f>
        <v>188318.9570784535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297709.67751260131</v>
      </c>
      <c r="D41" s="749">
        <f t="shared" ref="D41:R41" ca="1" si="4">SUM(D35:D40)</f>
        <v>982.28553311568555</v>
      </c>
      <c r="E41" s="749">
        <f t="shared" ca="1" si="4"/>
        <v>498291.63431976765</v>
      </c>
      <c r="F41" s="749">
        <f t="shared" si="4"/>
        <v>12691.275712606981</v>
      </c>
      <c r="G41" s="749">
        <f t="shared" ca="1" si="4"/>
        <v>71581.994796082785</v>
      </c>
      <c r="H41" s="749">
        <f t="shared" si="4"/>
        <v>0</v>
      </c>
      <c r="I41" s="749">
        <f t="shared" si="4"/>
        <v>0</v>
      </c>
      <c r="J41" s="749">
        <f t="shared" si="4"/>
        <v>0</v>
      </c>
      <c r="K41" s="749">
        <f t="shared" si="4"/>
        <v>303.72456176013958</v>
      </c>
      <c r="L41" s="749">
        <f t="shared" si="4"/>
        <v>0</v>
      </c>
      <c r="M41" s="749">
        <f t="shared" ca="1" si="4"/>
        <v>0</v>
      </c>
      <c r="N41" s="749">
        <f t="shared" si="4"/>
        <v>0</v>
      </c>
      <c r="O41" s="749">
        <f t="shared" ca="1" si="4"/>
        <v>0</v>
      </c>
      <c r="P41" s="749">
        <f t="shared" si="4"/>
        <v>0</v>
      </c>
      <c r="Q41" s="750">
        <f t="shared" si="4"/>
        <v>0</v>
      </c>
      <c r="R41" s="751">
        <f t="shared" ca="1" si="4"/>
        <v>881560.59243593446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1841.5358069544575</v>
      </c>
      <c r="D44" s="704">
        <f ca="1">transport!C58</f>
        <v>0</v>
      </c>
      <c r="E44" s="704">
        <f>transport!D58</f>
        <v>0</v>
      </c>
      <c r="F44" s="704">
        <f>transport!E58</f>
        <v>0</v>
      </c>
      <c r="G44" s="704">
        <f>transport!F58</f>
        <v>0</v>
      </c>
      <c r="H44" s="704">
        <f>transport!G58</f>
        <v>10011.351761988541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11852.887568942999</v>
      </c>
    </row>
    <row r="45" spans="1:18" ht="15" thickBot="1">
      <c r="A45" s="876" t="s">
        <v>307</v>
      </c>
      <c r="B45" s="886"/>
      <c r="C45" s="713">
        <f ca="1">transport!B18</f>
        <v>21.422191644200549</v>
      </c>
      <c r="D45" s="713">
        <f>transport!C18</f>
        <v>0</v>
      </c>
      <c r="E45" s="713">
        <f>transport!D18</f>
        <v>35.914366625153342</v>
      </c>
      <c r="F45" s="713">
        <f>transport!E18</f>
        <v>1378.9372724981949</v>
      </c>
      <c r="G45" s="713">
        <f>transport!F18</f>
        <v>0</v>
      </c>
      <c r="H45" s="713">
        <f>transport!G18</f>
        <v>466384.66325556731</v>
      </c>
      <c r="I45" s="713">
        <f>transport!H18</f>
        <v>67601.810338402414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535422.74742473732</v>
      </c>
    </row>
    <row r="46" spans="1:18" ht="15.75" thickBot="1">
      <c r="A46" s="874" t="s">
        <v>230</v>
      </c>
      <c r="B46" s="887"/>
      <c r="C46" s="749">
        <f t="shared" ref="C46:R46" ca="1" si="5">SUM(C43:C45)</f>
        <v>1862.9579985986579</v>
      </c>
      <c r="D46" s="749">
        <f t="shared" ca="1" si="5"/>
        <v>0</v>
      </c>
      <c r="E46" s="749">
        <f t="shared" si="5"/>
        <v>35.914366625153342</v>
      </c>
      <c r="F46" s="749">
        <f t="shared" si="5"/>
        <v>1378.9372724981949</v>
      </c>
      <c r="G46" s="749">
        <f t="shared" si="5"/>
        <v>0</v>
      </c>
      <c r="H46" s="749">
        <f t="shared" si="5"/>
        <v>476396.01501755585</v>
      </c>
      <c r="I46" s="749">
        <f t="shared" si="5"/>
        <v>67601.810338402414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547275.63499368029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607.37859931570472</v>
      </c>
      <c r="D48" s="704">
        <f ca="1">+landbouw!C12</f>
        <v>0</v>
      </c>
      <c r="E48" s="704">
        <f>+landbouw!D12</f>
        <v>19222.503850091533</v>
      </c>
      <c r="F48" s="704">
        <f>+landbouw!E12</f>
        <v>8.6800622936532132</v>
      </c>
      <c r="G48" s="704">
        <f>+landbouw!F12</f>
        <v>2795.3997956145299</v>
      </c>
      <c r="H48" s="704">
        <f>+landbouw!G12</f>
        <v>0</v>
      </c>
      <c r="I48" s="704">
        <f>+landbouw!H12</f>
        <v>0</v>
      </c>
      <c r="J48" s="704">
        <f>+landbouw!I12</f>
        <v>0</v>
      </c>
      <c r="K48" s="704">
        <f>+landbouw!J12</f>
        <v>161.54752558920566</v>
      </c>
      <c r="L48" s="704">
        <f>+landbouw!K12</f>
        <v>0</v>
      </c>
      <c r="M48" s="704">
        <f>+landbouw!L12</f>
        <v>0</v>
      </c>
      <c r="N48" s="704">
        <f>+landbouw!M12</f>
        <v>0</v>
      </c>
      <c r="O48" s="704">
        <f>+landbouw!N12</f>
        <v>0</v>
      </c>
      <c r="P48" s="704">
        <f>+landbouw!O12</f>
        <v>0</v>
      </c>
      <c r="Q48" s="705">
        <f>+landbouw!P12</f>
        <v>0</v>
      </c>
      <c r="R48" s="747">
        <f ca="1">SUM(C48:Q48)</f>
        <v>22795.509832904623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300180.01411051565</v>
      </c>
      <c r="D53" s="759">
        <f t="shared" ref="D53:Q53" ca="1" si="6">D41+D46+D48</f>
        <v>982.28553311568555</v>
      </c>
      <c r="E53" s="759">
        <f t="shared" ca="1" si="6"/>
        <v>517550.05253648432</v>
      </c>
      <c r="F53" s="759">
        <f t="shared" si="6"/>
        <v>14078.893047398829</v>
      </c>
      <c r="G53" s="759">
        <f t="shared" ca="1" si="6"/>
        <v>74377.394591697317</v>
      </c>
      <c r="H53" s="759">
        <f t="shared" si="6"/>
        <v>476396.01501755585</v>
      </c>
      <c r="I53" s="759">
        <f t="shared" si="6"/>
        <v>67601.810338402414</v>
      </c>
      <c r="J53" s="759">
        <f t="shared" si="6"/>
        <v>0</v>
      </c>
      <c r="K53" s="759">
        <f t="shared" si="6"/>
        <v>465.27208734934527</v>
      </c>
      <c r="L53" s="759">
        <f t="shared" si="6"/>
        <v>0</v>
      </c>
      <c r="M53" s="759">
        <f t="shared" ca="1" si="6"/>
        <v>0</v>
      </c>
      <c r="N53" s="759">
        <f t="shared" si="6"/>
        <v>0</v>
      </c>
      <c r="O53" s="759">
        <f t="shared" ca="1" si="6"/>
        <v>0</v>
      </c>
      <c r="P53" s="759">
        <f>P41+P46+P48</f>
        <v>0</v>
      </c>
      <c r="Q53" s="760">
        <f t="shared" si="6"/>
        <v>0</v>
      </c>
      <c r="R53" s="761">
        <f ca="1">R41+R46+R48</f>
        <v>1451631.7372625195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0.20016007144005299</v>
      </c>
      <c r="D55" s="824">
        <f t="shared" ca="1" si="7"/>
        <v>8.4117793458846971E-2</v>
      </c>
      <c r="E55" s="824">
        <f t="shared" ca="1" si="7"/>
        <v>0.20199999999999999</v>
      </c>
      <c r="F55" s="824">
        <f t="shared" si="7"/>
        <v>0.22700000000000004</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83819.039884106867</v>
      </c>
      <c r="C64" s="781">
        <f>'lokale energieproductie'!B4</f>
        <v>83819.039884106867</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49375.676651456233</v>
      </c>
      <c r="C66" s="781">
        <f>'lokale energieproductie'!B6</f>
        <v>49375.676651456233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10278</v>
      </c>
      <c r="C67" s="780">
        <f>B67*IFERROR(SUM(J67:L67)/SUM(D67:M67),0)</f>
        <v>7432.237182677949</v>
      </c>
      <c r="D67" s="812">
        <f>'lokale energieproductie'!C7</f>
        <v>451.40983222557327</v>
      </c>
      <c r="E67" s="813">
        <f>'lokale energieproductie'!D7</f>
        <v>0</v>
      </c>
      <c r="F67" s="813">
        <f>'lokale energieproductie'!E7</f>
        <v>2896.5464234474275</v>
      </c>
      <c r="G67" s="813">
        <f>'lokale energieproductie'!F7</f>
        <v>0</v>
      </c>
      <c r="H67" s="813">
        <f>'lokale energieproductie'!G7</f>
        <v>0</v>
      </c>
      <c r="I67" s="813">
        <f>'lokale energieproductie'!H7</f>
        <v>0</v>
      </c>
      <c r="J67" s="813">
        <f>'lokale energieproductie'!I7</f>
        <v>8743.8084502093516</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864.56268117002901</v>
      </c>
      <c r="P67" s="910">
        <v>0</v>
      </c>
      <c r="Q67" s="771"/>
      <c r="R67" s="728"/>
    </row>
    <row r="68" spans="1:18" ht="30.75" thickBot="1">
      <c r="A68" s="787" t="s">
        <v>353</v>
      </c>
      <c r="B68" s="780">
        <f>'lokale energieproductie'!B8</f>
        <v>1858.5</v>
      </c>
      <c r="C68" s="780">
        <f>B68*IFERROR(SUM(J68:L68)/SUM(D68:M68),0)</f>
        <v>1858.5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5310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145331.21653556312</v>
      </c>
      <c r="C69" s="789">
        <f>SUM(C64:C68)</f>
        <v>142485.45371824107</v>
      </c>
      <c r="D69" s="790">
        <f t="shared" ref="D69:M69" si="8">SUM(D67:D68)</f>
        <v>451.40983222557327</v>
      </c>
      <c r="E69" s="790">
        <f t="shared" si="8"/>
        <v>0</v>
      </c>
      <c r="F69" s="790">
        <f t="shared" si="8"/>
        <v>2896.5464234474275</v>
      </c>
      <c r="G69" s="790">
        <f t="shared" si="8"/>
        <v>0</v>
      </c>
      <c r="H69" s="790">
        <f t="shared" si="8"/>
        <v>0</v>
      </c>
      <c r="I69" s="790">
        <f t="shared" si="8"/>
        <v>0</v>
      </c>
      <c r="J69" s="790">
        <f t="shared" si="8"/>
        <v>8743.8084502093516</v>
      </c>
      <c r="K69" s="790">
        <f t="shared" si="8"/>
        <v>5310</v>
      </c>
      <c r="L69" s="790">
        <f t="shared" si="8"/>
        <v>0</v>
      </c>
      <c r="M69" s="918">
        <f t="shared" si="8"/>
        <v>0</v>
      </c>
      <c r="N69" s="791">
        <v>0</v>
      </c>
      <c r="O69" s="791">
        <f>SUM(O67:O68)</f>
        <v>864.56268117002901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11677.5</v>
      </c>
      <c r="C78" s="803">
        <f>B78*IFERROR(SUM(I78:L78)/SUM(D78:M78),0)</f>
        <v>8444.2449601791923</v>
      </c>
      <c r="D78" s="818">
        <f>'lokale energieproductie'!C16</f>
        <v>512.87588206014129</v>
      </c>
      <c r="E78" s="818">
        <f>'lokale energieproductie'!D16</f>
        <v>0</v>
      </c>
      <c r="F78" s="818">
        <f>'lokale energieproductie'!E16</f>
        <v>3290.9535765525725</v>
      </c>
      <c r="G78" s="818">
        <f>'lokale energieproductie'!F16</f>
        <v>0</v>
      </c>
      <c r="H78" s="818">
        <f>'lokale energieproductie'!G16</f>
        <v>0</v>
      </c>
      <c r="I78" s="818">
        <f>'lokale energieproductie'!H16</f>
        <v>0</v>
      </c>
      <c r="J78" s="818">
        <f>'lokale energieproductie'!I16</f>
        <v>9934.4058355049347</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982.28553311568544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11677.5</v>
      </c>
      <c r="C81" s="789">
        <f>SUM(C78:C80)</f>
        <v>8444.2449601791923</v>
      </c>
      <c r="D81" s="789">
        <f t="shared" ref="D81:P81" si="9">SUM(D78:D80)</f>
        <v>512.87588206014129</v>
      </c>
      <c r="E81" s="789">
        <f t="shared" si="9"/>
        <v>0</v>
      </c>
      <c r="F81" s="789">
        <f t="shared" si="9"/>
        <v>3290.9535765525725</v>
      </c>
      <c r="G81" s="789">
        <f t="shared" si="9"/>
        <v>0</v>
      </c>
      <c r="H81" s="789">
        <f t="shared" si="9"/>
        <v>0</v>
      </c>
      <c r="I81" s="789">
        <f t="shared" si="9"/>
        <v>0</v>
      </c>
      <c r="J81" s="789">
        <f t="shared" si="9"/>
        <v>9934.4058355049347</v>
      </c>
      <c r="K81" s="789">
        <f t="shared" si="9"/>
        <v>0</v>
      </c>
      <c r="L81" s="789">
        <f t="shared" si="9"/>
        <v>0</v>
      </c>
      <c r="M81" s="789">
        <f t="shared" si="9"/>
        <v>0</v>
      </c>
      <c r="N81" s="789">
        <v>0</v>
      </c>
      <c r="O81" s="789">
        <f>SUM(O78:O80)</f>
        <v>982.28553311568544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391822.79248995025</v>
      </c>
      <c r="C4" s="463">
        <f>huishoudens!C8</f>
        <v>0</v>
      </c>
      <c r="D4" s="463">
        <f>huishoudens!D8</f>
        <v>1228457.2845739196</v>
      </c>
      <c r="E4" s="463">
        <f>huishoudens!E8</f>
        <v>25577.527280916682</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98627.957649152231</v>
      </c>
      <c r="O4" s="463">
        <f>huishoudens!O8</f>
        <v>1469.5333333333333</v>
      </c>
      <c r="P4" s="464">
        <f>huishoudens!P8</f>
        <v>5052.666666666667</v>
      </c>
      <c r="Q4" s="465">
        <f>SUM(B4:P4)</f>
        <v>1751007.7619939391</v>
      </c>
    </row>
    <row r="5" spans="1:17">
      <c r="A5" s="462" t="s">
        <v>156</v>
      </c>
      <c r="B5" s="463">
        <f ca="1">tertiair!B16</f>
        <v>686745.99930041609</v>
      </c>
      <c r="C5" s="463">
        <f ca="1">tertiair!C16</f>
        <v>540.00000000000011</v>
      </c>
      <c r="D5" s="463">
        <f ca="1">tertiair!D16</f>
        <v>892446.87573978794</v>
      </c>
      <c r="E5" s="463">
        <f>tertiair!E16</f>
        <v>7521.9677652300552</v>
      </c>
      <c r="F5" s="463">
        <f ca="1">tertiair!F16</f>
        <v>144001.54256794957</v>
      </c>
      <c r="G5" s="463">
        <f>tertiair!G16</f>
        <v>0</v>
      </c>
      <c r="H5" s="463">
        <f>tertiair!H16</f>
        <v>0</v>
      </c>
      <c r="I5" s="463">
        <f>tertiair!I16</f>
        <v>0</v>
      </c>
      <c r="J5" s="463">
        <f>tertiair!J16</f>
        <v>0</v>
      </c>
      <c r="K5" s="463">
        <f>tertiair!K16</f>
        <v>0</v>
      </c>
      <c r="L5" s="463">
        <f ca="1">tertiair!L16</f>
        <v>0</v>
      </c>
      <c r="M5" s="463">
        <f>tertiair!M16</f>
        <v>0</v>
      </c>
      <c r="N5" s="463">
        <f ca="1">tertiair!N16</f>
        <v>32301.910749070201</v>
      </c>
      <c r="O5" s="463">
        <f>tertiair!O16</f>
        <v>25.013333333333335</v>
      </c>
      <c r="P5" s="464">
        <f>tertiair!P16</f>
        <v>266.93333333333334</v>
      </c>
      <c r="Q5" s="462">
        <f t="shared" ref="Q5:Q13" ca="1" si="0">SUM(B5:P5)</f>
        <v>1763850.2427891204</v>
      </c>
    </row>
    <row r="6" spans="1:17">
      <c r="A6" s="462" t="s">
        <v>194</v>
      </c>
      <c r="B6" s="463">
        <f>'openbare verlichting'!B8</f>
        <v>14614.142</v>
      </c>
      <c r="C6" s="463"/>
      <c r="D6" s="463"/>
      <c r="E6" s="463"/>
      <c r="F6" s="463"/>
      <c r="G6" s="463"/>
      <c r="H6" s="463"/>
      <c r="I6" s="463"/>
      <c r="J6" s="463"/>
      <c r="K6" s="463"/>
      <c r="L6" s="463"/>
      <c r="M6" s="463"/>
      <c r="N6" s="463"/>
      <c r="O6" s="463"/>
      <c r="P6" s="464"/>
      <c r="Q6" s="462">
        <f t="shared" si="0"/>
        <v>14614.142</v>
      </c>
    </row>
    <row r="7" spans="1:17">
      <c r="A7" s="462" t="s">
        <v>112</v>
      </c>
      <c r="B7" s="463">
        <f>landbouw!B8</f>
        <v>3034.4643411941011</v>
      </c>
      <c r="C7" s="463">
        <f>landbouw!C8</f>
        <v>0</v>
      </c>
      <c r="D7" s="463">
        <f>landbouw!D8</f>
        <v>95160.910148967974</v>
      </c>
      <c r="E7" s="463">
        <f>landbouw!E8</f>
        <v>38.238159883934856</v>
      </c>
      <c r="F7" s="463">
        <f>landbouw!F8</f>
        <v>10469.662155859662</v>
      </c>
      <c r="G7" s="463">
        <f>landbouw!G8</f>
        <v>0</v>
      </c>
      <c r="H7" s="463">
        <f>landbouw!H8</f>
        <v>0</v>
      </c>
      <c r="I7" s="463">
        <f>landbouw!I8</f>
        <v>0</v>
      </c>
      <c r="J7" s="463">
        <f>landbouw!J8</f>
        <v>456.34894234238891</v>
      </c>
      <c r="K7" s="463">
        <f>landbouw!K8</f>
        <v>0</v>
      </c>
      <c r="L7" s="463">
        <f>landbouw!L8</f>
        <v>0</v>
      </c>
      <c r="M7" s="463">
        <f>landbouw!M8</f>
        <v>0</v>
      </c>
      <c r="N7" s="463">
        <f>landbouw!N8</f>
        <v>0</v>
      </c>
      <c r="O7" s="463">
        <f>landbouw!O8</f>
        <v>0</v>
      </c>
      <c r="P7" s="464">
        <f>landbouw!P8</f>
        <v>0</v>
      </c>
      <c r="Q7" s="462">
        <f t="shared" si="0"/>
        <v>109159.62374824808</v>
      </c>
    </row>
    <row r="8" spans="1:17">
      <c r="A8" s="462" t="s">
        <v>657</v>
      </c>
      <c r="B8" s="463">
        <f>industrie!B18</f>
        <v>394175.03611205705</v>
      </c>
      <c r="C8" s="463">
        <f>industrie!C18</f>
        <v>11137.5</v>
      </c>
      <c r="D8" s="463">
        <f>industrie!D18</f>
        <v>345886.10859603318</v>
      </c>
      <c r="E8" s="463">
        <f>industrie!E18</f>
        <v>22809.208533619694</v>
      </c>
      <c r="F8" s="463">
        <f>industrie!F18</f>
        <v>124095.81621887733</v>
      </c>
      <c r="G8" s="463">
        <f>industrie!G18</f>
        <v>0</v>
      </c>
      <c r="H8" s="463">
        <f>industrie!H18</f>
        <v>0</v>
      </c>
      <c r="I8" s="463">
        <f>industrie!I18</f>
        <v>0</v>
      </c>
      <c r="J8" s="463">
        <f>industrie!J18</f>
        <v>857.97898802299324</v>
      </c>
      <c r="K8" s="463">
        <f>industrie!K18</f>
        <v>0</v>
      </c>
      <c r="L8" s="463">
        <f>industrie!L18</f>
        <v>0</v>
      </c>
      <c r="M8" s="463">
        <f>industrie!M18</f>
        <v>0</v>
      </c>
      <c r="N8" s="463">
        <f>industrie!N18</f>
        <v>80357.300726778136</v>
      </c>
      <c r="O8" s="463">
        <f>industrie!O18</f>
        <v>0</v>
      </c>
      <c r="P8" s="464">
        <f>industrie!P18</f>
        <v>0</v>
      </c>
      <c r="Q8" s="462">
        <f t="shared" si="0"/>
        <v>979318.94917538832</v>
      </c>
    </row>
    <row r="9" spans="1:17" s="468" customFormat="1">
      <c r="A9" s="466" t="s">
        <v>574</v>
      </c>
      <c r="B9" s="467">
        <f>transport!B14</f>
        <v>107.0252997517359</v>
      </c>
      <c r="C9" s="467"/>
      <c r="D9" s="467">
        <f>transport!D14</f>
        <v>177.79389418392742</v>
      </c>
      <c r="E9" s="467">
        <f>transport!E14</f>
        <v>6074.613535234339</v>
      </c>
      <c r="F9" s="467"/>
      <c r="G9" s="467">
        <f>transport!G14</f>
        <v>1746759.0384103644</v>
      </c>
      <c r="H9" s="467">
        <f>transport!H14</f>
        <v>271493.21421045146</v>
      </c>
      <c r="I9" s="467"/>
      <c r="J9" s="467"/>
      <c r="K9" s="467"/>
      <c r="L9" s="467"/>
      <c r="M9" s="467">
        <f>transport!M14</f>
        <v>91214.902346875082</v>
      </c>
      <c r="N9" s="467"/>
      <c r="O9" s="467"/>
      <c r="P9" s="467"/>
      <c r="Q9" s="466">
        <f>SUM(B9:P9)</f>
        <v>2115826.587696861</v>
      </c>
    </row>
    <row r="10" spans="1:17">
      <c r="A10" s="462" t="s">
        <v>564</v>
      </c>
      <c r="B10" s="463">
        <f>transport!B54</f>
        <v>9200.3154960203356</v>
      </c>
      <c r="C10" s="463"/>
      <c r="D10" s="463">
        <f>transport!D54</f>
        <v>0</v>
      </c>
      <c r="E10" s="463"/>
      <c r="F10" s="463"/>
      <c r="G10" s="463">
        <f>transport!G54</f>
        <v>37495.699483103148</v>
      </c>
      <c r="H10" s="463"/>
      <c r="I10" s="463"/>
      <c r="J10" s="463"/>
      <c r="K10" s="463"/>
      <c r="L10" s="463"/>
      <c r="M10" s="463">
        <f>transport!M54</f>
        <v>1667.5254673590816</v>
      </c>
      <c r="N10" s="463"/>
      <c r="O10" s="463"/>
      <c r="P10" s="464"/>
      <c r="Q10" s="462">
        <f t="shared" si="0"/>
        <v>48363.54044648257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1499699.7750393895</v>
      </c>
      <c r="C14" s="473">
        <f t="shared" ref="C14:Q14" ca="1" si="1">SUM(C4:C13)</f>
        <v>11677.5</v>
      </c>
      <c r="D14" s="473">
        <f t="shared" ca="1" si="1"/>
        <v>2562128.972952893</v>
      </c>
      <c r="E14" s="473">
        <f t="shared" si="1"/>
        <v>62021.555274884711</v>
      </c>
      <c r="F14" s="473">
        <f t="shared" ca="1" si="1"/>
        <v>278567.02094268659</v>
      </c>
      <c r="G14" s="473">
        <f t="shared" si="1"/>
        <v>1784254.7378934675</v>
      </c>
      <c r="H14" s="473">
        <f t="shared" si="1"/>
        <v>271493.21421045146</v>
      </c>
      <c r="I14" s="473">
        <f t="shared" si="1"/>
        <v>0</v>
      </c>
      <c r="J14" s="473">
        <f t="shared" si="1"/>
        <v>1314.3279303653821</v>
      </c>
      <c r="K14" s="473">
        <f t="shared" si="1"/>
        <v>0</v>
      </c>
      <c r="L14" s="473">
        <f t="shared" ca="1" si="1"/>
        <v>0</v>
      </c>
      <c r="M14" s="473">
        <f t="shared" si="1"/>
        <v>92882.427814234165</v>
      </c>
      <c r="N14" s="473">
        <f t="shared" ca="1" si="1"/>
        <v>211287.16912500057</v>
      </c>
      <c r="O14" s="473">
        <f t="shared" si="1"/>
        <v>1494.5466666666666</v>
      </c>
      <c r="P14" s="474">
        <f t="shared" si="1"/>
        <v>5319.6</v>
      </c>
      <c r="Q14" s="474">
        <f t="shared" ca="1" si="1"/>
        <v>6782140.8478500396</v>
      </c>
    </row>
    <row r="16" spans="1:17">
      <c r="A16" s="476" t="s">
        <v>569</v>
      </c>
      <c r="B16" s="829">
        <f ca="1">huishoudens!B10</f>
        <v>0.20016007144005304</v>
      </c>
      <c r="C16" s="829">
        <f ca="1">huishoudens!C10</f>
        <v>8.4117793458846971E-2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78427.278136629524</v>
      </c>
      <c r="C21" s="463">
        <f t="shared" ref="C21:C28" ca="1" si="3">C4*$C$16</f>
        <v>0</v>
      </c>
      <c r="D21" s="463">
        <f t="shared" ref="D21:D30" si="4">D4*$D$16</f>
        <v>248148.37148393178</v>
      </c>
      <c r="E21" s="463">
        <f t="shared" ref="E21:E30" si="5">E4*$E$16</f>
        <v>5806.0986927680869</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332381.74831332936</v>
      </c>
    </row>
    <row r="22" spans="1:17">
      <c r="A22" s="462" t="s">
        <v>156</v>
      </c>
      <c r="B22" s="463">
        <f t="shared" ca="1" si="2"/>
        <v>137459.12828114189</v>
      </c>
      <c r="C22" s="463">
        <f t="shared" ca="1" si="3"/>
        <v>45.42360846777737</v>
      </c>
      <c r="D22" s="463">
        <f t="shared" ca="1" si="4"/>
        <v>180274.26889943719</v>
      </c>
      <c r="E22" s="463">
        <f t="shared" si="5"/>
        <v>1707.4866827072226</v>
      </c>
      <c r="F22" s="463">
        <f t="shared" ca="1" si="6"/>
        <v>38448.411865642534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357934.71933739656</v>
      </c>
    </row>
    <row r="23" spans="1:17">
      <c r="A23" s="462" t="s">
        <v>194</v>
      </c>
      <c r="B23" s="463">
        <f t="shared" ca="1" si="2"/>
        <v>2925.1677067550795</v>
      </c>
      <c r="C23" s="463"/>
      <c r="D23" s="463"/>
      <c r="E23" s="463"/>
      <c r="F23" s="463"/>
      <c r="G23" s="463"/>
      <c r="H23" s="463"/>
      <c r="I23" s="463"/>
      <c r="J23" s="463"/>
      <c r="K23" s="463"/>
      <c r="L23" s="463"/>
      <c r="M23" s="463"/>
      <c r="N23" s="463"/>
      <c r="O23" s="463"/>
      <c r="P23" s="464"/>
      <c r="Q23" s="462">
        <f t="shared" ca="1" si="17"/>
        <v>2925.1677067550795</v>
      </c>
    </row>
    <row r="24" spans="1:17">
      <c r="A24" s="462" t="s">
        <v>112</v>
      </c>
      <c r="B24" s="463">
        <f t="shared" ca="1" si="2"/>
        <v>607.37859931570472</v>
      </c>
      <c r="C24" s="463">
        <f t="shared" ca="1" si="3"/>
        <v>0</v>
      </c>
      <c r="D24" s="463">
        <f t="shared" si="4"/>
        <v>19222.503850091533</v>
      </c>
      <c r="E24" s="463">
        <f t="shared" si="5"/>
        <v>8.6800622936532132</v>
      </c>
      <c r="F24" s="463">
        <f t="shared" si="6"/>
        <v>2795.3997956145299</v>
      </c>
      <c r="G24" s="463">
        <f t="shared" si="7"/>
        <v>0</v>
      </c>
      <c r="H24" s="463">
        <f t="shared" si="8"/>
        <v>0</v>
      </c>
      <c r="I24" s="463">
        <f t="shared" si="9"/>
        <v>0</v>
      </c>
      <c r="J24" s="463">
        <f t="shared" si="10"/>
        <v>161.54752558920566</v>
      </c>
      <c r="K24" s="463">
        <f t="shared" si="11"/>
        <v>0</v>
      </c>
      <c r="L24" s="463">
        <f t="shared" si="12"/>
        <v>0</v>
      </c>
      <c r="M24" s="463">
        <f t="shared" si="13"/>
        <v>0</v>
      </c>
      <c r="N24" s="463">
        <f t="shared" si="14"/>
        <v>0</v>
      </c>
      <c r="O24" s="463">
        <f t="shared" si="15"/>
        <v>0</v>
      </c>
      <c r="P24" s="464">
        <f t="shared" si="16"/>
        <v>0</v>
      </c>
      <c r="Q24" s="462">
        <f t="shared" ca="1" si="17"/>
        <v>22795.509832904623</v>
      </c>
    </row>
    <row r="25" spans="1:17">
      <c r="A25" s="462" t="s">
        <v>657</v>
      </c>
      <c r="B25" s="463">
        <f t="shared" ca="1" si="2"/>
        <v>78898.103388074829</v>
      </c>
      <c r="C25" s="463">
        <f t="shared" ca="1" si="3"/>
        <v>936.86192464790815</v>
      </c>
      <c r="D25" s="463">
        <f t="shared" si="4"/>
        <v>69868.993936398707</v>
      </c>
      <c r="E25" s="463">
        <f t="shared" si="5"/>
        <v>5177.6903371316712</v>
      </c>
      <c r="F25" s="463">
        <f t="shared" si="6"/>
        <v>33133.58293044025</v>
      </c>
      <c r="G25" s="463">
        <f t="shared" si="7"/>
        <v>0</v>
      </c>
      <c r="H25" s="463">
        <f t="shared" si="8"/>
        <v>0</v>
      </c>
      <c r="I25" s="463">
        <f t="shared" si="9"/>
        <v>0</v>
      </c>
      <c r="J25" s="463">
        <f t="shared" si="10"/>
        <v>303.72456176013958</v>
      </c>
      <c r="K25" s="463">
        <f t="shared" si="11"/>
        <v>0</v>
      </c>
      <c r="L25" s="463">
        <f t="shared" si="12"/>
        <v>0</v>
      </c>
      <c r="M25" s="463">
        <f t="shared" si="13"/>
        <v>0</v>
      </c>
      <c r="N25" s="463">
        <f t="shared" si="14"/>
        <v>0</v>
      </c>
      <c r="O25" s="463">
        <f t="shared" si="15"/>
        <v>0</v>
      </c>
      <c r="P25" s="464">
        <f t="shared" si="16"/>
        <v>0</v>
      </c>
      <c r="Q25" s="462">
        <f t="shared" ca="1" si="17"/>
        <v>188318.9570784535</v>
      </c>
    </row>
    <row r="26" spans="1:17" s="468" customFormat="1">
      <c r="A26" s="466" t="s">
        <v>574</v>
      </c>
      <c r="B26" s="823">
        <f t="shared" ca="1" si="2"/>
        <v>21.422191644200549</v>
      </c>
      <c r="C26" s="467"/>
      <c r="D26" s="467">
        <f t="shared" si="4"/>
        <v>35.914366625153342</v>
      </c>
      <c r="E26" s="467">
        <f t="shared" si="5"/>
        <v>1378.9372724981949</v>
      </c>
      <c r="F26" s="467"/>
      <c r="G26" s="467">
        <f t="shared" si="7"/>
        <v>466384.66325556731</v>
      </c>
      <c r="H26" s="467">
        <f t="shared" si="8"/>
        <v>67601.810338402414</v>
      </c>
      <c r="I26" s="467"/>
      <c r="J26" s="467"/>
      <c r="K26" s="467"/>
      <c r="L26" s="467"/>
      <c r="M26" s="467">
        <f t="shared" si="13"/>
        <v>0</v>
      </c>
      <c r="N26" s="467"/>
      <c r="O26" s="467"/>
      <c r="P26" s="478"/>
      <c r="Q26" s="466">
        <f t="shared" ca="1" si="17"/>
        <v>535422.74742473732</v>
      </c>
    </row>
    <row r="27" spans="1:17">
      <c r="A27" s="462" t="s">
        <v>564</v>
      </c>
      <c r="B27" s="463">
        <f t="shared" ca="1" si="2"/>
        <v>1841.5358069544575</v>
      </c>
      <c r="C27" s="463"/>
      <c r="D27" s="467">
        <f t="shared" si="4"/>
        <v>0</v>
      </c>
      <c r="E27" s="463"/>
      <c r="F27" s="463"/>
      <c r="G27" s="463">
        <f t="shared" si="7"/>
        <v>10011.351761988541</v>
      </c>
      <c r="H27" s="463"/>
      <c r="I27" s="463"/>
      <c r="J27" s="463"/>
      <c r="K27" s="463"/>
      <c r="L27" s="463"/>
      <c r="M27" s="463">
        <f t="shared" si="13"/>
        <v>0</v>
      </c>
      <c r="N27" s="463"/>
      <c r="O27" s="463"/>
      <c r="P27" s="464"/>
      <c r="Q27" s="462">
        <f t="shared" ca="1" si="17"/>
        <v>11852.887568942999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300180.01411051565</v>
      </c>
      <c r="C31" s="473">
        <f t="shared" ca="1" si="18"/>
        <v>982.28553311568555</v>
      </c>
      <c r="D31" s="473">
        <f t="shared" ca="1" si="18"/>
        <v>517550.05253648432</v>
      </c>
      <c r="E31" s="473">
        <f t="shared" si="18"/>
        <v>14078.893047398829</v>
      </c>
      <c r="F31" s="473">
        <f t="shared" ca="1" si="18"/>
        <v>74377.394591697317</v>
      </c>
      <c r="G31" s="473">
        <f t="shared" si="18"/>
        <v>476396.01501755585</v>
      </c>
      <c r="H31" s="473">
        <f t="shared" si="18"/>
        <v>67601.810338402414</v>
      </c>
      <c r="I31" s="473">
        <f t="shared" si="18"/>
        <v>0</v>
      </c>
      <c r="J31" s="473">
        <f t="shared" si="18"/>
        <v>465.27208734934527</v>
      </c>
      <c r="K31" s="473">
        <f t="shared" si="18"/>
        <v>0</v>
      </c>
      <c r="L31" s="473">
        <f t="shared" ca="1" si="18"/>
        <v>0</v>
      </c>
      <c r="M31" s="473">
        <f t="shared" si="18"/>
        <v>0</v>
      </c>
      <c r="N31" s="473">
        <f t="shared" ca="1" si="18"/>
        <v>0</v>
      </c>
      <c r="O31" s="473">
        <f t="shared" si="18"/>
        <v>0</v>
      </c>
      <c r="P31" s="474">
        <f t="shared" si="18"/>
        <v>0</v>
      </c>
      <c r="Q31" s="474">
        <f t="shared" ca="1" si="18"/>
        <v>1451631.7372625195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0.20016007144005304</v>
      </c>
      <c r="C17" s="513">
        <f ca="1">'EF ele_warmte'!B22</f>
        <v>8.4117793458846971E-2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0.20016007144005304</v>
      </c>
      <c r="C17" s="513">
        <f ca="1">'EF ele_warmte'!B22</f>
        <v>8.4117793458846971E-2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0.20016007144005304</v>
      </c>
      <c r="C29" s="514">
        <f ca="1">'EF ele_warmte'!B22</f>
        <v>8.4117793458846971E-2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2019-01-02T18:05:00Z</dcterms:modified>
</cp:coreProperties>
</file>