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31" s="1"/>
  <c r="N14"/>
  <c r="E25"/>
  <c r="E31" s="1"/>
  <c r="E14"/>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<sst xmlns="http://schemas.openxmlformats.org/spreadsheetml/2006/main" count="2160" uniqueCount="885">
  <si>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</si>
  <si>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</si>
  <si>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</si>
  <si>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</si>
  <si>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</si>
  <si>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</si>
  <si>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</si>
  <si>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</si>
  <si>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</si>
  <si>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</si>
  <si>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</si>
  <si>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</si>
  <si>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</si>
  <si>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</si>
  <si>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</si>
  <si>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</si>
  <si>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</si>
  <si>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</si>
  <si>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</si>
  <si>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</si>
  <si>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</si>
  <si>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</si>
  <si>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</si>
  <si>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</si>
  <si>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</si>
  <si>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</si>
  <si>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</si>
  <si>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</si>
  <si>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</si>
  <si>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</si>
  <si>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</si>
  <si>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</si>
  <si>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</si>
  <si>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</si>
  <si>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</si>
  <si>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</si>
  <si>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</si>
  <si>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</si>
  <si>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</si>
  <si>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</si>
  <si>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</si>
  <si>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</si>
  <si>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</si>
  <si>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</si>
  <si>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</si>
  <si>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</si>
  <si>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</si>
  <si>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</si>
  <si>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</si>
  <si>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</si>
  <si>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</si>
  <si>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</si>
  <si>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</si>
  <si>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</si>
  <si>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</si>
  <si>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</si>
  <si>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</si>
  <si>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</si>
  <si>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</si>
  <si>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</si>
  <si>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</si>
  <si>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</si>
  <si>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</si>
  <si>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</si>
  <si>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</si>
  <si>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</si>
  <si>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</si>
  <si>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</si>
  <si>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</si>
  <si>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</si>
  <si>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</si>
  <si>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</si>
  <si>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</si>
  <si>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</si>
  <si>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</si>
  <si>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</si>
  <si>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</si>
  <si>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</si>
  <si>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</si>
  <si>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</si>
  <si>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</si>
  <si>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</si>
  <si>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</si>
  <si>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</si>
  <si>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</si>
  <si>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</si>
  <si>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</si>
  <si>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</si>
  <si>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</si>
  <si>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</si>
  <si>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</si>
  <si>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</si>
  <si>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</si>
  <si>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</si>
  <si>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</si>
  <si>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</si>
  <si>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</si>
  <si>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</si>
  <si>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</si>
  <si>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</si>
  <si>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</si>
  <si>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</si>
  <si>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</si>
  <si>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</si>
  <si>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</si>
  <si>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</si>
  <si>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</si>
  <si>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</si>
  <si>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</si>
  <si>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</si>
  <si>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</si>
  <si>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</si>
  <si>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</si>
  <si>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</si>
  <si>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</si>
  <si>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</si>
  <si>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</si>
  <si>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</si>
  <si>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</si>
  <si>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</si>
  <si>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</si>
  <si>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</si>
  <si>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</si>
  <si>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</si>
  <si>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</si>
  <si>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</si>
  <si>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</si>
  <si>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</si>
  <si>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</si>
  <si>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</si>
  <si>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</si>
  <si>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</si>
  <si>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</si>
  <si>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</si>
  <si>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</si>
  <si>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</si>
  <si>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</si>
  <si>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</si>
  <si>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</si>
  <si>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</si>
  <si>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</si>
  <si>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</si>
  <si>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</si>
  <si>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</si>
  <si>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</si>
  <si>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</si>
  <si>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</si>
  <si>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</si>
  <si>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</si>
  <si>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</si>
  <si>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</si>
  <si>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</si>
  <si>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</si>
  <si>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</si>
  <si>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</si>
  <si>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</si>
  <si>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</si>
  <si>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</si>
  <si>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</si>
  <si>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</si>
  <si>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</si>
  <si>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</si>
  <si>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</si>
  <si>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</si>
  <si>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</si>
  <si>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</si>
  <si>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</si>
  <si>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</si>
  <si>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</si>
  <si>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</si>
  <si>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</si>
  <si>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</si>
  <si>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</si>
  <si>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</si>
  <si>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</si>
  <si>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</si>
  <si>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</si>
  <si>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</si>
  <si>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</si>
  <si>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</si>
  <si>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</si>
  <si>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</si>
  <si>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</si>
  <si>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</si>
  <si>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</si>
  <si>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</si>
  <si>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</si>
  <si>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</si>
  <si>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</si>
  <si>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</si>
  <si>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</si>
  <si>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</si>
  <si>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</si>
  <si>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</si>
  <si>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</si>
  <si>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</si>
  <si>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</si>
  <si>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</si>
  <si>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</si>
  <si>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</si>
  <si>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</si>
  <si>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</si>
  <si>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</si>
  <si>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</si>
  <si>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</si>
  <si>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</si>
  <si>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</si>
  <si>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</si>
  <si>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</si>
  <si>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</si>
  <si>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</si>
  <si>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</si>
  <si>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</si>
  <si>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</si>
  <si>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</si>
  <si>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</si>
  <si>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</si>
  <si>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</si>
  <si>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</si>
  <si>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</si>
  <si>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</si>
  <si>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</si>
  <si>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</si>
  <si>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</si>
  <si>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</si>
  <si>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</si>
  <si>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</si>
  <si>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</si>
  <si>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</si>
  <si>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</si>
  <si>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</si>
  <si>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</si>
  <si>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</si>
  <si>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</si>
  <si>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</si>
  <si>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</si>
  <si>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</si>
  <si>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</si>
  <si>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</si>
  <si>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</si>
  <si>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</si>
  <si>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</si>
  <si>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</si>
  <si>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</si>
  <si>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</si>
  <si>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</si>
  <si>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</si>
  <si>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</si>
  <si>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</si>
  <si>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</si>
  <si>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</si>
  <si>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</si>
  <si>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</si>
  <si>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</si>
  <si>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</si>
  <si>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</si>
  <si>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</si>
  <si>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</si>
  <si>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</si>
  <si>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</si>
  <si>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</si>
  <si>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</si>
  <si>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</si>
  <si>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</si>
  <si>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</si>
  <si>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</si>
  <si>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</si>
  <si>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</si>
  <si>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</si>
  <si>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</si>
  <si>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</si>
  <si>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</si>
  <si>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</si>
  <si>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</si>
  <si>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</si>
  <si>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</si>
  <si>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</si>
  <si>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</si>
  <si>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</si>
  <si>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</si>
  <si>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</si>
  <si>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</si>
  <si>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</si>
  <si>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</si>
  <si>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</si>
  <si>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</si>
  <si>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</si>
  <si>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</si>
  <si>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</si>
  <si>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</si>
  <si>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</si>
  <si>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</si>
  <si>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</si>
  <si>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</si>
  <si>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</si>
  <si>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</si>
  <si>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</si>
  <si>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</si>
  <si>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</si>
  <si>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</si>
  <si>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</si>
  <si>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</si>
  <si>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</si>
  <si>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</si>
  <si>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</si>
  <si>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</si>
  <si>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</si>
  <si>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</si>
  <si>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</si>
  <si>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</si>
  <si>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</si>
  <si>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</si>
  <si>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</si>
  <si>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</si>
  <si>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</si>
  <si>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</si>
  <si>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</si>
  <si>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</si>
  <si>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</si>
  <si>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</si>
  <si>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</si>
  <si>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</si>
  <si>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</si>
  <si>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</si>
  <si>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</si>
  <si>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</si>
  <si>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</si>
  <si>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</si>
  <si>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</si>
  <si>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</si>
  <si>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</si>
  <si>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</si>
  <si>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</si>
  <si>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</si>
  <si>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</si>
  <si>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</si>
  <si>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</si>
  <si>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</si>
  <si>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</si>
  <si>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</si>
  <si>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</si>
  <si>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</si>
  <si>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</si>
  <si>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</si>
  <si>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</si>
  <si>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</si>
  <si>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</si>
  <si>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</si>
  <si>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</si>
  <si>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</si>
  <si>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</si>
  <si>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</si>
  <si>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</si>
  <si>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</si>
  <si>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</si>
  <si>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</si>
  <si>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</si>
  <si>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</si>
  <si>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</si>
  <si>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</si>
  <si>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</si>
  <si>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</si>
  <si>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</si>
  <si>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</si>
  <si>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</si>
  <si>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</si>
  <si>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</si>
  <si>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</si>
  <si>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</si>
  <si>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</si>
  <si>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</si>
  <si>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</si>
  <si>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</si>
  <si>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</si>
  <si>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</si>
  <si>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</si>
  <si>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</si>
  <si>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</si>
  <si>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</si>
  <si>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</si>
  <si>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</si>
  <si>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</si>
  <si>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</si>
  <si>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</si>
  <si>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</si>
  <si>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</si>
  <si>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</si>
  <si>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</si>
  <si>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</si>
  <si>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</si>
  <si>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</si>
  <si>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</si>
  <si>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</si>
  <si>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</si>
  <si>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</si>
  <si>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</si>
  <si>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</si>
  <si>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</si>
  <si>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</si>
  <si>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</si>
  <si>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</si>
  <si>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</si>
  <si>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</si>
  <si>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</si>
  <si>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</si>
  <si>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</si>
  <si>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</si>
  <si>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</si>
  <si>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</si>
  <si>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</si>
  <si>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</si>
  <si>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</si>
  <si>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</si>
  <si>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</si>
  <si>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</si>
  <si>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</si>
  <si>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</si>
  <si>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</si>
  <si>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</si>
  <si>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</si>
  <si>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</si>
  <si>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</si>
  <si>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</si>
  <si>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</si>
  <si>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</si>
  <si>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</si>
  <si>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</si>
  <si>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</si>
  <si>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</si>
  <si>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</si>
  <si>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</si>
  <si>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</si>
  <si>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</si>
  <si>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</si>
  <si>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</si>
  <si>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</si>
  <si>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</si>
  <si>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</si>
  <si>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</si>
  <si>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</si>
  <si>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</si>
  <si>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</si>
  <si>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</si>
  <si>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</si>
  <si>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</si>
  <si>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</si>
  <si>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</si>
  <si>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</si>
  <si>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</si>
  <si>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</si>
  <si>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</si>
  <si>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</si>
  <si>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</si>
  <si>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</si>
  <si>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</si>
  <si>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</si>
  <si>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</si>
  <si>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</si>
  <si>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</si>
  <si>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</si>
  <si>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</si>
  <si>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</si>
  <si>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</si>
  <si>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</si>
  <si>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</si>
  <si>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</si>
  <si>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</si>
  <si>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</si>
  <si>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</si>
  <si>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</si>
  <si>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</si>
  <si>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</si>
  <si>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</si>
  <si>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</si>
  <si>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</si>
  <si>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</si>
  <si>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</si>
  <si>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</si>
  <si>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</si>
  <si>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</si>
  <si>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</si>
  <si>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</si>
  <si>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</si>
  <si>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</si>
  <si>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</si>
  <si>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</si>
  <si>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</si>
  <si>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</si>
  <si>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</si>
  <si>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</si>
  <si>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</si>
  <si>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</si>
  <si>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</si>
  <si>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</si>
  <si>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</si>
  <si>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</si>
  <si>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</si>
  <si>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</si>
  <si>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</si>
  <si>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</si>
  <si>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</si>
  <si>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</si>
  <si>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</si>
  <si>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</si>
  <si>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</si>
  <si>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</si>
  <si>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</si>
  <si>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</si>
  <si>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</si>
  <si>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</si>
  <si>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</si>
  <si>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</si>
  <si>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</si>
  <si>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</si>
  <si>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</si>
  <si>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</si>
  <si>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</si>
  <si>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</si>
  <si>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</si>
  <si>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</si>
  <si>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</si>
  <si>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</si>
  <si>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</si>
  <si>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</si>
  <si>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</si>
  <si>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</si>
  <si>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</si>
  <si>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</si>
  <si>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</si>
  <si>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</si>
  <si>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</si>
  <si>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</si>
  <si>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</si>
  <si>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</si>
  <si>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</si>
  <si>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</si>
  <si>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</si>
  <si>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</si>
  <si>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</si>
  <si>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</si>
  <si>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</si>
  <si>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</si>
  <si>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</si>
  <si>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</si>
  <si>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</si>
  <si>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</si>
  <si>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</si>
  <si>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</si>
  <si>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</si>
  <si>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</si>
  <si>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</si>
  <si>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</si>
  <si>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</si>
  <si>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</si>
  <si>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</si>
  <si>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</si>
  <si>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</si>
  <si>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</si>
  <si>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</si>
  <si>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</si>
  <si>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</si>
  <si>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</si>
  <si>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</si>
  <si>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</si>
  <si>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</si>
  <si>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</si>
  <si>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</si>
  <si>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</si>
  <si>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</si>
  <si>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</si>
  <si>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</si>
  <si>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</si>
  <si>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</si>
  <si>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</si>
  <si>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</si>
  <si>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</si>
  <si>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</si>
  <si>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</si>
  <si>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</si>
  <si>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</si>
  <si>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</si>
  <si>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</si>
  <si>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</si>
  <si>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</si>
  <si>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</si>
  <si>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</si>
  <si>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</si>
  <si>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</si>
  <si>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</si>
  <si>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</si>
  <si>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</si>
  <si>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</si>
  <si>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</si>
  <si>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</si>
  <si>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</si>
  <si>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</si>
  <si>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</si>
  <si>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</si>
  <si>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</si>
  <si>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</si>
  <si>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</si>
  <si>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</si>
  <si>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</si>
  <si>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</si>
  <si>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</si>
  <si>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</si>
  <si>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</si>
  <si>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</si>
  <si>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</si>
  <si>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</si>
  <si>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</si>
  <si>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</si>
  <si>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</si>
  <si>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</si>
  <si>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</si>
  <si>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</si>
  <si>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</si>
  <si>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</si>
  <si>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</si>
  <si>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</si>
  <si>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</si>
  <si>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</si>
  <si>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</si>
  <si>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</si>
  <si>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</si>
  <si>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</si>
  <si>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</si>
  <si>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</si>
  <si>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</si>
  <si>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</si>
  <si>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</si>
  <si>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</si>
  <si>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</si>
  <si>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</si>
  <si>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</si>
  <si>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</si>
  <si>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</si>
  <si>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</si>
  <si>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</si>
  <si>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</si>
  <si>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</si>
  <si>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</si>
  <si>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</si>
  <si>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</si>
  <si>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</si>
  <si>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</si>
  <si>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</si>
  <si>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</si>
  <si>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</si>
  <si>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</si>
  <si>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</si>
  <si>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</si>
  <si>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</si>
  <si>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</si>
  <si>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</si>
  <si>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</si>
  <si>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</si>
  <si>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</si>
  <si>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</si>
  <si>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</si>
  <si>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</si>
  <si>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</si>
  <si>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</si>
  <si>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</si>
  <si>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</si>
  <si>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</si>
  <si>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</si>
  <si>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</si>
  <si>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</si>
  <si>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</si>
  <si>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</si>
  <si>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</si>
  <si>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</si>
  <si>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</si>
  <si>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</si>
  <si>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</si>
  <si>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</si>
  <si>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</si>
  <si>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</si>
  <si>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</si>
  <si>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</si>
  <si>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</si>
  <si>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</si>
  <si>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</si>
  <si>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</si>
  <si>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</si>
  <si>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</si>
  <si>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</si>
  <si>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</si>
  <si>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</si>
  <si>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</si>
  <si>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</si>
  <si>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</si>
  <si>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</si>
  <si>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</si>
  <si>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</si>
  <si>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</si>
  <si>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</si>
  <si>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</si>
  <si>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</si>
  <si>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</si>
  <si>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</si>
  <si>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</si>
  <si>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</si>
  <si>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</si>
  <si>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</si>
  <si>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</si>
  <si>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</si>
  <si>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</si>
  <si>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</si>
  <si>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</si>
  <si>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</si>
  <si>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</si>
  <si>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</si>
  <si>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</si>
  <si>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</si>
  <si>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</si>
  <si>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</si>
  <si>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</si>
  <si>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</si>
  <si>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</si>
  <si>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</si>
  <si>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</si>
  <si>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</si>
  <si>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</si>
  <si>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</si>
  <si>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</si>
  <si>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</si>
  <si>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</si>
  <si>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</si>
  <si>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</si>
  <si>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</si>
  <si>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</si>
  <si>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</si>
  <si>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</si>
  <si>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</si>
  <si>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</si>
  <si>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</si>
  <si>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</si>
  <si>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</si>
  <si>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</si>
  <si>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</si>
  <si>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</si>
  <si>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</si>
  <si>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</si>
  <si>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</si>
  <si>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</si>
  <si>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</si>
  <si>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</si>
  <si>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</si>
  <si>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</si>
  <si>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</si>
  <si>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</si>
  <si>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</si>
  <si>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</si>
  <si>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</si>
  <si>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</si>
  <si>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</si>
  <si>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</si>
  <si>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</si>
  <si>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</si>
  <si>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</si>
  <si>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</si>
  <si>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</si>
  <si>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</si>
  <si>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</si>
  <si>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</si>
  <si>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</si>
  <si>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</si>
  <si>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</si>
  <si>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</si>
  <si>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</si>
  <si>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</si>
  <si>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</si>
  <si>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</si>
  <si>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</si>
  <si>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</si>
  <si>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</si>
  <si>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</si>
  <si>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</si>
  <si>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</si>
  <si>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</si>
  <si>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</si>
  <si>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</si>
  <si>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</si>
  <si>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</si>
  <si>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</si>
  <si>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</si>
  <si>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</si>
  <si>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</si>
  <si>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</si>
  <si>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</si>
  <si>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</si>
  <si>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</si>
  <si>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</si>
  <si>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</si>
  <si>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</si>
  <si>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</si>
  <si>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</si>
  <si>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</si>
  <si>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</si>
  <si>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</si>
  <si>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</si>
  <si>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</si>
  <si>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</si>
  <si>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</si>
  <si>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</si>
  <si>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</si>
  <si>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</si>
  <si>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</si>
  <si>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</si>
  <si>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</si>
  <si>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</si>
  <si>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</si>
  <si>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</si>
  <si>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</si>
  <si>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</si>
  <si>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</si>
  <si>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</si>
  <si>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</si>
  <si>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</si>
  <si>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</si>
  <si>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</si>
  <si>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</si>
  <si>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</si>
  <si>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</si>
  <si>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</si>
  <si>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</si>
  <si>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</si>
  <si>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</si>
  <si>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</si>
  <si>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</si>
  <si>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</si>
  <si>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</si>
  <si>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</si>
  <si>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</si>
  <si>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</si>
  <si>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</si>
  <si>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</si>
  <si>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</si>
  <si>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</si>
  <si>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</si>
  <si>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</si>
  <si>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</si>
  <si>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</si>
  <si>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</si>
  <si>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</si>
  <si>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</si>
  <si>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</si>
  <si>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</si>
  <si>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</si>
  <si>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</si>
  <si>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</si>
  <si>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</si>
  <si>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</si>
  <si>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</si>
  <si>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</si>
  <si>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</si>
  <si>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</si>
  <si>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</si>
  <si>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</si>
  <si>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</si>
  <si>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</si>
  <si>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</si>
  <si>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</si>
  <si>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</si>
  <si>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</si>
  <si>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</si>
  <si>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</si>
  <si>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</si>
  <si>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</si>
  <si>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41063</t>
  </si>
  <si>
    <t>SINT-LIEVENS-HOUTEM</t>
  </si>
  <si>
    <t>Cultuurgrond (ha)</t>
  </si>
  <si>
    <t>Paarden&amp;pony's 200 - 600 kg</t>
  </si>
  <si>
    <t>Paarden&amp;pony's &lt; 200 kg</t>
  </si>
  <si>
    <t>op basis van VEA (maart 2018) en Inventaris Hernieuwbare Energiebronnen (juni 2018)</t>
  </si>
  <si>
    <t>VEA (juni 2018)</t>
  </si>
  <si>
    <t>COFELY Services</t>
  </si>
  <si>
    <t>Koning Albert II-laan 30 28, 1000 Brussel</t>
  </si>
  <si>
    <t>BGS-0018 Ilva Vlierzele (NAI)</t>
  </si>
  <si>
    <t>biogas - stortgas</t>
  </si>
  <si>
    <t>niet WKK interne verbrandingsmotor (gas)</t>
  </si>
  <si>
    <t>Bussegem 2, 9520 Sint-Lievens-Houtem</t>
  </si>
  <si>
    <t>Imewo</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</si>
</sst>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96313.719876082454</c:v>
                </c:pt>
                <c:pt idx="1">
                  <c:v>20107.683067179503</c:v>
                </c:pt>
                <c:pt idx="2">
                  <c:v>639.07399999999996</c:v>
                </c:pt>
                <c:pt idx="3">
                  <c:v>5877.1719362474796</c:v>
                </c:pt>
                <c:pt idx="4">
                  <c:v>131278.77765243759</c:v>
                </c:pt>
                <c:pt idx="5">
                  <c:v>102763.4088154912</c:v>
                </c:pt>
                <c:pt idx="6">
                  <c:v>777.0192251015493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63168"/>
        <c:axId val="182277248"/>
      </c:barChart>
      <c:catAx>
        <c:axId val="182263168"/>
        <c:scaling>
          <c:orientation val="minMax"/>
        </c:scaling>
        <c:axPos val="b"/>
        <c:numFmt formatCode="General" sourceLinked="0"/>
        <c:tickLblPos val="nextTo"/>
        <c:crossAx val="182277248"/>
        <c:crosses val="autoZero"/>
        <c:auto val="1"/>
        <c:lblAlgn val="ctr"/>
        <c:lblOffset val="100"/>
      </c:catAx>
      <c:valAx>
        <c:axId val="182277248"/>
        <c:scaling>
          <c:orientation val="minMax"/>
        </c:scaling>
        <c:axPos val="l"/>
        <c:majorGridlines/>
        <c:numFmt formatCode="#,##0" sourceLinked="1"/>
        <c:tickLblPos val="nextTo"/>
        <c:crossAx val="182263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96313.719876082454</c:v>
                </c:pt>
                <c:pt idx="1">
                  <c:v>20107.683067179503</c:v>
                </c:pt>
                <c:pt idx="2">
                  <c:v>639.07399999999996</c:v>
                </c:pt>
                <c:pt idx="3">
                  <c:v>5877.1719362474796</c:v>
                </c:pt>
                <c:pt idx="4">
                  <c:v>131278.77765243759</c:v>
                </c:pt>
                <c:pt idx="5">
                  <c:v>102763.4088154912</c:v>
                </c:pt>
                <c:pt idx="6">
                  <c:v>777.0192251015493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20093.858803595191</c:v>
                </c:pt>
                <c:pt idx="1">
                  <c:v>4014.400764606055</c:v>
                </c:pt>
                <c:pt idx="2">
                  <c:v>121.43724376622222</c:v>
                </c:pt>
                <c:pt idx="3">
                  <c:v>1444.0831489520899</c:v>
                </c:pt>
                <c:pt idx="4">
                  <c:v>26864.82479594992</c:v>
                </c:pt>
                <c:pt idx="5">
                  <c:v>25974.708942743757</c:v>
                </c:pt>
                <c:pt idx="6">
                  <c:v>198.63054684998696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68512"/>
        <c:axId val="182390784"/>
      </c:barChart>
      <c:catAx>
        <c:axId val="182368512"/>
        <c:scaling>
          <c:orientation val="minMax"/>
        </c:scaling>
        <c:axPos val="b"/>
        <c:numFmt formatCode="General" sourceLinked="0"/>
        <c:tickLblPos val="nextTo"/>
        <c:crossAx val="182390784"/>
        <c:crosses val="autoZero"/>
        <c:auto val="1"/>
        <c:lblAlgn val="ctr"/>
        <c:lblOffset val="100"/>
      </c:catAx>
      <c:valAx>
        <c:axId val="182390784"/>
        <c:scaling>
          <c:orientation val="minMax"/>
        </c:scaling>
        <c:axPos val="l"/>
        <c:majorGridlines/>
        <c:numFmt formatCode="#,##0" sourceLinked="1"/>
        <c:tickLblPos val="nextTo"/>
        <c:crossAx val="182368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20093.858803595191</c:v>
                </c:pt>
                <c:pt idx="1">
                  <c:v>4014.400764606055</c:v>
                </c:pt>
                <c:pt idx="2">
                  <c:v>121.43724376622222</c:v>
                </c:pt>
                <c:pt idx="3">
                  <c:v>1444.0831489520899</c:v>
                </c:pt>
                <c:pt idx="4">
                  <c:v>26864.82479594992</c:v>
                </c:pt>
                <c:pt idx="5">
                  <c:v>25974.708942743757</c:v>
                </c:pt>
                <c:pt idx="6">
                  <c:v>198.63054684998696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41063</v>
      </c>
      <c r="B6" s="398"/>
      <c r="C6" s="399"/>
    </row>
    <row r="7" spans="1:7" s="396" customFormat="1" ht="15.75" customHeight="1">
      <c r="A7" s="400" t="str">
        <f>txtMunicipality</f>
        <v>SINT-LIEVENS-HOUTEM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13249.640560500942</v>
      </c>
      <c r="D10" s="704">
        <f ca="1">tertiair!C16</f>
        <v>0</v>
      </c>
      <c r="E10" s="704">
        <f ca="1">tertiair!D16</f>
        <v>5834.1372096990999</v>
      </c>
      <c r="F10" s="704">
        <f>tertiair!E16</f>
        <v>88.585000260183023</v>
      </c>
      <c r="G10" s="704">
        <f ca="1">tertiair!F16</f>
        <v>1571.2676300526102</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3.1266666666666669</v>
      </c>
      <c r="Q10" s="705">
        <f>tertiair!P16</f>
        <v>0</v>
      </c>
      <c r="R10" s="707">
        <f ca="1">SUM(C10:Q10)</f>
        <v>20746.757067179504</v>
      </c>
      <c r="S10" s="67"/>
    </row>
    <row r="11" spans="1:19" s="459" customFormat="1">
      <c r="A11" s="858" t="s">
        <v>225</v>
      </c>
      <c r="B11" s="863"/>
      <c r="C11" s="704">
        <f>huishoudens!B8</f>
        <v>21699.103741313244</v>
      </c>
      <c r="D11" s="704">
        <f>huishoudens!C8</f>
        <v>0</v>
      </c>
      <c r="E11" s="704">
        <f>huishoudens!D8</f>
        <v>31263.679940193761</v>
      </c>
      <c r="F11" s="704">
        <f>huishoudens!E8</f>
        <v>2612.7928243501547</v>
      </c>
      <c r="G11" s="704">
        <f>huishoudens!F8</f>
        <v>21648.097379207313</v>
      </c>
      <c r="H11" s="704">
        <f>huishoudens!G8</f>
        <v>0</v>
      </c>
      <c r="I11" s="704">
        <f>huishoudens!H8</f>
        <v>0</v>
      </c>
      <c r="J11" s="704">
        <f>huishoudens!I8</f>
        <v>0</v>
      </c>
      <c r="K11" s="704">
        <f>huishoudens!J8</f>
        <v>9271.6726897142144</v>
      </c>
      <c r="L11" s="704">
        <f>huishoudens!K8</f>
        <v>0</v>
      </c>
      <c r="M11" s="704">
        <f>huishoudens!L8</f>
        <v>0</v>
      </c>
      <c r="N11" s="704">
        <f>huishoudens!M8</f>
        <v>0</v>
      </c>
      <c r="O11" s="704">
        <f>huishoudens!N8</f>
        <v>8876.873301303789</v>
      </c>
      <c r="P11" s="704">
        <f>huishoudens!O8</f>
        <v>140.70000000000002</v>
      </c>
      <c r="Q11" s="705">
        <f>huishoudens!P8</f>
        <v>800.8</v>
      </c>
      <c r="R11" s="707">
        <f>SUM(C11:Q11)</f>
        <v>96313.719876082454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23011.656707901275</v>
      </c>
      <c r="D13" s="704">
        <f>industrie!C18</f>
        <v>0</v>
      </c>
      <c r="E13" s="704">
        <f>industrie!D18</f>
        <v>71344.650786163635</v>
      </c>
      <c r="F13" s="704">
        <f>industrie!E18</f>
        <v>1898.6910732990252</v>
      </c>
      <c r="G13" s="704">
        <f>industrie!F18</f>
        <v>28635.541977980916</v>
      </c>
      <c r="H13" s="704">
        <f>industrie!G18</f>
        <v>0</v>
      </c>
      <c r="I13" s="704">
        <f>industrie!H18</f>
        <v>0</v>
      </c>
      <c r="J13" s="704">
        <f>industrie!I18</f>
        <v>0</v>
      </c>
      <c r="K13" s="704">
        <f>industrie!J18</f>
        <v>10.800175996765077</v>
      </c>
      <c r="L13" s="704">
        <f>industrie!K18</f>
        <v>0</v>
      </c>
      <c r="M13" s="704">
        <f>industrie!L18</f>
        <v>0</v>
      </c>
      <c r="N13" s="704">
        <f>industrie!M18</f>
        <v>0</v>
      </c>
      <c r="O13" s="704">
        <f>industrie!N18</f>
        <v>6377.436931096001</v>
      </c>
      <c r="P13" s="704">
        <f>industrie!O18</f>
        <v>0</v>
      </c>
      <c r="Q13" s="705">
        <f>industrie!P18</f>
        <v>0</v>
      </c>
      <c r="R13" s="707">
        <f>SUM(C13:Q13)</f>
        <v>131278.77765243759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57960.401009715461</v>
      </c>
      <c r="D15" s="709">
        <f t="shared" ref="D15:Q15" ca="1" si="0">SUM(D9:D14)</f>
        <v>0</v>
      </c>
      <c r="E15" s="709">
        <f t="shared" ca="1" si="0"/>
        <v>108442.46793605649</v>
      </c>
      <c r="F15" s="709">
        <f t="shared" si="0"/>
        <v>4600.0688979093629</v>
      </c>
      <c r="G15" s="709">
        <f t="shared" ca="1" si="0"/>
        <v>51854.906987240844</v>
      </c>
      <c r="H15" s="709">
        <f t="shared" si="0"/>
        <v>0</v>
      </c>
      <c r="I15" s="709">
        <f t="shared" si="0"/>
        <v>0</v>
      </c>
      <c r="J15" s="709">
        <f t="shared" si="0"/>
        <v>0</v>
      </c>
      <c r="K15" s="709">
        <f t="shared" si="0"/>
        <v>9282.472865710979</v>
      </c>
      <c r="L15" s="709">
        <f t="shared" si="0"/>
        <v>0</v>
      </c>
      <c r="M15" s="709">
        <f t="shared" ca="1" si="0"/>
        <v>0</v>
      </c>
      <c r="N15" s="709">
        <f t="shared" si="0"/>
        <v>0</v>
      </c>
      <c r="O15" s="709">
        <f t="shared" ca="1" si="0"/>
        <v>15254.31023239979</v>
      </c>
      <c r="P15" s="709">
        <f t="shared" si="0"/>
        <v>143.82666666666668</v>
      </c>
      <c r="Q15" s="710">
        <f t="shared" si="0"/>
        <v>800.8</v>
      </c>
      <c r="R15" s="711">
        <f ca="1">SUM(R9:R14)</f>
        <v>248339.25459569955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743.93463239695484</v>
      </c>
      <c r="I18" s="704">
        <f>transport!H54</f>
        <v>0</v>
      </c>
      <c r="J18" s="704">
        <f>transport!I54</f>
        <v>0</v>
      </c>
      <c r="K18" s="704">
        <f>transport!J54</f>
        <v>0</v>
      </c>
      <c r="L18" s="704">
        <f>transport!K54</f>
        <v>0</v>
      </c>
      <c r="M18" s="704">
        <f>transport!L54</f>
        <v>0</v>
      </c>
      <c r="N18" s="704">
        <f>transport!M54</f>
        <v>33.084592704594407</v>
      </c>
      <c r="O18" s="704">
        <f>transport!N54</f>
        <v>0</v>
      </c>
      <c r="P18" s="704">
        <f>transport!O54</f>
        <v>0</v>
      </c>
      <c r="Q18" s="705">
        <f>transport!P54</f>
        <v>0</v>
      </c>
      <c r="R18" s="707">
        <f>SUM(C18:Q18)</f>
        <v>777.0192251015493</v>
      </c>
      <c r="S18" s="67"/>
    </row>
    <row r="19" spans="1:19" s="459" customFormat="1" ht="15" thickBot="1">
      <c r="A19" s="858" t="s">
        <v>307</v>
      </c>
      <c r="B19" s="863"/>
      <c r="C19" s="713">
        <f>transport!B14</f>
        <v>5.6344438035483249</v>
      </c>
      <c r="D19" s="713">
        <f>transport!C14</f>
        <v>0</v>
      </c>
      <c r="E19" s="713">
        <f>transport!D14</f>
        <v>9.6346547195720493</v>
      </c>
      <c r="F19" s="713">
        <f>transport!E14</f>
        <v>338.72301939495367</v>
      </c>
      <c r="G19" s="713">
        <f>transport!F14</f>
        <v>0</v>
      </c>
      <c r="H19" s="713">
        <f>transport!G14</f>
        <v>83207.308474913385</v>
      </c>
      <c r="I19" s="713">
        <f>transport!H14</f>
        <v>14772.893950713011</v>
      </c>
      <c r="J19" s="713">
        <f>transport!I14</f>
        <v>0</v>
      </c>
      <c r="K19" s="713">
        <f>transport!J14</f>
        <v>0</v>
      </c>
      <c r="L19" s="713">
        <f>transport!K14</f>
        <v>0</v>
      </c>
      <c r="M19" s="713">
        <f>transport!L14</f>
        <v>0</v>
      </c>
      <c r="N19" s="713">
        <f>transport!M14</f>
        <v>4429.2142719467329</v>
      </c>
      <c r="O19" s="713">
        <f>transport!N14</f>
        <v>0</v>
      </c>
      <c r="P19" s="713">
        <f>transport!O14</f>
        <v>0</v>
      </c>
      <c r="Q19" s="714">
        <f>transport!P14</f>
        <v>0</v>
      </c>
      <c r="R19" s="715">
        <f>SUM(C19:Q19)</f>
        <v>102763.4088154912</v>
      </c>
      <c r="S19" s="67"/>
    </row>
    <row r="20" spans="1:19" s="459" customFormat="1" ht="15.75" thickBot="1">
      <c r="A20" s="716" t="s">
        <v>230</v>
      </c>
      <c r="B20" s="866"/>
      <c r="C20" s="861">
        <f>SUM(C17:C19)</f>
        <v>5.6344438035483249</v>
      </c>
      <c r="D20" s="717">
        <f t="shared" ref="D20:R20" si="1">SUM(D17:D19)</f>
        <v>0</v>
      </c>
      <c r="E20" s="717">
        <f t="shared" si="1"/>
        <v>9.6346547195720493</v>
      </c>
      <c r="F20" s="717">
        <f t="shared" si="1"/>
        <v>338.72301939495367</v>
      </c>
      <c r="G20" s="717">
        <f t="shared" si="1"/>
        <v>0</v>
      </c>
      <c r="H20" s="717">
        <f t="shared" si="1"/>
        <v>83951.243107310336</v>
      </c>
      <c r="I20" s="717">
        <f t="shared" si="1"/>
        <v>14772.893950713011</v>
      </c>
      <c r="J20" s="717">
        <f t="shared" si="1"/>
        <v>0</v>
      </c>
      <c r="K20" s="717">
        <f t="shared" si="1"/>
        <v>0</v>
      </c>
      <c r="L20" s="717">
        <f t="shared" si="1"/>
        <v>0</v>
      </c>
      <c r="M20" s="717">
        <f t="shared" si="1"/>
        <v>0</v>
      </c>
      <c r="N20" s="717">
        <f t="shared" si="1"/>
        <v>4462.2988646513277</v>
      </c>
      <c r="O20" s="717">
        <f t="shared" si="1"/>
        <v>0</v>
      </c>
      <c r="P20" s="717">
        <f t="shared" si="1"/>
        <v>0</v>
      </c>
      <c r="Q20" s="718">
        <f t="shared" si="1"/>
        <v>0</v>
      </c>
      <c r="R20" s="719">
        <f t="shared" si="1"/>
        <v>103540.42804059276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1091.0273844456131</v>
      </c>
      <c r="D22" s="713">
        <f>+landbouw!C8</f>
        <v>0</v>
      </c>
      <c r="E22" s="713">
        <f>+landbouw!D8</f>
        <v>844.00028994114257</v>
      </c>
      <c r="F22" s="713">
        <f>+landbouw!E8</f>
        <v>13.748350573058866</v>
      </c>
      <c r="G22" s="713">
        <f>+landbouw!F8</f>
        <v>3764.3177950286308</v>
      </c>
      <c r="H22" s="713">
        <f>+landbouw!G8</f>
        <v>0</v>
      </c>
      <c r="I22" s="713">
        <f>+landbouw!H8</f>
        <v>0</v>
      </c>
      <c r="J22" s="713">
        <f>+landbouw!I8</f>
        <v>0</v>
      </c>
      <c r="K22" s="713">
        <f>+landbouw!J8</f>
        <v>164.07811625903392</v>
      </c>
      <c r="L22" s="713">
        <f>+landbouw!K8</f>
        <v>0</v>
      </c>
      <c r="M22" s="713">
        <f>+landbouw!L8</f>
        <v>0</v>
      </c>
      <c r="N22" s="713">
        <f>+landbouw!M8</f>
        <v>0</v>
      </c>
      <c r="O22" s="713">
        <f>+landbouw!N8</f>
        <v>0</v>
      </c>
      <c r="P22" s="713">
        <f>+landbouw!O8</f>
        <v>0</v>
      </c>
      <c r="Q22" s="714">
        <f>+landbouw!P8</f>
        <v>0</v>
      </c>
      <c r="R22" s="715">
        <f>SUM(C22:Q22)</f>
        <v>5877.1719362474796</v>
      </c>
      <c r="S22" s="67"/>
    </row>
    <row r="23" spans="1:19" s="459" customFormat="1" ht="17.25" thickTop="1" thickBot="1">
      <c r="A23" s="720" t="s">
        <v>116</v>
      </c>
      <c r="B23" s="852"/>
      <c r="C23" s="721">
        <f ca="1">C20+C15+C22</f>
        <v>59057.062837964615</v>
      </c>
      <c r="D23" s="721">
        <f t="shared" ref="D23:Q23" ca="1" si="2">D20+D15+D22</f>
        <v>0</v>
      </c>
      <c r="E23" s="721">
        <f t="shared" ca="1" si="2"/>
        <v>109296.10288071721</v>
      </c>
      <c r="F23" s="721">
        <f t="shared" si="2"/>
        <v>4952.5402678773753</v>
      </c>
      <c r="G23" s="721">
        <f t="shared" ca="1" si="2"/>
        <v>55619.224782269477</v>
      </c>
      <c r="H23" s="721">
        <f t="shared" si="2"/>
        <v>83951.243107310336</v>
      </c>
      <c r="I23" s="721">
        <f t="shared" si="2"/>
        <v>14772.893950713011</v>
      </c>
      <c r="J23" s="721">
        <f t="shared" si="2"/>
        <v>0</v>
      </c>
      <c r="K23" s="721">
        <f t="shared" si="2"/>
        <v>9446.5509819700128</v>
      </c>
      <c r="L23" s="721">
        <f t="shared" si="2"/>
        <v>0</v>
      </c>
      <c r="M23" s="721">
        <f t="shared" ca="1" si="2"/>
        <v>0</v>
      </c>
      <c r="N23" s="721">
        <f t="shared" si="2"/>
        <v>4462.2988646513277</v>
      </c>
      <c r="O23" s="721">
        <f t="shared" ca="1" si="2"/>
        <v>15254.31023239979</v>
      </c>
      <c r="P23" s="721">
        <f t="shared" si="2"/>
        <v>143.82666666666668</v>
      </c>
      <c r="Q23" s="722">
        <f t="shared" si="2"/>
        <v>800.8</v>
      </c>
      <c r="R23" s="723">
        <f ca="1">R20+R15+R22</f>
        <v>357756.8545725398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2517.7050397299504</v>
      </c>
      <c r="D36" s="704">
        <f ca="1">tertiair!C20</f>
        <v>0</v>
      </c>
      <c r="E36" s="704">
        <f ca="1">tertiair!D20</f>
        <v>1178.4957163592182</v>
      </c>
      <c r="F36" s="704">
        <f>tertiair!E20</f>
        <v>20.108795059061546</v>
      </c>
      <c r="G36" s="704">
        <f ca="1">tertiair!F20</f>
        <v>419.52845722404697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4135.8380083722768</v>
      </c>
    </row>
    <row r="37" spans="1:18">
      <c r="A37" s="873" t="s">
        <v>225</v>
      </c>
      <c r="B37" s="880"/>
      <c r="C37" s="704">
        <f ca="1">huishoudens!B12</f>
        <v>4123.2773521413819</v>
      </c>
      <c r="D37" s="704">
        <f ca="1">huishoudens!C12</f>
        <v>0</v>
      </c>
      <c r="E37" s="704">
        <f>huishoudens!D12</f>
        <v>6315.26334791914</v>
      </c>
      <c r="F37" s="704">
        <f>huishoudens!E12</f>
        <v>593.10397112748512</v>
      </c>
      <c r="G37" s="704">
        <f>huishoudens!F12</f>
        <v>5780.0420002483525</v>
      </c>
      <c r="H37" s="704">
        <f>huishoudens!G12</f>
        <v>0</v>
      </c>
      <c r="I37" s="704">
        <f>huishoudens!H12</f>
        <v>0</v>
      </c>
      <c r="J37" s="704">
        <f>huishoudens!I12</f>
        <v>0</v>
      </c>
      <c r="K37" s="704">
        <f>huishoudens!J12</f>
        <v>3282.1721321588316</v>
      </c>
      <c r="L37" s="704">
        <f>huishoudens!K12</f>
        <v>0</v>
      </c>
      <c r="M37" s="704">
        <f>huishoudens!L12</f>
        <v>0</v>
      </c>
      <c r="N37" s="704">
        <f>huishoudens!M12</f>
        <v>0</v>
      </c>
      <c r="O37" s="704">
        <f>huishoudens!N12</f>
        <v>0</v>
      </c>
      <c r="P37" s="704">
        <f>huishoudens!O12</f>
        <v>0</v>
      </c>
      <c r="Q37" s="814">
        <f>huishoudens!P12</f>
        <v>0</v>
      </c>
      <c r="R37" s="905">
        <f ca="1">SUM(C37:Q37)</f>
        <v>20093.858803595191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4372.6894930822255</v>
      </c>
      <c r="D39" s="704">
        <f ca="1">industrie!C22</f>
        <v>0</v>
      </c>
      <c r="E39" s="704">
        <f>industrie!D22</f>
        <v>14411.619458805055</v>
      </c>
      <c r="F39" s="704">
        <f>industrie!E22</f>
        <v>431.00287363887873</v>
      </c>
      <c r="G39" s="704">
        <f>industrie!F22</f>
        <v>7645.6897081209054</v>
      </c>
      <c r="H39" s="704">
        <f>industrie!G22</f>
        <v>0</v>
      </c>
      <c r="I39" s="704">
        <f>industrie!H22</f>
        <v>0</v>
      </c>
      <c r="J39" s="704">
        <f>industrie!I22</f>
        <v>0</v>
      </c>
      <c r="K39" s="704">
        <f>industrie!J22</f>
        <v>3.8232623028548369</v>
      </c>
      <c r="L39" s="704">
        <f>industrie!K22</f>
        <v>0</v>
      </c>
      <c r="M39" s="704">
        <f>industrie!L22</f>
        <v>0</v>
      </c>
      <c r="N39" s="704">
        <f>industrie!M22</f>
        <v>0</v>
      </c>
      <c r="O39" s="704">
        <f>industrie!N22</f>
        <v>0</v>
      </c>
      <c r="P39" s="704">
        <f>industrie!O22</f>
        <v>0</v>
      </c>
      <c r="Q39" s="814">
        <f>industrie!P22</f>
        <v>0</v>
      </c>
      <c r="R39" s="906">
        <f ca="1">SUM(C39:Q39)</f>
        <v>26864.82479594992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11013.671884953557</v>
      </c>
      <c r="D41" s="749">
        <f t="shared" ref="D41:R41" ca="1" si="4">SUM(D35:D40)</f>
        <v>0</v>
      </c>
      <c r="E41" s="749">
        <f t="shared" ca="1" si="4"/>
        <v>21905.378523083411</v>
      </c>
      <c r="F41" s="749">
        <f t="shared" si="4"/>
        <v>1044.2156398254253</v>
      </c>
      <c r="G41" s="749">
        <f t="shared" ca="1" si="4"/>
        <v>13845.260165593305</v>
      </c>
      <c r="H41" s="749">
        <f t="shared" si="4"/>
        <v>0</v>
      </c>
      <c r="I41" s="749">
        <f t="shared" si="4"/>
        <v>0</v>
      </c>
      <c r="J41" s="749">
        <f t="shared" si="4"/>
        <v>0</v>
      </c>
      <c r="K41" s="749">
        <f t="shared" si="4"/>
        <v>3285.9953944616864</v>
      </c>
      <c r="L41" s="749">
        <f t="shared" si="4"/>
        <v>0</v>
      </c>
      <c r="M41" s="749">
        <f t="shared" ca="1" si="4"/>
        <v>0</v>
      </c>
      <c r="N41" s="749">
        <f t="shared" si="4"/>
        <v>0</v>
      </c>
      <c r="O41" s="749">
        <f t="shared" ca="1" si="4"/>
        <v>0</v>
      </c>
      <c r="P41" s="749">
        <f t="shared" si="4"/>
        <v>0</v>
      </c>
      <c r="Q41" s="750">
        <f t="shared" si="4"/>
        <v>0</v>
      </c>
      <c r="R41" s="751">
        <f t="shared" ca="1" si="4"/>
        <v>51094.521607917384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198.63054684998696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198.63054684998696</v>
      </c>
    </row>
    <row r="45" spans="1:18" ht="15" thickBot="1">
      <c r="A45" s="876" t="s">
        <v>307</v>
      </c>
      <c r="B45" s="886"/>
      <c r="C45" s="713">
        <f ca="1">transport!B18</f>
        <v>1.0706605583368722</v>
      </c>
      <c r="D45" s="713">
        <f>transport!C18</f>
        <v>0</v>
      </c>
      <c r="E45" s="713">
        <f>transport!D18</f>
        <v>1.9462002533535541</v>
      </c>
      <c r="F45" s="713">
        <f>transport!E18</f>
        <v>76.89012540265449</v>
      </c>
      <c r="G45" s="713">
        <f>transport!F18</f>
        <v>0</v>
      </c>
      <c r="H45" s="713">
        <f>transport!G18</f>
        <v>22216.351362801874</v>
      </c>
      <c r="I45" s="713">
        <f>transport!H18</f>
        <v>3678.4505937275399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25974.708942743757</v>
      </c>
    </row>
    <row r="46" spans="1:18" ht="15.75" thickBot="1">
      <c r="A46" s="874" t="s">
        <v>230</v>
      </c>
      <c r="B46" s="887"/>
      <c r="C46" s="749">
        <f t="shared" ref="C46:R46" ca="1" si="5">SUM(C43:C45)</f>
        <v>1.0706605583368722</v>
      </c>
      <c r="D46" s="749">
        <f t="shared" ca="1" si="5"/>
        <v>0</v>
      </c>
      <c r="E46" s="749">
        <f t="shared" si="5"/>
        <v>1.9462002533535541</v>
      </c>
      <c r="F46" s="749">
        <f t="shared" si="5"/>
        <v>76.89012540265449</v>
      </c>
      <c r="G46" s="749">
        <f t="shared" si="5"/>
        <v>0</v>
      </c>
      <c r="H46" s="749">
        <f t="shared" si="5"/>
        <v>22414.981909651862</v>
      </c>
      <c r="I46" s="749">
        <f t="shared" si="5"/>
        <v>3678.4505937275399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26173.339489593745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207.31771037555239</v>
      </c>
      <c r="D48" s="704">
        <f ca="1">+landbouw!C12</f>
        <v>0</v>
      </c>
      <c r="E48" s="704">
        <f>+landbouw!D12</f>
        <v>170.4880585681108</v>
      </c>
      <c r="F48" s="704">
        <f>+landbouw!E12</f>
        <v>3.1208755800843626</v>
      </c>
      <c r="G48" s="704">
        <f>+landbouw!F12</f>
        <v>1005.0728512726445</v>
      </c>
      <c r="H48" s="704">
        <f>+landbouw!G12</f>
        <v>0</v>
      </c>
      <c r="I48" s="704">
        <f>+landbouw!H12</f>
        <v>0</v>
      </c>
      <c r="J48" s="704">
        <f>+landbouw!I12</f>
        <v>0</v>
      </c>
      <c r="K48" s="704">
        <f>+landbouw!J12</f>
        <v>58.083653155698002</v>
      </c>
      <c r="L48" s="704">
        <f>+landbouw!K12</f>
        <v>0</v>
      </c>
      <c r="M48" s="704">
        <f>+landbouw!L12</f>
        <v>0</v>
      </c>
      <c r="N48" s="704">
        <f>+landbouw!M12</f>
        <v>0</v>
      </c>
      <c r="O48" s="704">
        <f>+landbouw!N12</f>
        <v>0</v>
      </c>
      <c r="P48" s="704">
        <f>+landbouw!O12</f>
        <v>0</v>
      </c>
      <c r="Q48" s="705">
        <f>+landbouw!P12</f>
        <v>0</v>
      </c>
      <c r="R48" s="747">
        <f ca="1">SUM(C48:Q48)</f>
        <v>1444.0831489520899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11222.060255887445</v>
      </c>
      <c r="D53" s="759">
        <f t="shared" ref="D53:Q53" ca="1" si="6">D41+D46+D48</f>
        <v>0</v>
      </c>
      <c r="E53" s="759">
        <f t="shared" ca="1" si="6"/>
        <v>22077.812781904875</v>
      </c>
      <c r="F53" s="759">
        <f t="shared" si="6"/>
        <v>1124.2266408081643</v>
      </c>
      <c r="G53" s="759">
        <f t="shared" ca="1" si="6"/>
        <v>14850.333016865949</v>
      </c>
      <c r="H53" s="759">
        <f t="shared" si="6"/>
        <v>22414.981909651862</v>
      </c>
      <c r="I53" s="759">
        <f t="shared" si="6"/>
        <v>3678.4505937275399</v>
      </c>
      <c r="J53" s="759">
        <f t="shared" si="6"/>
        <v>0</v>
      </c>
      <c r="K53" s="759">
        <f t="shared" si="6"/>
        <v>3344.0790476173843</v>
      </c>
      <c r="L53" s="759">
        <f t="shared" si="6"/>
        <v>0</v>
      </c>
      <c r="M53" s="759">
        <f t="shared" ca="1" si="6"/>
        <v>0</v>
      </c>
      <c r="N53" s="759">
        <f t="shared" si="6"/>
        <v>0</v>
      </c>
      <c r="O53" s="759">
        <f t="shared" ca="1" si="6"/>
        <v>0</v>
      </c>
      <c r="P53" s="759">
        <f>P41+P46+P48</f>
        <v>0</v>
      </c>
      <c r="Q53" s="760">
        <f t="shared" si="6"/>
        <v>0</v>
      </c>
      <c r="R53" s="761">
        <f ca="1">R41+R46+R48</f>
        <v>78711.94424646323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0.19002062948300547</v>
      </c>
      <c r="D55" s="824">
        <f t="shared" ca="1" si="7"/>
        <v>0</v>
      </c>
      <c r="E55" s="824">
        <f t="shared" ca="1" si="7"/>
        <v>0.20199999999999999</v>
      </c>
      <c r="F55" s="824">
        <f t="shared" si="7"/>
        <v>0.22700000000000004</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2968.5096439037716</v>
      </c>
      <c r="C66" s="781">
        <f>'lokale energieproductie'!B6</f>
        <v>2968.5096439037716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5310</v>
      </c>
      <c r="C68" s="780">
        <f>B68*IFERROR(SUM(J68:L68)/SUM(D68:M68),0)</f>
        <v>5310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15171.428571428572</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8278.5096439037716</v>
      </c>
      <c r="C69" s="789">
        <f>SUM(C64:C68)</f>
        <v>8278.5096439037716</v>
      </c>
      <c r="D69" s="790">
        <f t="shared" ref="D69:M69" si="8">SUM(D67:D68)</f>
        <v>0</v>
      </c>
      <c r="E69" s="790">
        <f t="shared" si="8"/>
        <v>0</v>
      </c>
      <c r="F69" s="790">
        <f t="shared" si="8"/>
        <v>0</v>
      </c>
      <c r="G69" s="790">
        <f t="shared" si="8"/>
        <v>0</v>
      </c>
      <c r="H69" s="790">
        <f t="shared" si="8"/>
        <v>0</v>
      </c>
      <c r="I69" s="790">
        <f t="shared" si="8"/>
        <v>0</v>
      </c>
      <c r="J69" s="790">
        <f t="shared" si="8"/>
        <v>0</v>
      </c>
      <c r="K69" s="790">
        <f t="shared" si="8"/>
        <v>15171.428571428572</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21699.103741313244</v>
      </c>
      <c r="C4" s="463">
        <f>huishoudens!C8</f>
        <v>0</v>
      </c>
      <c r="D4" s="463">
        <f>huishoudens!D8</f>
        <v>31263.679940193761</v>
      </c>
      <c r="E4" s="463">
        <f>huishoudens!E8</f>
        <v>2612.7928243501547</v>
      </c>
      <c r="F4" s="463">
        <f>huishoudens!F8</f>
        <v>21648.097379207313</v>
      </c>
      <c r="G4" s="463">
        <f>huishoudens!G8</f>
        <v>0</v>
      </c>
      <c r="H4" s="463">
        <f>huishoudens!H8</f>
        <v>0</v>
      </c>
      <c r="I4" s="463">
        <f>huishoudens!I8</f>
        <v>0</v>
      </c>
      <c r="J4" s="463">
        <f>huishoudens!J8</f>
        <v>9271.6726897142144</v>
      </c>
      <c r="K4" s="463">
        <f>huishoudens!K8</f>
        <v>0</v>
      </c>
      <c r="L4" s="463">
        <f>huishoudens!L8</f>
        <v>0</v>
      </c>
      <c r="M4" s="463">
        <f>huishoudens!M8</f>
        <v>0</v>
      </c>
      <c r="N4" s="463">
        <f>huishoudens!N8</f>
        <v>8876.873301303789</v>
      </c>
      <c r="O4" s="463">
        <f>huishoudens!O8</f>
        <v>140.70000000000002</v>
      </c>
      <c r="P4" s="464">
        <f>huishoudens!P8</f>
        <v>800.8</v>
      </c>
      <c r="Q4" s="465">
        <f>SUM(B4:P4)</f>
        <v>96313.719876082454</v>
      </c>
    </row>
    <row r="5" spans="1:17">
      <c r="A5" s="462" t="s">
        <v>156</v>
      </c>
      <c r="B5" s="463">
        <f ca="1">tertiair!B16</f>
        <v>12610.566560500942</v>
      </c>
      <c r="C5" s="463">
        <f ca="1">tertiair!C16</f>
        <v>0</v>
      </c>
      <c r="D5" s="463">
        <f ca="1">tertiair!D16</f>
        <v>5834.1372096990999</v>
      </c>
      <c r="E5" s="463">
        <f>tertiair!E16</f>
        <v>88.585000260183023</v>
      </c>
      <c r="F5" s="463">
        <f ca="1">tertiair!F16</f>
        <v>1571.2676300526102</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3.1266666666666669</v>
      </c>
      <c r="P5" s="464">
        <f>tertiair!P16</f>
        <v>0</v>
      </c>
      <c r="Q5" s="462">
        <f t="shared" ref="Q5:Q13" ca="1" si="0">SUM(B5:P5)</f>
        <v>20107.683067179503</v>
      </c>
    </row>
    <row r="6" spans="1:17">
      <c r="A6" s="462" t="s">
        <v>194</v>
      </c>
      <c r="B6" s="463">
        <f>'openbare verlichting'!B8</f>
        <v>639.07399999999996</v>
      </c>
      <c r="C6" s="463"/>
      <c r="D6" s="463"/>
      <c r="E6" s="463"/>
      <c r="F6" s="463"/>
      <c r="G6" s="463"/>
      <c r="H6" s="463"/>
      <c r="I6" s="463"/>
      <c r="J6" s="463"/>
      <c r="K6" s="463"/>
      <c r="L6" s="463"/>
      <c r="M6" s="463"/>
      <c r="N6" s="463"/>
      <c r="O6" s="463"/>
      <c r="P6" s="464"/>
      <c r="Q6" s="462">
        <f t="shared" si="0"/>
        <v>639.07399999999996</v>
      </c>
    </row>
    <row r="7" spans="1:17">
      <c r="A7" s="462" t="s">
        <v>112</v>
      </c>
      <c r="B7" s="463">
        <f>landbouw!B8</f>
        <v>1091.0273844456131</v>
      </c>
      <c r="C7" s="463">
        <f>landbouw!C8</f>
        <v>0</v>
      </c>
      <c r="D7" s="463">
        <f>landbouw!D8</f>
        <v>844.00028994114257</v>
      </c>
      <c r="E7" s="463">
        <f>landbouw!E8</f>
        <v>13.748350573058866</v>
      </c>
      <c r="F7" s="463">
        <f>landbouw!F8</f>
        <v>3764.3177950286308</v>
      </c>
      <c r="G7" s="463">
        <f>landbouw!G8</f>
        <v>0</v>
      </c>
      <c r="H7" s="463">
        <f>landbouw!H8</f>
        <v>0</v>
      </c>
      <c r="I7" s="463">
        <f>landbouw!I8</f>
        <v>0</v>
      </c>
      <c r="J7" s="463">
        <f>landbouw!J8</f>
        <v>164.07811625903392</v>
      </c>
      <c r="K7" s="463">
        <f>landbouw!K8</f>
        <v>0</v>
      </c>
      <c r="L7" s="463">
        <f>landbouw!L8</f>
        <v>0</v>
      </c>
      <c r="M7" s="463">
        <f>landbouw!M8</f>
        <v>0</v>
      </c>
      <c r="N7" s="463">
        <f>landbouw!N8</f>
        <v>0</v>
      </c>
      <c r="O7" s="463">
        <f>landbouw!O8</f>
        <v>0</v>
      </c>
      <c r="P7" s="464">
        <f>landbouw!P8</f>
        <v>0</v>
      </c>
      <c r="Q7" s="462">
        <f t="shared" si="0"/>
        <v>5877.1719362474796</v>
      </c>
    </row>
    <row r="8" spans="1:17">
      <c r="A8" s="462" t="s">
        <v>657</v>
      </c>
      <c r="B8" s="463">
        <f>industrie!B18</f>
        <v>23011.656707901275</v>
      </c>
      <c r="C8" s="463">
        <f>industrie!C18</f>
        <v>0</v>
      </c>
      <c r="D8" s="463">
        <f>industrie!D18</f>
        <v>71344.650786163635</v>
      </c>
      <c r="E8" s="463">
        <f>industrie!E18</f>
        <v>1898.6910732990252</v>
      </c>
      <c r="F8" s="463">
        <f>industrie!F18</f>
        <v>28635.541977980916</v>
      </c>
      <c r="G8" s="463">
        <f>industrie!G18</f>
        <v>0</v>
      </c>
      <c r="H8" s="463">
        <f>industrie!H18</f>
        <v>0</v>
      </c>
      <c r="I8" s="463">
        <f>industrie!I18</f>
        <v>0</v>
      </c>
      <c r="J8" s="463">
        <f>industrie!J18</f>
        <v>10.800175996765077</v>
      </c>
      <c r="K8" s="463">
        <f>industrie!K18</f>
        <v>0</v>
      </c>
      <c r="L8" s="463">
        <f>industrie!L18</f>
        <v>0</v>
      </c>
      <c r="M8" s="463">
        <f>industrie!M18</f>
        <v>0</v>
      </c>
      <c r="N8" s="463">
        <f>industrie!N18</f>
        <v>6377.436931096001</v>
      </c>
      <c r="O8" s="463">
        <f>industrie!O18</f>
        <v>0</v>
      </c>
      <c r="P8" s="464">
        <f>industrie!P18</f>
        <v>0</v>
      </c>
      <c r="Q8" s="462">
        <f t="shared" si="0"/>
        <v>131278.77765243759</v>
      </c>
    </row>
    <row r="9" spans="1:17" s="468" customFormat="1">
      <c r="A9" s="466" t="s">
        <v>574</v>
      </c>
      <c r="B9" s="467">
        <f>transport!B14</f>
        <v>5.6344438035483249</v>
      </c>
      <c r="C9" s="467"/>
      <c r="D9" s="467">
        <f>transport!D14</f>
        <v>9.6346547195720493</v>
      </c>
      <c r="E9" s="467">
        <f>transport!E14</f>
        <v>338.72301939495367</v>
      </c>
      <c r="F9" s="467"/>
      <c r="G9" s="467">
        <f>transport!G14</f>
        <v>83207.308474913385</v>
      </c>
      <c r="H9" s="467">
        <f>transport!H14</f>
        <v>14772.893950713011</v>
      </c>
      <c r="I9" s="467"/>
      <c r="J9" s="467"/>
      <c r="K9" s="467"/>
      <c r="L9" s="467"/>
      <c r="M9" s="467">
        <f>transport!M14</f>
        <v>4429.2142719467329</v>
      </c>
      <c r="N9" s="467"/>
      <c r="O9" s="467"/>
      <c r="P9" s="467"/>
      <c r="Q9" s="466">
        <f>SUM(B9:P9)</f>
        <v>102763.4088154912</v>
      </c>
    </row>
    <row r="10" spans="1:17">
      <c r="A10" s="462" t="s">
        <v>564</v>
      </c>
      <c r="B10" s="463">
        <f>transport!B54</f>
        <v>0</v>
      </c>
      <c r="C10" s="463"/>
      <c r="D10" s="463">
        <f>transport!D54</f>
        <v>0</v>
      </c>
      <c r="E10" s="463"/>
      <c r="F10" s="463"/>
      <c r="G10" s="463">
        <f>transport!G54</f>
        <v>743.93463239695484</v>
      </c>
      <c r="H10" s="463"/>
      <c r="I10" s="463"/>
      <c r="J10" s="463"/>
      <c r="K10" s="463"/>
      <c r="L10" s="463"/>
      <c r="M10" s="463">
        <f>transport!M54</f>
        <v>33.084592704594407</v>
      </c>
      <c r="N10" s="463"/>
      <c r="O10" s="463"/>
      <c r="P10" s="464"/>
      <c r="Q10" s="462">
        <f t="shared" si="0"/>
        <v>777.0192251015493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59057.062837964615</v>
      </c>
      <c r="C14" s="473">
        <f t="shared" ref="C14:Q14" ca="1" si="1">SUM(C4:C13)</f>
        <v>0</v>
      </c>
      <c r="D14" s="473">
        <f t="shared" ca="1" si="1"/>
        <v>109296.10288071721</v>
      </c>
      <c r="E14" s="473">
        <f t="shared" si="1"/>
        <v>4952.5402678773753</v>
      </c>
      <c r="F14" s="473">
        <f t="shared" ca="1" si="1"/>
        <v>55619.22478226947</v>
      </c>
      <c r="G14" s="473">
        <f t="shared" si="1"/>
        <v>83951.243107310336</v>
      </c>
      <c r="H14" s="473">
        <f t="shared" si="1"/>
        <v>14772.893950713011</v>
      </c>
      <c r="I14" s="473">
        <f t="shared" si="1"/>
        <v>0</v>
      </c>
      <c r="J14" s="473">
        <f t="shared" si="1"/>
        <v>9446.5509819700128</v>
      </c>
      <c r="K14" s="473">
        <f t="shared" si="1"/>
        <v>0</v>
      </c>
      <c r="L14" s="473">
        <f t="shared" ca="1" si="1"/>
        <v>0</v>
      </c>
      <c r="M14" s="473">
        <f t="shared" si="1"/>
        <v>4462.2988646513277</v>
      </c>
      <c r="N14" s="473">
        <f t="shared" ca="1" si="1"/>
        <v>15254.31023239979</v>
      </c>
      <c r="O14" s="473">
        <f t="shared" si="1"/>
        <v>143.82666666666668</v>
      </c>
      <c r="P14" s="474">
        <f t="shared" si="1"/>
        <v>800.8</v>
      </c>
      <c r="Q14" s="474">
        <f t="shared" ca="1" si="1"/>
        <v>357756.8545725398</v>
      </c>
    </row>
    <row r="16" spans="1:17">
      <c r="A16" s="476" t="s">
        <v>569</v>
      </c>
      <c r="B16" s="829">
        <f ca="1">huishoudens!B10</f>
        <v>0.19002062948300547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4123.2773521413819</v>
      </c>
      <c r="C21" s="463">
        <f t="shared" ref="C21:C28" ca="1" si="3">C4*$C$16</f>
        <v>0</v>
      </c>
      <c r="D21" s="463">
        <f t="shared" ref="D21:D30" si="4">D4*$D$16</f>
        <v>6315.26334791914</v>
      </c>
      <c r="E21" s="463">
        <f t="shared" ref="E21:E30" si="5">E4*$E$16</f>
        <v>593.10397112748512</v>
      </c>
      <c r="F21" s="463">
        <f t="shared" ref="F21:F28" si="6">F4*$F$16</f>
        <v>5780.0420002483525</v>
      </c>
      <c r="G21" s="463">
        <f t="shared" ref="G21:G30" si="7">G4*$G$16</f>
        <v>0</v>
      </c>
      <c r="H21" s="463">
        <f t="shared" ref="H21:H30" si="8">H4*$H$16</f>
        <v>0</v>
      </c>
      <c r="I21" s="463">
        <f t="shared" ref="I21:I28" si="9">I4*$I$16</f>
        <v>0</v>
      </c>
      <c r="J21" s="463">
        <f t="shared" ref="J21:J28" si="10">J4*$J$16</f>
        <v>3282.1721321588316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20093.858803595191</v>
      </c>
    </row>
    <row r="22" spans="1:17">
      <c r="A22" s="462" t="s">
        <v>156</v>
      </c>
      <c r="B22" s="463">
        <f t="shared" ca="1" si="2"/>
        <v>2396.2677959637281</v>
      </c>
      <c r="C22" s="463">
        <f t="shared" ca="1" si="3"/>
        <v>0</v>
      </c>
      <c r="D22" s="463">
        <f t="shared" ca="1" si="4"/>
        <v>1178.4957163592182</v>
      </c>
      <c r="E22" s="463">
        <f t="shared" si="5"/>
        <v>20.108795059061546</v>
      </c>
      <c r="F22" s="463">
        <f t="shared" ca="1" si="6"/>
        <v>419.52845722404697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4014.400764606055</v>
      </c>
    </row>
    <row r="23" spans="1:17">
      <c r="A23" s="462" t="s">
        <v>194</v>
      </c>
      <c r="B23" s="463">
        <f t="shared" ca="1" si="2"/>
        <v>121.43724376622222</v>
      </c>
      <c r="C23" s="463"/>
      <c r="D23" s="463"/>
      <c r="E23" s="463"/>
      <c r="F23" s="463"/>
      <c r="G23" s="463"/>
      <c r="H23" s="463"/>
      <c r="I23" s="463"/>
      <c r="J23" s="463"/>
      <c r="K23" s="463"/>
      <c r="L23" s="463"/>
      <c r="M23" s="463"/>
      <c r="N23" s="463"/>
      <c r="O23" s="463"/>
      <c r="P23" s="464"/>
      <c r="Q23" s="462">
        <f t="shared" ca="1" si="17"/>
        <v>121.43724376622222</v>
      </c>
    </row>
    <row r="24" spans="1:17">
      <c r="A24" s="462" t="s">
        <v>112</v>
      </c>
      <c r="B24" s="463">
        <f t="shared" ca="1" si="2"/>
        <v>207.31771037555239</v>
      </c>
      <c r="C24" s="463">
        <f t="shared" ca="1" si="3"/>
        <v>0</v>
      </c>
      <c r="D24" s="463">
        <f t="shared" si="4"/>
        <v>170.4880585681108</v>
      </c>
      <c r="E24" s="463">
        <f t="shared" si="5"/>
        <v>3.1208755800843626</v>
      </c>
      <c r="F24" s="463">
        <f t="shared" si="6"/>
        <v>1005.0728512726445</v>
      </c>
      <c r="G24" s="463">
        <f t="shared" si="7"/>
        <v>0</v>
      </c>
      <c r="H24" s="463">
        <f t="shared" si="8"/>
        <v>0</v>
      </c>
      <c r="I24" s="463">
        <f t="shared" si="9"/>
        <v>0</v>
      </c>
      <c r="J24" s="463">
        <f t="shared" si="10"/>
        <v>58.083653155698002</v>
      </c>
      <c r="K24" s="463">
        <f t="shared" si="11"/>
        <v>0</v>
      </c>
      <c r="L24" s="463">
        <f t="shared" si="12"/>
        <v>0</v>
      </c>
      <c r="M24" s="463">
        <f t="shared" si="13"/>
        <v>0</v>
      </c>
      <c r="N24" s="463">
        <f t="shared" si="14"/>
        <v>0</v>
      </c>
      <c r="O24" s="463">
        <f t="shared" si="15"/>
        <v>0</v>
      </c>
      <c r="P24" s="464">
        <f t="shared" si="16"/>
        <v>0</v>
      </c>
      <c r="Q24" s="462">
        <f t="shared" ca="1" si="17"/>
        <v>1444.0831489520899</v>
      </c>
    </row>
    <row r="25" spans="1:17">
      <c r="A25" s="462" t="s">
        <v>657</v>
      </c>
      <c r="B25" s="463">
        <f t="shared" ca="1" si="2"/>
        <v>4372.6894930822255</v>
      </c>
      <c r="C25" s="463">
        <f t="shared" ca="1" si="3"/>
        <v>0</v>
      </c>
      <c r="D25" s="463">
        <f t="shared" si="4"/>
        <v>14411.619458805055</v>
      </c>
      <c r="E25" s="463">
        <f t="shared" si="5"/>
        <v>431.00287363887873</v>
      </c>
      <c r="F25" s="463">
        <f t="shared" si="6"/>
        <v>7645.6897081209054</v>
      </c>
      <c r="G25" s="463">
        <f t="shared" si="7"/>
        <v>0</v>
      </c>
      <c r="H25" s="463">
        <f t="shared" si="8"/>
        <v>0</v>
      </c>
      <c r="I25" s="463">
        <f t="shared" si="9"/>
        <v>0</v>
      </c>
      <c r="J25" s="463">
        <f t="shared" si="10"/>
        <v>3.8232623028548369</v>
      </c>
      <c r="K25" s="463">
        <f t="shared" si="11"/>
        <v>0</v>
      </c>
      <c r="L25" s="463">
        <f t="shared" si="12"/>
        <v>0</v>
      </c>
      <c r="M25" s="463">
        <f t="shared" si="13"/>
        <v>0</v>
      </c>
      <c r="N25" s="463">
        <f t="shared" si="14"/>
        <v>0</v>
      </c>
      <c r="O25" s="463">
        <f t="shared" si="15"/>
        <v>0</v>
      </c>
      <c r="P25" s="464">
        <f t="shared" si="16"/>
        <v>0</v>
      </c>
      <c r="Q25" s="462">
        <f t="shared" ca="1" si="17"/>
        <v>26864.82479594992</v>
      </c>
    </row>
    <row r="26" spans="1:17" s="468" customFormat="1">
      <c r="A26" s="466" t="s">
        <v>574</v>
      </c>
      <c r="B26" s="823">
        <f t="shared" ca="1" si="2"/>
        <v>1.0706605583368722</v>
      </c>
      <c r="C26" s="467"/>
      <c r="D26" s="467">
        <f t="shared" si="4"/>
        <v>1.9462002533535541</v>
      </c>
      <c r="E26" s="467">
        <f t="shared" si="5"/>
        <v>76.89012540265449</v>
      </c>
      <c r="F26" s="467"/>
      <c r="G26" s="467">
        <f t="shared" si="7"/>
        <v>22216.351362801874</v>
      </c>
      <c r="H26" s="467">
        <f t="shared" si="8"/>
        <v>3678.4505937275399</v>
      </c>
      <c r="I26" s="467"/>
      <c r="J26" s="467"/>
      <c r="K26" s="467"/>
      <c r="L26" s="467"/>
      <c r="M26" s="467">
        <f t="shared" si="13"/>
        <v>0</v>
      </c>
      <c r="N26" s="467"/>
      <c r="O26" s="467"/>
      <c r="P26" s="478"/>
      <c r="Q26" s="466">
        <f t="shared" ca="1" si="17"/>
        <v>25974.708942743757</v>
      </c>
    </row>
    <row r="27" spans="1:17">
      <c r="A27" s="462" t="s">
        <v>564</v>
      </c>
      <c r="B27" s="463">
        <f t="shared" ca="1" si="2"/>
        <v>0</v>
      </c>
      <c r="C27" s="463"/>
      <c r="D27" s="467">
        <f t="shared" si="4"/>
        <v>0</v>
      </c>
      <c r="E27" s="463"/>
      <c r="F27" s="463"/>
      <c r="G27" s="463">
        <f t="shared" si="7"/>
        <v>198.63054684998696</v>
      </c>
      <c r="H27" s="463"/>
      <c r="I27" s="463"/>
      <c r="J27" s="463"/>
      <c r="K27" s="463"/>
      <c r="L27" s="463"/>
      <c r="M27" s="463">
        <f t="shared" si="13"/>
        <v>0</v>
      </c>
      <c r="N27" s="463"/>
      <c r="O27" s="463"/>
      <c r="P27" s="464"/>
      <c r="Q27" s="462">
        <f t="shared" ca="1" si="17"/>
        <v>198.63054684998696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11222.060255887445</v>
      </c>
      <c r="C31" s="473">
        <f t="shared" ca="1" si="18"/>
        <v>0</v>
      </c>
      <c r="D31" s="473">
        <f t="shared" ca="1" si="18"/>
        <v>22077.812781904879</v>
      </c>
      <c r="E31" s="473">
        <f t="shared" si="18"/>
        <v>1124.2266408081643</v>
      </c>
      <c r="F31" s="473">
        <f t="shared" ca="1" si="18"/>
        <v>14850.333016865949</v>
      </c>
      <c r="G31" s="473">
        <f t="shared" si="18"/>
        <v>22414.981909651862</v>
      </c>
      <c r="H31" s="473">
        <f t="shared" si="18"/>
        <v>3678.4505937275399</v>
      </c>
      <c r="I31" s="473">
        <f t="shared" si="18"/>
        <v>0</v>
      </c>
      <c r="J31" s="473">
        <f t="shared" si="18"/>
        <v>3344.0790476173843</v>
      </c>
      <c r="K31" s="473">
        <f t="shared" si="18"/>
        <v>0</v>
      </c>
      <c r="L31" s="473">
        <f t="shared" ca="1" si="18"/>
        <v>0</v>
      </c>
      <c r="M31" s="473">
        <f t="shared" si="18"/>
        <v>0</v>
      </c>
      <c r="N31" s="473">
        <f t="shared" ca="1" si="18"/>
        <v>0</v>
      </c>
      <c r="O31" s="473">
        <f t="shared" si="18"/>
        <v>0</v>
      </c>
      <c r="P31" s="474">
        <f t="shared" si="18"/>
        <v>0</v>
      </c>
      <c r="Q31" s="474">
        <f t="shared" ca="1" si="18"/>
        <v>78711.94424646323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0.19002062948300547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0.19002062948300547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0.19002062948300547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41063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4113</v>
      </c>
      <c r="C9" s="338">
        <v>4327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1443</v>
      </c>
    </row>
    <row r="15" spans="1:6">
      <c r="A15" s="1269" t="s">
        <v>184</v>
      </c>
      <c r="B15" s="335">
        <v>3</v>
      </c>
    </row>
    <row r="16" spans="1:6">
      <c r="A16" s="1269" t="s">
        <v>6</v>
      </c>
      <c r="B16" s="335">
        <v>252</v>
      </c>
    </row>
    <row r="17" spans="1:6">
      <c r="A17" s="1269" t="s">
        <v>7</v>
      </c>
      <c r="B17" s="335">
        <v>326</v>
      </c>
    </row>
    <row r="18" spans="1:6">
      <c r="A18" s="1269" t="s">
        <v>8</v>
      </c>
      <c r="B18" s="335">
        <v>466</v>
      </c>
    </row>
    <row r="19" spans="1:6">
      <c r="A19" s="1269" t="s">
        <v>9</v>
      </c>
      <c r="B19" s="335">
        <v>474</v>
      </c>
    </row>
    <row r="20" spans="1:6">
      <c r="A20" s="1269" t="s">
        <v>10</v>
      </c>
      <c r="B20" s="335">
        <v>461</v>
      </c>
    </row>
    <row r="21" spans="1:6">
      <c r="A21" s="1269" t="s">
        <v>11</v>
      </c>
      <c r="B21" s="335">
        <v>0</v>
      </c>
    </row>
    <row r="22" spans="1:6">
      <c r="A22" s="1269" t="s">
        <v>12</v>
      </c>
      <c r="B22" s="335">
        <v>5</v>
      </c>
    </row>
    <row r="23" spans="1:6">
      <c r="A23" s="1269" t="s">
        <v>13</v>
      </c>
      <c r="B23" s="335">
        <v>0</v>
      </c>
    </row>
    <row r="24" spans="1:6">
      <c r="A24" s="1269" t="s">
        <v>14</v>
      </c>
      <c r="B24" s="335">
        <v>0</v>
      </c>
    </row>
    <row r="25" spans="1:6">
      <c r="A25" s="1269" t="s">
        <v>15</v>
      </c>
      <c r="B25" s="335">
        <v>0</v>
      </c>
    </row>
    <row r="26" spans="1:6">
      <c r="A26" s="1269" t="s">
        <v>16</v>
      </c>
      <c r="B26" s="335">
        <v>93</v>
      </c>
    </row>
    <row r="27" spans="1:6">
      <c r="A27" s="1269" t="s">
        <v>17</v>
      </c>
      <c r="B27" s="335">
        <v>382</v>
      </c>
    </row>
    <row r="28" spans="1:6" s="341" customFormat="1">
      <c r="A28" s="1270" t="s">
        <v>18</v>
      </c>
      <c r="B28" s="1270">
        <v>26470</v>
      </c>
    </row>
    <row r="29" spans="1:6">
      <c r="A29" s="1270" t="s">
        <v>874</v>
      </c>
      <c r="B29" s="1270">
        <v>117</v>
      </c>
      <c r="C29" s="341"/>
      <c r="D29" s="341"/>
      <c r="E29" s="341"/>
      <c r="F29" s="341"/>
    </row>
    <row r="30" spans="1:6">
      <c r="A30" s="1265" t="s">
        <v>875</v>
      </c>
      <c r="B30" s="1265">
        <v>10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6158.1946838377999</v>
      </c>
      <c r="E38" s="335">
        <v>2</v>
      </c>
      <c r="F38" s="335">
        <v>14176.0310840808</v>
      </c>
    </row>
    <row r="39" spans="1:6">
      <c r="A39" s="1269" t="s">
        <v>30</v>
      </c>
      <c r="B39" s="1269" t="s">
        <v>31</v>
      </c>
      <c r="C39" s="335">
        <v>1835</v>
      </c>
      <c r="D39" s="335">
        <v>34660399.046778001</v>
      </c>
      <c r="E39" s="335">
        <v>4009</v>
      </c>
      <c r="F39" s="335">
        <v>19965722.6372144</v>
      </c>
    </row>
    <row r="40" spans="1:6">
      <c r="A40" s="1269" t="s">
        <v>30</v>
      </c>
      <c r="B40" s="1269" t="s">
        <v>29</v>
      </c>
      <c r="C40" s="335">
        <v>0</v>
      </c>
      <c r="D40" s="335">
        <v>0</v>
      </c>
      <c r="E40" s="335">
        <v>0</v>
      </c>
      <c r="F40" s="335">
        <v>0</v>
      </c>
    </row>
    <row r="41" spans="1:6">
      <c r="A41" s="1269" t="s">
        <v>32</v>
      </c>
      <c r="B41" s="1269" t="s">
        <v>33</v>
      </c>
      <c r="C41" s="335">
        <v>26</v>
      </c>
      <c r="D41" s="335">
        <v>542064.96826971101</v>
      </c>
      <c r="E41" s="335">
        <v>81</v>
      </c>
      <c r="F41" s="335">
        <v>680385.90702470206</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5</v>
      </c>
      <c r="F45" s="335">
        <v>37057.750432291199</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20</v>
      </c>
      <c r="D48" s="335">
        <v>78554000.204860702</v>
      </c>
      <c r="E48" s="335">
        <v>29</v>
      </c>
      <c r="F48" s="335">
        <v>4040041.7549035801</v>
      </c>
    </row>
    <row r="49" spans="1:6">
      <c r="A49" s="1269" t="s">
        <v>32</v>
      </c>
      <c r="B49" s="1269" t="s">
        <v>40</v>
      </c>
      <c r="C49" s="335">
        <v>0</v>
      </c>
      <c r="D49" s="335">
        <v>0</v>
      </c>
      <c r="E49" s="335">
        <v>0</v>
      </c>
      <c r="F49" s="335">
        <v>0</v>
      </c>
    </row>
    <row r="50" spans="1:6">
      <c r="A50" s="1269" t="s">
        <v>32</v>
      </c>
      <c r="B50" s="1269" t="s">
        <v>41</v>
      </c>
      <c r="C50" s="335">
        <v>0</v>
      </c>
      <c r="D50" s="335">
        <v>0</v>
      </c>
      <c r="E50" s="335">
        <v>20</v>
      </c>
      <c r="F50" s="335">
        <v>18254171.295540702</v>
      </c>
    </row>
    <row r="51" spans="1:6">
      <c r="A51" s="1269" t="s">
        <v>42</v>
      </c>
      <c r="B51" s="1269" t="s">
        <v>43</v>
      </c>
      <c r="C51" s="335">
        <v>3</v>
      </c>
      <c r="D51" s="335">
        <v>53641.566513781399</v>
      </c>
      <c r="E51" s="335">
        <v>65</v>
      </c>
      <c r="F51" s="335">
        <v>1037702.53733449</v>
      </c>
    </row>
    <row r="52" spans="1:6">
      <c r="A52" s="1269" t="s">
        <v>42</v>
      </c>
      <c r="B52" s="1269" t="s">
        <v>29</v>
      </c>
      <c r="C52" s="335">
        <v>1</v>
      </c>
      <c r="D52" s="335">
        <v>38654.296610382</v>
      </c>
      <c r="E52" s="335">
        <v>12</v>
      </c>
      <c r="F52" s="335">
        <v>53324.847111123003</v>
      </c>
    </row>
    <row r="53" spans="1:6">
      <c r="A53" s="1269" t="s">
        <v>44</v>
      </c>
      <c r="B53" s="1269" t="s">
        <v>45</v>
      </c>
      <c r="C53" s="335">
        <v>37</v>
      </c>
      <c r="D53" s="335">
        <v>843402.90621191496</v>
      </c>
      <c r="E53" s="335">
        <v>121</v>
      </c>
      <c r="F53" s="335">
        <v>781388.85737945396</v>
      </c>
    </row>
    <row r="54" spans="1:6">
      <c r="A54" s="1269" t="s">
        <v>46</v>
      </c>
      <c r="B54" s="1269" t="s">
        <v>47</v>
      </c>
      <c r="C54" s="335">
        <v>0</v>
      </c>
      <c r="D54" s="335">
        <v>0</v>
      </c>
      <c r="E54" s="335">
        <v>5</v>
      </c>
      <c r="F54" s="335">
        <v>639074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15</v>
      </c>
      <c r="D57" s="335">
        <v>486493.61086224299</v>
      </c>
      <c r="E57" s="335">
        <v>79</v>
      </c>
      <c r="F57" s="335">
        <v>1841136.34754184</v>
      </c>
    </row>
    <row r="58" spans="1:6">
      <c r="A58" s="1269" t="s">
        <v>49</v>
      </c>
      <c r="B58" s="1269" t="s">
        <v>51</v>
      </c>
      <c r="C58" s="335">
        <v>11</v>
      </c>
      <c r="D58" s="335">
        <v>114705.10001088001</v>
      </c>
      <c r="E58" s="335">
        <v>21</v>
      </c>
      <c r="F58" s="335">
        <v>135140.731883181</v>
      </c>
    </row>
    <row r="59" spans="1:6">
      <c r="A59" s="1269" t="s">
        <v>49</v>
      </c>
      <c r="B59" s="1269" t="s">
        <v>52</v>
      </c>
      <c r="C59" s="335">
        <v>14</v>
      </c>
      <c r="D59" s="335">
        <v>414958.40595253202</v>
      </c>
      <c r="E59" s="335">
        <v>88</v>
      </c>
      <c r="F59" s="335">
        <v>2243725.10216557</v>
      </c>
    </row>
    <row r="60" spans="1:6">
      <c r="A60" s="1269" t="s">
        <v>49</v>
      </c>
      <c r="B60" s="1269" t="s">
        <v>53</v>
      </c>
      <c r="C60" s="335">
        <v>21</v>
      </c>
      <c r="D60" s="335">
        <v>589876.92200070701</v>
      </c>
      <c r="E60" s="335">
        <v>31</v>
      </c>
      <c r="F60" s="335">
        <v>431610.07710772997</v>
      </c>
    </row>
    <row r="61" spans="1:6">
      <c r="A61" s="1269" t="s">
        <v>49</v>
      </c>
      <c r="B61" s="1269" t="s">
        <v>54</v>
      </c>
      <c r="C61" s="335">
        <v>35</v>
      </c>
      <c r="D61" s="335">
        <v>2226799.5661286102</v>
      </c>
      <c r="E61" s="335">
        <v>93</v>
      </c>
      <c r="F61" s="335">
        <v>1018833.84361708</v>
      </c>
    </row>
    <row r="62" spans="1:6">
      <c r="A62" s="1269" t="s">
        <v>49</v>
      </c>
      <c r="B62" s="1269" t="s">
        <v>55</v>
      </c>
      <c r="C62" s="335">
        <v>0</v>
      </c>
      <c r="D62" s="335">
        <v>0</v>
      </c>
      <c r="E62" s="335">
        <v>3</v>
      </c>
      <c r="F62" s="335">
        <v>36583.973806761802</v>
      </c>
    </row>
    <row r="63" spans="1:6">
      <c r="A63" s="1269" t="s">
        <v>49</v>
      </c>
      <c r="B63" s="1269" t="s">
        <v>29</v>
      </c>
      <c r="C63" s="335">
        <v>71</v>
      </c>
      <c r="D63" s="335">
        <v>2635167.7361748498</v>
      </c>
      <c r="E63" s="335">
        <v>107</v>
      </c>
      <c r="F63" s="335">
        <v>1593536.48437878</v>
      </c>
    </row>
    <row r="64" spans="1:6">
      <c r="A64" s="1269" t="s">
        <v>56</v>
      </c>
      <c r="B64" s="1269" t="s">
        <v>57</v>
      </c>
      <c r="C64" s="335">
        <v>0</v>
      </c>
      <c r="D64" s="335">
        <v>0</v>
      </c>
      <c r="E64" s="335">
        <v>0</v>
      </c>
      <c r="F64" s="335">
        <v>0</v>
      </c>
    </row>
    <row r="65" spans="1:6">
      <c r="A65" s="1269" t="s">
        <v>56</v>
      </c>
      <c r="B65" s="1269" t="s">
        <v>29</v>
      </c>
      <c r="C65" s="335">
        <v>1</v>
      </c>
      <c r="D65" s="335">
        <v>18278.494109289601</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5</v>
      </c>
      <c r="F68" s="335">
        <v>32331.005718856999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9839775</v>
      </c>
      <c r="E73" s="335">
        <v>11378176.174970282</v>
      </c>
    </row>
    <row r="74" spans="1:6">
      <c r="A74" s="1269" t="s">
        <v>64</v>
      </c>
      <c r="B74" s="1269" t="s">
        <v>727</v>
      </c>
      <c r="C74" s="1269" t="s">
        <v>728</v>
      </c>
      <c r="D74" s="335">
        <v>603579.39329490275</v>
      </c>
      <c r="E74" s="335">
        <v>731054.98611974146</v>
      </c>
    </row>
    <row r="75" spans="1:6">
      <c r="A75" s="1269" t="s">
        <v>65</v>
      </c>
      <c r="B75" s="1269" t="s">
        <v>725</v>
      </c>
      <c r="C75" s="1269" t="s">
        <v>729</v>
      </c>
      <c r="D75" s="335">
        <v>23439528</v>
      </c>
      <c r="E75" s="335">
        <v>26706909.220792782</v>
      </c>
    </row>
    <row r="76" spans="1:6">
      <c r="A76" s="1269" t="s">
        <v>65</v>
      </c>
      <c r="B76" s="1269" t="s">
        <v>727</v>
      </c>
      <c r="C76" s="1269" t="s">
        <v>730</v>
      </c>
      <c r="D76" s="335">
        <v>881360.39329490275</v>
      </c>
      <c r="E76" s="335">
        <v>1056445.8714268995</v>
      </c>
    </row>
    <row r="77" spans="1:6">
      <c r="A77" s="1269" t="s">
        <v>66</v>
      </c>
      <c r="B77" s="1269" t="s">
        <v>725</v>
      </c>
      <c r="C77" s="1269" t="s">
        <v>731</v>
      </c>
      <c r="D77" s="335">
        <v>69908181</v>
      </c>
      <c r="E77" s="335">
        <v>71167794.802546322</v>
      </c>
    </row>
    <row r="78" spans="1:6">
      <c r="A78" s="1265" t="s">
        <v>66</v>
      </c>
      <c r="B78" s="1265" t="s">
        <v>727</v>
      </c>
      <c r="C78" s="1265" t="s">
        <v>732</v>
      </c>
      <c r="D78" s="1265">
        <v>8994149</v>
      </c>
      <c r="E78" s="1265">
        <v>9602357.7001528163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205279.21341019453</v>
      </c>
      <c r="C83" s="335">
        <v>204863.15924084117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1733.3811040988444</v>
      </c>
    </row>
    <row r="92" spans="1:6">
      <c r="A92" s="1265" t="s">
        <v>69</v>
      </c>
      <c r="B92" s="338">
        <v>1235.128539804927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484</v>
      </c>
    </row>
    <row r="98" spans="1:6">
      <c r="A98" s="1269" t="s">
        <v>72</v>
      </c>
      <c r="B98" s="335">
        <v>1</v>
      </c>
    </row>
    <row r="99" spans="1:6">
      <c r="A99" s="1269" t="s">
        <v>73</v>
      </c>
      <c r="B99" s="335">
        <v>64</v>
      </c>
    </row>
    <row r="100" spans="1:6">
      <c r="A100" s="1269" t="s">
        <v>74</v>
      </c>
      <c r="B100" s="335">
        <v>466</v>
      </c>
    </row>
    <row r="101" spans="1:6">
      <c r="A101" s="1269" t="s">
        <v>75</v>
      </c>
      <c r="B101" s="335">
        <v>58</v>
      </c>
    </row>
    <row r="102" spans="1:6">
      <c r="A102" s="1269" t="s">
        <v>76</v>
      </c>
      <c r="B102" s="335">
        <v>82</v>
      </c>
    </row>
    <row r="103" spans="1:6">
      <c r="A103" s="1269" t="s">
        <v>77</v>
      </c>
      <c r="B103" s="335">
        <v>363</v>
      </c>
    </row>
    <row r="104" spans="1:6">
      <c r="A104" s="1269" t="s">
        <v>78</v>
      </c>
      <c r="B104" s="335">
        <v>2072</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v>
      </c>
      <c r="C123" s="335">
        <v>22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68</v>
      </c>
    </row>
    <row r="130" spans="1:6">
      <c r="A130" s="1269" t="s">
        <v>295</v>
      </c>
      <c r="B130" s="335">
        <v>2</v>
      </c>
    </row>
    <row r="131" spans="1:6">
      <c r="A131" s="1269" t="s">
        <v>296</v>
      </c>
      <c r="B131" s="335">
        <v>0</v>
      </c>
    </row>
    <row r="132" spans="1:6">
      <c r="A132" s="1265" t="s">
        <v>297</v>
      </c>
      <c r="B132" s="338">
        <v>20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59057.062837964615</v>
      </c>
      <c r="C3" s="43" t="s">
        <v>170</v>
      </c>
      <c r="D3" s="43"/>
      <c r="E3" s="156"/>
      <c r="F3" s="43"/>
      <c r="G3" s="43"/>
      <c r="H3" s="43"/>
      <c r="I3" s="43"/>
      <c r="J3" s="43"/>
      <c r="K3" s="96"/>
    </row>
    <row r="4" spans="1:11">
      <c r="A4" s="366" t="s">
        <v>171</v>
      </c>
      <c r="B4" s="49">
        <f>IF(ISERROR('SEAP template'!B69),0,'SEAP template'!B69)</f>
        <v>8278.5096439037716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0.19002062948300547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639.07399999999996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639.07399999999996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0.19002062948300547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121.43724376622222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19965.7226372144</v>
      </c>
      <c r="C5" s="17">
        <f>IF(ISERROR('Eigen informatie GS &amp; warmtenet'!B57),0,'Eigen informatie GS &amp; warmtenet'!B57)</f>
        <v>0</v>
      </c>
      <c r="D5" s="30">
        <f>(SUM(HH_hh_gas_kWh,HH_rest_gas_kWh)/1000)*0.902</f>
        <v>31263.679940193761</v>
      </c>
      <c r="E5" s="17">
        <f>B46*B57</f>
        <v>2612.7928243501547</v>
      </c>
      <c r="F5" s="17">
        <f>B51*B62</f>
        <v>21648.097379207313</v>
      </c>
      <c r="G5" s="18"/>
      <c r="H5" s="17"/>
      <c r="I5" s="17"/>
      <c r="J5" s="17">
        <f>B50*B61+C50*C61</f>
        <v>9271.6726897142144</v>
      </c>
      <c r="K5" s="17"/>
      <c r="L5" s="17"/>
      <c r="M5" s="17"/>
      <c r="N5" s="17">
        <f>B48*B59+C48*C59</f>
        <v>8876.873301303789</v>
      </c>
      <c r="O5" s="17">
        <f>B69*B70*B71</f>
        <v>140.70000000000002</v>
      </c>
      <c r="P5" s="17">
        <f>B77*B78*B79/1000-B77*B78*B79/1000/B80</f>
        <v>800.8</v>
      </c>
    </row>
    <row r="6" spans="1:16">
      <c r="A6" s="16" t="s">
        <v>634</v>
      </c>
      <c r="B6" s="831">
        <f>kWh_PV_kleiner_dan_10kW</f>
        <v>1733.3811040988444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21699.103741313244</v>
      </c>
      <c r="C8" s="21">
        <f>C5</f>
        <v>0</v>
      </c>
      <c r="D8" s="21">
        <f>D5</f>
        <v>31263.679940193761</v>
      </c>
      <c r="E8" s="21">
        <f>E5</f>
        <v>2612.7928243501547</v>
      </c>
      <c r="F8" s="21">
        <f>F5</f>
        <v>21648.097379207313</v>
      </c>
      <c r="G8" s="21"/>
      <c r="H8" s="21"/>
      <c r="I8" s="21"/>
      <c r="J8" s="21">
        <f>J5</f>
        <v>9271.6726897142144</v>
      </c>
      <c r="K8" s="21"/>
      <c r="L8" s="21">
        <f>L5</f>
        <v>0</v>
      </c>
      <c r="M8" s="21">
        <f>M5</f>
        <v>0</v>
      </c>
      <c r="N8" s="21">
        <f>N5</f>
        <v>8876.873301303789</v>
      </c>
      <c r="O8" s="21">
        <f>O5</f>
        <v>140.70000000000002</v>
      </c>
      <c r="P8" s="21">
        <f>P5</f>
        <v>800.8</v>
      </c>
    </row>
    <row r="9" spans="1:16">
      <c r="B9" s="19"/>
      <c r="C9" s="19"/>
      <c r="D9" s="261"/>
      <c r="E9" s="19"/>
      <c r="F9" s="19"/>
      <c r="G9" s="19"/>
      <c r="H9" s="19"/>
      <c r="I9" s="19"/>
      <c r="J9" s="19"/>
      <c r="K9" s="19"/>
      <c r="L9" s="19"/>
      <c r="M9" s="19"/>
      <c r="N9" s="19"/>
      <c r="O9" s="19"/>
      <c r="P9" s="19"/>
    </row>
    <row r="10" spans="1:16">
      <c r="A10" s="24" t="s">
        <v>214</v>
      </c>
      <c r="B10" s="25">
        <f ca="1">'EF ele_warmte'!B12</f>
        <v>0.19002062948300547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4123.2773521413819</v>
      </c>
      <c r="C12" s="23">
        <f ca="1">C10*C8</f>
        <v>0</v>
      </c>
      <c r="D12" s="23">
        <f>D8*D10</f>
        <v>6315.26334791914</v>
      </c>
      <c r="E12" s="23">
        <f>E10*E8</f>
        <v>593.10397112748512</v>
      </c>
      <c r="F12" s="23">
        <f>F10*F8</f>
        <v>5780.0420002483525</v>
      </c>
      <c r="G12" s="23"/>
      <c r="H12" s="23"/>
      <c r="I12" s="23"/>
      <c r="J12" s="23">
        <f>J10*J8</f>
        <v>3282.1721321588316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484</v>
      </c>
      <c r="C18" s="168" t="s">
        <v>111</v>
      </c>
      <c r="D18" s="230"/>
      <c r="E18" s="15"/>
    </row>
    <row r="19" spans="1:7">
      <c r="A19" s="173" t="s">
        <v>72</v>
      </c>
      <c r="B19" s="37">
        <f>aantalw2001_ander</f>
        <v>1</v>
      </c>
      <c r="C19" s="168" t="s">
        <v>111</v>
      </c>
      <c r="D19" s="231"/>
      <c r="E19" s="15"/>
    </row>
    <row r="20" spans="1:7">
      <c r="A20" s="173" t="s">
        <v>73</v>
      </c>
      <c r="B20" s="37">
        <f>aantalw2001_propaan</f>
        <v>64</v>
      </c>
      <c r="C20" s="169">
        <f>IF(ISERROR(B20/SUM($B$20,$B$21,$B$22)*100),0,B20/SUM($B$20,$B$21,$B$22)*100)</f>
        <v>10.884353741496598</v>
      </c>
      <c r="D20" s="231"/>
      <c r="E20" s="15"/>
    </row>
    <row r="21" spans="1:7">
      <c r="A21" s="173" t="s">
        <v>74</v>
      </c>
      <c r="B21" s="37">
        <f>aantalw2001_elektriciteit</f>
        <v>466</v>
      </c>
      <c r="C21" s="169">
        <f>IF(ISERROR(B21/SUM($B$20,$B$21,$B$22)*100),0,B21/SUM($B$20,$B$21,$B$22)*100)</f>
        <v>79.251700680272108</v>
      </c>
      <c r="D21" s="231"/>
      <c r="E21" s="15"/>
    </row>
    <row r="22" spans="1:7">
      <c r="A22" s="173" t="s">
        <v>75</v>
      </c>
      <c r="B22" s="37">
        <f>aantalw2001_hout</f>
        <v>58</v>
      </c>
      <c r="C22" s="169">
        <f>IF(ISERROR(B22/SUM($B$20,$B$21,$B$22)*100),0,B22/SUM($B$20,$B$21,$B$22)*100)</f>
        <v>9.8639455782312915</v>
      </c>
      <c r="D22" s="231"/>
      <c r="E22" s="15"/>
    </row>
    <row r="23" spans="1:7">
      <c r="A23" s="173" t="s">
        <v>76</v>
      </c>
      <c r="B23" s="37">
        <f>aantalw2001_niet_gespec</f>
        <v>82</v>
      </c>
      <c r="C23" s="168" t="s">
        <v>111</v>
      </c>
      <c r="D23" s="230"/>
      <c r="E23" s="15"/>
    </row>
    <row r="24" spans="1:7">
      <c r="A24" s="173" t="s">
        <v>77</v>
      </c>
      <c r="B24" s="37">
        <f>aantalw2001_steenkool</f>
        <v>363</v>
      </c>
      <c r="C24" s="168" t="s">
        <v>111</v>
      </c>
      <c r="D24" s="231"/>
      <c r="E24" s="15"/>
    </row>
    <row r="25" spans="1:7">
      <c r="A25" s="173" t="s">
        <v>78</v>
      </c>
      <c r="B25" s="37">
        <f>aantalw2001_stookolie</f>
        <v>2072</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4113</v>
      </c>
      <c r="C28" s="36"/>
      <c r="D28" s="230"/>
    </row>
    <row r="29" spans="1:7" s="15" customFormat="1">
      <c r="A29" s="232" t="s">
        <v>746</v>
      </c>
      <c r="B29" s="37">
        <f>SUM(HH_hh_gas_aantal,HH_rest_gas_aantal)</f>
        <v>1835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1835</v>
      </c>
      <c r="C32" s="169">
        <f>IF(ISERROR(B32/SUM($B$32,$B$34,$B$35,$B$36,$B$38,$B$39)*100),0,B32/SUM($B$32,$B$34,$B$35,$B$36,$B$38,$B$39)*100)</f>
        <v>45.074920167035124</v>
      </c>
      <c r="D32" s="235"/>
      <c r="G32" s="15"/>
    </row>
    <row r="33" spans="1:7">
      <c r="A33" s="173" t="s">
        <v>72</v>
      </c>
      <c r="B33" s="34" t="s">
        <v>111</v>
      </c>
      <c r="C33" s="169"/>
      <c r="D33" s="235"/>
      <c r="G33" s="15"/>
    </row>
    <row r="34" spans="1:7">
      <c r="A34" s="173" t="s">
        <v>73</v>
      </c>
      <c r="B34" s="33">
        <f>IF((($B$28-$B$32-$B$39-$B$77-$B$38)*C20/100)&lt;0,0,($B$28-$B$32-$B$39-$B$77-$B$38)*C20/100)</f>
        <v>125.38775510204081</v>
      </c>
      <c r="C34" s="169">
        <f>IF(ISERROR(B34/SUM($B$32,$B$34,$B$35,$B$36,$B$38,$B$39)*100),0,B34/SUM($B$32,$B$34,$B$35,$B$36,$B$38,$B$39)*100)</f>
        <v>3.0800234611162076</v>
      </c>
      <c r="D34" s="235"/>
      <c r="G34" s="15"/>
    </row>
    <row r="35" spans="1:7">
      <c r="A35" s="173" t="s">
        <v>74</v>
      </c>
      <c r="B35" s="33">
        <f>IF((($B$28-$B$32-$B$39-$B$77-$B$38)*C21/100)&lt;0,0,($B$28-$B$32-$B$39-$B$77-$B$38)*C21/100)</f>
        <v>912.97959183673458</v>
      </c>
      <c r="C35" s="169">
        <f>IF(ISERROR(B35/SUM($B$32,$B$34,$B$35,$B$36,$B$38,$B$39)*100),0,B35/SUM($B$32,$B$34,$B$35,$B$36,$B$38,$B$39)*100)</f>
        <v>22.426420826252386</v>
      </c>
      <c r="D35" s="235"/>
      <c r="G35" s="15"/>
    </row>
    <row r="36" spans="1:7">
      <c r="A36" s="173" t="s">
        <v>75</v>
      </c>
      <c r="B36" s="33">
        <f>IF((($B$28-$B$32-$B$39-$B$77-$B$38)*C22/100)&lt;0,0,($B$28-$B$32-$B$39-$B$77-$B$38)*C22/100)</f>
        <v>113.63265306122449</v>
      </c>
      <c r="C36" s="169">
        <f>IF(ISERROR(B36/SUM($B$32,$B$34,$B$35,$B$36,$B$38,$B$39)*100),0,B36/SUM($B$32,$B$34,$B$35,$B$36,$B$38,$B$39)*100)</f>
        <v>2.7912712616365631</v>
      </c>
      <c r="D36" s="235"/>
      <c r="G36" s="15"/>
    </row>
    <row r="37" spans="1:7">
      <c r="A37" s="173" t="s">
        <v>76</v>
      </c>
      <c r="B37" s="34" t="s">
        <v>111</v>
      </c>
      <c r="C37" s="169"/>
      <c r="D37" s="175"/>
      <c r="G37" s="15"/>
    </row>
    <row r="38" spans="1:7">
      <c r="A38" s="173" t="s">
        <v>77</v>
      </c>
      <c r="B38" s="33">
        <f>IF((B24-(B29-B18)*0.1)&lt;0,0,B24-(B29-B18)*0.1)</f>
        <v>227.9</v>
      </c>
      <c r="C38" s="169">
        <f>IF(ISERROR(B38/SUM($B$32,$B$34,$B$35,$B$36,$B$38,$B$39)*100),0,B38/SUM($B$32,$B$34,$B$35,$B$36,$B$38,$B$39)*100)</f>
        <v>5.5981331368214198</v>
      </c>
      <c r="D38" s="236"/>
      <c r="G38" s="15"/>
    </row>
    <row r="39" spans="1:7">
      <c r="A39" s="173" t="s">
        <v>78</v>
      </c>
      <c r="B39" s="33">
        <f>IF((B25-(B29-B18))&lt;0,0,B25-(B29-B18)*0.9)</f>
        <v>856.09999999999991</v>
      </c>
      <c r="C39" s="169">
        <f>IF(ISERROR(B39/SUM($B$32,$B$34,$B$35,$B$36,$B$38,$B$39)*100),0,B39/SUM($B$32,$B$34,$B$35,$B$36,$B$38,$B$39)*100)</f>
        <v>21.029231147138294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1835</v>
      </c>
      <c r="C44" s="34" t="s">
        <v>111</v>
      </c>
      <c r="D44" s="176"/>
    </row>
    <row r="45" spans="1:7">
      <c r="A45" s="173" t="s">
        <v>72</v>
      </c>
      <c r="B45" s="33" t="str">
        <f t="shared" si="0"/>
        <v>-</v>
      </c>
      <c r="C45" s="34" t="s">
        <v>111</v>
      </c>
      <c r="D45" s="176"/>
    </row>
    <row r="46" spans="1:7">
      <c r="A46" s="173" t="s">
        <v>73</v>
      </c>
      <c r="B46" s="33">
        <f t="shared" si="0"/>
        <v>125.38775510204081</v>
      </c>
      <c r="C46" s="34" t="s">
        <v>111</v>
      </c>
      <c r="D46" s="176"/>
    </row>
    <row r="47" spans="1:7">
      <c r="A47" s="173" t="s">
        <v>74</v>
      </c>
      <c r="B47" s="33">
        <f t="shared" si="0"/>
        <v>912.97959183673458</v>
      </c>
      <c r="C47" s="34" t="s">
        <v>111</v>
      </c>
      <c r="D47" s="176"/>
    </row>
    <row r="48" spans="1:7">
      <c r="A48" s="173" t="s">
        <v>75</v>
      </c>
      <c r="B48" s="33">
        <f t="shared" si="0"/>
        <v>113.63265306122449</v>
      </c>
      <c r="C48" s="33">
        <f>B48*10</f>
        <v>1136.3265306122448</v>
      </c>
      <c r="D48" s="236"/>
    </row>
    <row r="49" spans="1:6">
      <c r="A49" s="173" t="s">
        <v>76</v>
      </c>
      <c r="B49" s="33" t="str">
        <f t="shared" si="0"/>
        <v>-</v>
      </c>
      <c r="C49" s="34" t="s">
        <v>111</v>
      </c>
      <c r="D49" s="236"/>
    </row>
    <row r="50" spans="1:6">
      <c r="A50" s="173" t="s">
        <v>77</v>
      </c>
      <c r="B50" s="33">
        <f t="shared" si="0"/>
        <v>227.9</v>
      </c>
      <c r="C50" s="33">
        <f>B50*2</f>
        <v>455.8</v>
      </c>
      <c r="D50" s="236"/>
    </row>
    <row r="51" spans="1:6">
      <c r="A51" s="173" t="s">
        <v>78</v>
      </c>
      <c r="B51" s="33">
        <f t="shared" si="0"/>
        <v>856.09999999999991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7300.5665605009426</v>
      </c>
      <c r="C5" s="17">
        <f>IF(ISERROR('Eigen informatie GS &amp; warmtenet'!B58),0,'Eigen informatie GS &amp; warmtenet'!B58)</f>
        <v>0</v>
      </c>
      <c r="D5" s="30">
        <f>SUM(D6:D12)</f>
        <v>5834.1372096990999</v>
      </c>
      <c r="E5" s="17">
        <f>SUM(E6:E12)</f>
        <v>88.585000260183023</v>
      </c>
      <c r="F5" s="17">
        <f>SUM(F6:F12)</f>
        <v>1571.2676300526102</v>
      </c>
      <c r="G5" s="18"/>
      <c r="H5" s="17"/>
      <c r="I5" s="17"/>
      <c r="J5" s="17">
        <f>SUM(J6:J12)</f>
        <v>0</v>
      </c>
      <c r="K5" s="17"/>
      <c r="L5" s="17"/>
      <c r="M5" s="17"/>
      <c r="N5" s="17">
        <f>SUM(N6:N12)</f>
        <v>1416.842052372155</v>
      </c>
      <c r="O5" s="17">
        <f>B38*B39*B40</f>
        <v>3.1266666666666669</v>
      </c>
      <c r="P5" s="17">
        <f>B46*B47*B48/1000-B46*B47*B48/1000/B49</f>
        <v>0</v>
      </c>
      <c r="R5" s="32"/>
    </row>
    <row r="6" spans="1:18">
      <c r="A6" s="32" t="s">
        <v>54</v>
      </c>
      <c r="B6" s="37">
        <f>B26</f>
        <v>1018.83384361708</v>
      </c>
      <c r="C6" s="33"/>
      <c r="D6" s="37">
        <f>IF(ISERROR(TER_kantoor_gas_kWh/1000),0,TER_kantoor_gas_kWh/1000)*0.902</f>
        <v>2008.5732086480064</v>
      </c>
      <c r="E6" s="33">
        <f>$C$26*'E Balans VL '!I12/100/3.6*1000000</f>
        <v>3.9583851821447578</v>
      </c>
      <c r="F6" s="33">
        <f>$C$26*('E Balans VL '!L12+'E Balans VL '!N12)/100/3.6*1000000</f>
        <v>154.95535696530123</v>
      </c>
      <c r="G6" s="34"/>
      <c r="H6" s="33"/>
      <c r="I6" s="33"/>
      <c r="J6" s="33">
        <f>$C$26*('E Balans VL '!D12+'E Balans VL '!E12)/100/3.6*1000000</f>
        <v>0</v>
      </c>
      <c r="K6" s="33"/>
      <c r="L6" s="33"/>
      <c r="M6" s="33"/>
      <c r="N6" s="33">
        <f>$C$26*'E Balans VL '!Y12/100/3.6*1000000</f>
        <v>0.56149950112167701</v>
      </c>
      <c r="O6" s="33"/>
      <c r="P6" s="33"/>
      <c r="R6" s="32"/>
    </row>
    <row r="7" spans="1:18">
      <c r="A7" s="32" t="s">
        <v>53</v>
      </c>
      <c r="B7" s="37">
        <f t="shared" ref="B7:B12" si="0">B27</f>
        <v>431.61007710772998</v>
      </c>
      <c r="C7" s="33"/>
      <c r="D7" s="37">
        <f>IF(ISERROR(TER_horeca_gas_kWh/1000),0,TER_horeca_gas_kWh/1000)*0.902</f>
        <v>532.0689836446378</v>
      </c>
      <c r="E7" s="33">
        <f>$C$27*'E Balans VL '!I9/100/3.6*1000000</f>
        <v>24.312711036894381</v>
      </c>
      <c r="F7" s="33">
        <f>$C$27*('E Balans VL '!L9+'E Balans VL '!N9)/100/3.6*1000000</f>
        <v>124.4505062700499</v>
      </c>
      <c r="G7" s="34"/>
      <c r="H7" s="33"/>
      <c r="I7" s="33"/>
      <c r="J7" s="33">
        <f>$C$27*('E Balans VL '!D9+'E Balans VL '!E9)/100/3.6*1000000</f>
        <v>0</v>
      </c>
      <c r="K7" s="33"/>
      <c r="L7" s="33"/>
      <c r="M7" s="33"/>
      <c r="N7" s="33">
        <f>$C$27*'E Balans VL '!Y9/100/3.6*1000000</f>
        <v>0.11916529943246008</v>
      </c>
      <c r="O7" s="33"/>
      <c r="P7" s="33"/>
      <c r="R7" s="32"/>
    </row>
    <row r="8" spans="1:18">
      <c r="A8" s="6" t="s">
        <v>52</v>
      </c>
      <c r="B8" s="37">
        <f t="shared" si="0"/>
        <v>2243.7251021655702</v>
      </c>
      <c r="C8" s="33"/>
      <c r="D8" s="37">
        <f>IF(ISERROR(TER_handel_gas_kWh/1000),0,TER_handel_gas_kWh/1000)*0.902</f>
        <v>374.29248216918387</v>
      </c>
      <c r="E8" s="33">
        <f>$C$28*'E Balans VL '!I13/100/3.6*1000000</f>
        <v>32.339690924248579</v>
      </c>
      <c r="F8" s="33">
        <f>$C$28*('E Balans VL '!L13+'E Balans VL '!N13)/100/3.6*1000000</f>
        <v>389.78730307782786</v>
      </c>
      <c r="G8" s="34"/>
      <c r="H8" s="33"/>
      <c r="I8" s="33"/>
      <c r="J8" s="33">
        <f>$C$28*('E Balans VL '!D13+'E Balans VL '!E13)/100/3.6*1000000</f>
        <v>0</v>
      </c>
      <c r="K8" s="33"/>
      <c r="L8" s="33"/>
      <c r="M8" s="33"/>
      <c r="N8" s="33">
        <f>$C$28*'E Balans VL '!Y13/100/3.6*1000000</f>
        <v>6.7224501827118592</v>
      </c>
      <c r="O8" s="33"/>
      <c r="P8" s="33"/>
      <c r="R8" s="32"/>
    </row>
    <row r="9" spans="1:18">
      <c r="A9" s="32" t="s">
        <v>51</v>
      </c>
      <c r="B9" s="37">
        <f t="shared" si="0"/>
        <v>135.14073188318099</v>
      </c>
      <c r="C9" s="33"/>
      <c r="D9" s="37">
        <f>IF(ISERROR(TER_gezond_gas_kWh/1000),0,TER_gezond_gas_kWh/1000)*0.902</f>
        <v>103.46400020981376</v>
      </c>
      <c r="E9" s="33">
        <f>$C$29*'E Balans VL '!I10/100/3.6*1000000</f>
        <v>0.14436532884260858</v>
      </c>
      <c r="F9" s="33">
        <f>$C$29*('E Balans VL '!L10+'E Balans VL '!N10)/100/3.6*1000000</f>
        <v>22.045560451107949</v>
      </c>
      <c r="G9" s="34"/>
      <c r="H9" s="33"/>
      <c r="I9" s="33"/>
      <c r="J9" s="33">
        <f>$C$29*('E Balans VL '!D10+'E Balans VL '!E10)/100/3.6*1000000</f>
        <v>0</v>
      </c>
      <c r="K9" s="33"/>
      <c r="L9" s="33"/>
      <c r="M9" s="33"/>
      <c r="N9" s="33">
        <f>$C$29*'E Balans VL '!Y10/100/3.6*1000000</f>
        <v>1.3911967249740995</v>
      </c>
      <c r="O9" s="33"/>
      <c r="P9" s="33"/>
      <c r="R9" s="32"/>
    </row>
    <row r="10" spans="1:18">
      <c r="A10" s="32" t="s">
        <v>50</v>
      </c>
      <c r="B10" s="37">
        <f t="shared" si="0"/>
        <v>1841.13634754184</v>
      </c>
      <c r="C10" s="33"/>
      <c r="D10" s="37">
        <f>IF(ISERROR(TER_ander_gas_kWh/1000),0,TER_ander_gas_kWh/1000)*0.902</f>
        <v>438.81723699774318</v>
      </c>
      <c r="E10" s="33">
        <f>$C$30*'E Balans VL '!I14/100/3.6*1000000</f>
        <v>8.467106004716765</v>
      </c>
      <c r="F10" s="33">
        <f>$C$30*('E Balans VL '!L14+'E Balans VL '!N14)/100/3.6*1000000</f>
        <v>551.84663801834245</v>
      </c>
      <c r="G10" s="34"/>
      <c r="H10" s="33"/>
      <c r="I10" s="33"/>
      <c r="J10" s="33">
        <f>$C$30*('E Balans VL '!D14+'E Balans VL '!E14)/100/3.6*1000000</f>
        <v>0</v>
      </c>
      <c r="K10" s="33"/>
      <c r="L10" s="33"/>
      <c r="M10" s="33"/>
      <c r="N10" s="33">
        <f>$C$30*'E Balans VL '!Y14/100/3.6*1000000</f>
        <v>1281.5524327146768</v>
      </c>
      <c r="O10" s="33"/>
      <c r="P10" s="33"/>
      <c r="R10" s="32"/>
    </row>
    <row r="11" spans="1:18">
      <c r="A11" s="32" t="s">
        <v>55</v>
      </c>
      <c r="B11" s="37">
        <f t="shared" si="0"/>
        <v>36.583973806761804</v>
      </c>
      <c r="C11" s="33"/>
      <c r="D11" s="37">
        <f>IF(ISERROR(TER_onderwijs_gas_kWh/1000),0,TER_onderwijs_gas_kWh/1000)*0.902</f>
        <v>0</v>
      </c>
      <c r="E11" s="33">
        <f>$C$31*'E Balans VL '!I11/100/3.6*1000000</f>
        <v>3.393644681946946E-2</v>
      </c>
      <c r="F11" s="33">
        <f>$C$31*('E Balans VL '!L11+'E Balans VL '!N11)/100/3.6*1000000</f>
        <v>12.851109176129404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1593.53648437878</v>
      </c>
      <c r="C12" s="33"/>
      <c r="D12" s="37">
        <f>IF(ISERROR(TER_rest_gas_kWh/1000),0,TER_rest_gas_kWh/1000)*0.902</f>
        <v>2376.9212980297148</v>
      </c>
      <c r="E12" s="33">
        <f>$C$32*'E Balans VL '!I8/100/3.6*1000000</f>
        <v>19.328805336516464</v>
      </c>
      <c r="F12" s="33">
        <f>$C$32*('E Balans VL '!L8+'E Balans VL '!N8)/100/3.6*1000000</f>
        <v>315.3311560938514</v>
      </c>
      <c r="G12" s="34"/>
      <c r="H12" s="33"/>
      <c r="I12" s="33"/>
      <c r="J12" s="33">
        <f>$C$32*('E Balans VL '!D8+'E Balans VL '!E8)/100/3.6*1000000</f>
        <v>0</v>
      </c>
      <c r="K12" s="33"/>
      <c r="L12" s="33"/>
      <c r="M12" s="33"/>
      <c r="N12" s="33">
        <f>$C$32*'E Balans VL '!Y8/100/3.6*1000000</f>
        <v>126.49530794923822</v>
      </c>
      <c r="O12" s="33"/>
      <c r="P12" s="33"/>
      <c r="R12" s="32"/>
    </row>
    <row r="13" spans="1:18">
      <c r="A13" s="16" t="s">
        <v>497</v>
      </c>
      <c r="B13" s="249">
        <f ca="1">'lokale energieproductie'!N90+'lokale energieproductie'!N59</f>
        <v>5310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-15171.428571428572</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12610.566560500942</v>
      </c>
      <c r="C16" s="21">
        <f t="shared" ca="1" si="1"/>
        <v>0</v>
      </c>
      <c r="D16" s="21">
        <f t="shared" ca="1" si="1"/>
        <v>5834.1372096990999</v>
      </c>
      <c r="E16" s="21">
        <f t="shared" si="1"/>
        <v>88.585000260183023</v>
      </c>
      <c r="F16" s="21">
        <f t="shared" ca="1" si="1"/>
        <v>1571.2676300526102</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0.19002062948300547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2396.2677959637281</v>
      </c>
      <c r="C20" s="23">
        <f t="shared" ref="C20:P20" ca="1" si="2">C16*C18</f>
        <v>0</v>
      </c>
      <c r="D20" s="23">
        <f t="shared" ca="1" si="2"/>
        <v>1178.4957163592182</v>
      </c>
      <c r="E20" s="23">
        <f t="shared" si="2"/>
        <v>20.108795059061546</v>
      </c>
      <c r="F20" s="23">
        <f t="shared" ca="1" si="2"/>
        <v>419.52845722404697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1018.83384361708</v>
      </c>
      <c r="C26" s="39">
        <f>IF(ISERROR(B26*3.6/1000000/'E Balans VL '!Z12*100),0,B26*3.6/1000000/'E Balans VL '!Z12*100)</f>
        <v>2.1640535503107395E-2</v>
      </c>
      <c r="D26" s="239" t="s">
        <v>692</v>
      </c>
      <c r="F26" s="6"/>
    </row>
    <row r="27" spans="1:18">
      <c r="A27" s="233" t="s">
        <v>53</v>
      </c>
      <c r="B27" s="33">
        <f>IF(ISERROR(TER_horeca_ele_kWh/1000),0,TER_horeca_ele_kWh/1000)</f>
        <v>431.61007710772998</v>
      </c>
      <c r="C27" s="39">
        <f>IF(ISERROR(B27*3.6/1000000/'E Balans VL '!Z9*100),0,B27*3.6/1000000/'E Balans VL '!Z9*100)</f>
        <v>3.3560312034288844E-2</v>
      </c>
      <c r="D27" s="239" t="s">
        <v>692</v>
      </c>
      <c r="F27" s="6"/>
    </row>
    <row r="28" spans="1:18">
      <c r="A28" s="173" t="s">
        <v>52</v>
      </c>
      <c r="B28" s="33">
        <f>IF(ISERROR(TER_handel_ele_kWh/1000),0,TER_handel_ele_kWh/1000)</f>
        <v>2243.7251021655702</v>
      </c>
      <c r="C28" s="39">
        <f>IF(ISERROR(B28*3.6/1000000/'E Balans VL '!Z13*100),0,B28*3.6/1000000/'E Balans VL '!Z13*100)</f>
        <v>6.4195615773249559E-2</v>
      </c>
      <c r="D28" s="239" t="s">
        <v>692</v>
      </c>
      <c r="F28" s="6"/>
    </row>
    <row r="29" spans="1:18">
      <c r="A29" s="233" t="s">
        <v>51</v>
      </c>
      <c r="B29" s="33">
        <f>IF(ISERROR(TER_gezond_ele_kWh/1000),0,TER_gezond_ele_kWh/1000)</f>
        <v>135.14073188318099</v>
      </c>
      <c r="C29" s="39">
        <f>IF(ISERROR(B29*3.6/1000000/'E Balans VL '!Z10*100),0,B29*3.6/1000000/'E Balans VL '!Z10*100)</f>
        <v>1.4733480069254503E-2</v>
      </c>
      <c r="D29" s="239" t="s">
        <v>692</v>
      </c>
      <c r="F29" s="6"/>
    </row>
    <row r="30" spans="1:18">
      <c r="A30" s="233" t="s">
        <v>50</v>
      </c>
      <c r="B30" s="33">
        <f>IF(ISERROR(TER_ander_ele_kWh/1000),0,TER_ander_ele_kWh/1000)</f>
        <v>1841.13634754184</v>
      </c>
      <c r="C30" s="39">
        <f>IF(ISERROR(B30*3.6/1000000/'E Balans VL '!Z14*100),0,B30*3.6/1000000/'E Balans VL '!Z14*100)</f>
        <v>0.1347301813943137</v>
      </c>
      <c r="D30" s="239" t="s">
        <v>692</v>
      </c>
      <c r="F30" s="6"/>
    </row>
    <row r="31" spans="1:18">
      <c r="A31" s="233" t="s">
        <v>55</v>
      </c>
      <c r="B31" s="33">
        <f>IF(ISERROR(TER_onderwijs_ele_kWh/1000),0,TER_onderwijs_ele_kWh/1000)</f>
        <v>36.583973806761804</v>
      </c>
      <c r="C31" s="39">
        <f>IF(ISERROR(B31*3.6/1000000/'E Balans VL '!Z11*100),0,B31*3.6/1000000/'E Balans VL '!Z11*100)</f>
        <v>7.3479183055979438E-3</v>
      </c>
      <c r="D31" s="239" t="s">
        <v>692</v>
      </c>
    </row>
    <row r="32" spans="1:18">
      <c r="A32" s="233" t="s">
        <v>260</v>
      </c>
      <c r="B32" s="33">
        <f>IF(ISERROR(TER_rest_ele_kWh/1000),0,TER_rest_ele_kWh/1000)</f>
        <v>1593.53648437878</v>
      </c>
      <c r="C32" s="39">
        <f>IF(ISERROR(B32*3.6/1000000/'E Balans VL '!Z8*100),0,B32*3.6/1000000/'E Balans VL '!Z8*100)</f>
        <v>1.2986355279530641E-2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23011.656707901275</v>
      </c>
      <c r="C5" s="17">
        <f>IF(ISERROR('Eigen informatie GS &amp; warmtenet'!B59),0,'Eigen informatie GS &amp; warmtenet'!B59)</f>
        <v>0</v>
      </c>
      <c r="D5" s="30">
        <f>SUM(D6:D15)</f>
        <v>71344.650786163635</v>
      </c>
      <c r="E5" s="17">
        <f>SUM(E6:E15)</f>
        <v>1898.6910732990252</v>
      </c>
      <c r="F5" s="17">
        <f>SUM(F6:F15)</f>
        <v>28635.541977980916</v>
      </c>
      <c r="G5" s="18"/>
      <c r="H5" s="17"/>
      <c r="I5" s="17"/>
      <c r="J5" s="17">
        <f>SUM(J6:J15)</f>
        <v>10.800175996765077</v>
      </c>
      <c r="K5" s="17"/>
      <c r="L5" s="17"/>
      <c r="M5" s="17"/>
      <c r="N5" s="17">
        <f>SUM(N6:N15)</f>
        <v>6377.436931096001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680.38590702470208</v>
      </c>
      <c r="C9" s="33"/>
      <c r="D9" s="37">
        <f>IF( ISERROR(IND_andere_gas_kWh/1000),0,IND_andere_gas_kWh/1000)*0.902</f>
        <v>488.94260137927932</v>
      </c>
      <c r="E9" s="33">
        <f>C31*'E Balans VL '!I19/100/3.6*1000000</f>
        <v>184.16373635577207</v>
      </c>
      <c r="F9" s="33">
        <f>C31*'E Balans VL '!L19/100/3.6*1000000+C31*'E Balans VL '!N19/100/3.6*1000000</f>
        <v>453.20901394748546</v>
      </c>
      <c r="G9" s="34"/>
      <c r="H9" s="33"/>
      <c r="I9" s="33"/>
      <c r="J9" s="40">
        <f>C31*'E Balans VL '!D19/100/3.6*1000000+C31*'E Balans VL '!E19/100/3.6*1000000</f>
        <v>0</v>
      </c>
      <c r="K9" s="33"/>
      <c r="L9" s="33"/>
      <c r="M9" s="33"/>
      <c r="N9" s="33">
        <f>C31*'E Balans VL '!Y19/100/3.6*1000000</f>
        <v>222.13469646605881</v>
      </c>
      <c r="O9" s="33"/>
      <c r="P9" s="33"/>
      <c r="R9" s="32"/>
    </row>
    <row r="10" spans="1:18">
      <c r="A10" s="6" t="s">
        <v>41</v>
      </c>
      <c r="B10" s="37">
        <f t="shared" si="0"/>
        <v>18254.171295540702</v>
      </c>
      <c r="C10" s="33"/>
      <c r="D10" s="37">
        <f>IF( ISERROR(IND_voed_gas_kWh/1000),0,IND_voed_gas_kWh/1000)*0.902</f>
        <v>0</v>
      </c>
      <c r="E10" s="33">
        <f>C32*'E Balans VL '!I20/100/3.6*1000000</f>
        <v>1488.8521487315713</v>
      </c>
      <c r="F10" s="33">
        <f>C32*'E Balans VL '!L20/100/3.6*1000000+C32*'E Balans VL '!N20/100/3.6*1000000</f>
        <v>27218.625565186307</v>
      </c>
      <c r="G10" s="34"/>
      <c r="H10" s="33"/>
      <c r="I10" s="33"/>
      <c r="J10" s="40">
        <f>C32*'E Balans VL '!D20/100/3.6*1000000+C32*'E Balans VL '!E20/100/3.6*1000000</f>
        <v>0.24148052864850517</v>
      </c>
      <c r="K10" s="33"/>
      <c r="L10" s="33"/>
      <c r="M10" s="33"/>
      <c r="N10" s="33">
        <f>C32*'E Balans VL '!Y20/100/3.6*1000000</f>
        <v>5362.4314063789479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37.057750432291201</v>
      </c>
      <c r="C12" s="33"/>
      <c r="D12" s="37">
        <f>IF( ISERROR(IND_min_gas_kWh/1000),0,IND_min_gas_kWh/1000)*0.902</f>
        <v>0</v>
      </c>
      <c r="E12" s="33">
        <f>C34*'E Balans VL '!I22/100/3.6*1000000</f>
        <v>0.28867180132742642</v>
      </c>
      <c r="F12" s="33">
        <f>C34*'E Balans VL '!L22/100/3.6*1000000+C34*'E Balans VL '!N22/100/3.6*1000000</f>
        <v>13.975906194743292</v>
      </c>
      <c r="G12" s="34"/>
      <c r="H12" s="33"/>
      <c r="I12" s="33"/>
      <c r="J12" s="40">
        <f>C34*'E Balans VL '!D22/100/3.6*1000000+C34*'E Balans VL '!E22/100/3.6*1000000</f>
        <v>0.20381438730999712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4040.0417549035801</v>
      </c>
      <c r="C15" s="33"/>
      <c r="D15" s="37">
        <f>IF( ISERROR(IND_rest_gas_kWh/1000),0,IND_rest_gas_kWh/1000)*0.902</f>
        <v>70855.708184784351</v>
      </c>
      <c r="E15" s="33">
        <f>C37*'E Balans VL '!I15/100/3.6*1000000</f>
        <v>225.38651641035449</v>
      </c>
      <c r="F15" s="33">
        <f>C37*'E Balans VL '!L15/100/3.6*1000000+C37*'E Balans VL '!N15/100/3.6*1000000</f>
        <v>949.7314926523793</v>
      </c>
      <c r="G15" s="34"/>
      <c r="H15" s="33"/>
      <c r="I15" s="33"/>
      <c r="J15" s="40">
        <f>C37*'E Balans VL '!D15/100/3.6*1000000+C37*'E Balans VL '!E15/100/3.6*1000000</f>
        <v>10.354881080806575</v>
      </c>
      <c r="K15" s="33"/>
      <c r="L15" s="33"/>
      <c r="M15" s="33"/>
      <c r="N15" s="33">
        <f>C37*'E Balans VL '!Y15/100/3.6*1000000</f>
        <v>792.87082825099378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23011.656707901275</v>
      </c>
      <c r="C18" s="21">
        <f>C5+C16</f>
        <v>0</v>
      </c>
      <c r="D18" s="21">
        <f>MAX((D5+D16),0)</f>
        <v>71344.650786163635</v>
      </c>
      <c r="E18" s="21">
        <f>MAX((E5+E16),0)</f>
        <v>1898.6910732990252</v>
      </c>
      <c r="F18" s="21">
        <f>MAX((F5+F16),0)</f>
        <v>28635.541977980916</v>
      </c>
      <c r="G18" s="21"/>
      <c r="H18" s="21"/>
      <c r="I18" s="21"/>
      <c r="J18" s="21">
        <f>MAX((J5+J16),0)</f>
        <v>10.800175996765077</v>
      </c>
      <c r="K18" s="21"/>
      <c r="L18" s="21">
        <f>MAX((L5+L16),0)</f>
        <v>0</v>
      </c>
      <c r="M18" s="21"/>
      <c r="N18" s="21">
        <f>MAX((N5+N16),0)</f>
        <v>6377.436931096001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0.19002062948300547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4372.6894930822255</v>
      </c>
      <c r="C22" s="23">
        <f ca="1">C18*C20</f>
        <v>0</v>
      </c>
      <c r="D22" s="23">
        <f>D18*D20</f>
        <v>14411.619458805055</v>
      </c>
      <c r="E22" s="23">
        <f>E18*E20</f>
        <v>431.00287363887873</v>
      </c>
      <c r="F22" s="23">
        <f>F18*F20</f>
        <v>7645.6897081209054</v>
      </c>
      <c r="G22" s="23"/>
      <c r="H22" s="23"/>
      <c r="I22" s="23"/>
      <c r="J22" s="23">
        <f>J18*J20</f>
        <v>3.8232623028548369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680.38590702470208</v>
      </c>
      <c r="C31" s="39">
        <f>IF(ISERROR(B31*3.6/1000000/'E Balans VL '!Z19*100),0,B31*3.6/1000000/'E Balans VL '!Z19*100)</f>
        <v>2.9630263512434071E-2</v>
      </c>
      <c r="D31" s="239" t="s">
        <v>692</v>
      </c>
    </row>
    <row r="32" spans="1:18">
      <c r="A32" s="173" t="s">
        <v>41</v>
      </c>
      <c r="B32" s="37">
        <f>IF( ISERROR(IND_voed_ele_kWh/1000),0,IND_voed_ele_kWh/1000)</f>
        <v>18254.171295540702</v>
      </c>
      <c r="C32" s="39">
        <f>IF(ISERROR(B32*3.6/1000000/'E Balans VL '!Z20*100),0,B32*3.6/1000000/'E Balans VL '!Z20*100)</f>
        <v>3.4634657495401768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37.057750432291201</v>
      </c>
      <c r="C34" s="39">
        <f>IF(ISERROR(B34*3.6/1000000/'E Balans VL '!Z22*100),0,B34*3.6/1000000/'E Balans VL '!Z22*100)</f>
        <v>5.2106918331110679E-3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4040.0417549035801</v>
      </c>
      <c r="C37" s="39">
        <f>IF(ISERROR(B37*3.6/1000000/'E Balans VL '!Z15*100),0,B37*3.6/1000000/'E Balans VL '!Z15*100)</f>
        <v>3.1133483915656974E-2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1091.0273844456131</v>
      </c>
      <c r="C5" s="17">
        <f>'Eigen informatie GS &amp; warmtenet'!B60</f>
        <v>0</v>
      </c>
      <c r="D5" s="30">
        <f>IF(ISERROR(SUM(LB_lb_gas_kWh,LB_rest_gas_kWh,onbekend_gas_kWh)/1000),0,SUM(LB_lb_gas_kWh,LB_rest_gas_kWh,onbekend_gas_kWh)/1000)*0.902</f>
        <v>844.00028994114257</v>
      </c>
      <c r="E5" s="17">
        <f>B17*'E Balans VL '!I25/3.6*1000000/100</f>
        <v>13.748350573058866</v>
      </c>
      <c r="F5" s="17">
        <f>B17*('E Balans VL '!L25/3.6*1000000+'E Balans VL '!N25/3.6*1000000)/100</f>
        <v>3764.3177950286308</v>
      </c>
      <c r="G5" s="18"/>
      <c r="H5" s="17"/>
      <c r="I5" s="17"/>
      <c r="J5" s="17">
        <f>('E Balans VL '!D25+'E Balans VL '!E25)/3.6*1000000*landbouw!B17/100</f>
        <v>164.07811625903392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1091.0273844456131</v>
      </c>
      <c r="C8" s="21">
        <f>C5+C6</f>
        <v>0</v>
      </c>
      <c r="D8" s="21">
        <f>MAX((D5+D6),0)</f>
        <v>844.00028994114257</v>
      </c>
      <c r="E8" s="21">
        <f>MAX((E5+E6),0)</f>
        <v>13.748350573058866</v>
      </c>
      <c r="F8" s="21">
        <f>MAX((F5+F6),0)</f>
        <v>3764.3177950286308</v>
      </c>
      <c r="G8" s="21"/>
      <c r="H8" s="21"/>
      <c r="I8" s="21"/>
      <c r="J8" s="21">
        <f>MAX((J5+J6),0)</f>
        <v>164.07811625903392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0.19002062948300547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207.31771037555239</v>
      </c>
      <c r="C12" s="23">
        <f ca="1">C8*C10</f>
        <v>0</v>
      </c>
      <c r="D12" s="23">
        <f>D8*D10</f>
        <v>170.4880585681108</v>
      </c>
      <c r="E12" s="23">
        <f>E8*E10</f>
        <v>3.1208755800843626</v>
      </c>
      <c r="F12" s="23">
        <f>F8*F10</f>
        <v>1005.0728512726445</v>
      </c>
      <c r="G12" s="23"/>
      <c r="H12" s="23"/>
      <c r="I12" s="23"/>
      <c r="J12" s="23">
        <f>J8*J10</f>
        <v>58.083653155698002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0.1521639329430543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130.36217396712001</v>
      </c>
      <c r="C26" s="249">
        <f>B26*'GWP N2O_CH4'!B5</f>
        <v>2737.6056533095202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17.868812201654727</v>
      </c>
      <c r="C27" s="249">
        <f>B27*'GWP N2O_CH4'!B5</f>
        <v>375.24505623474926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1.8892515182221112</v>
      </c>
      <c r="C28" s="249">
        <f>B28*'GWP N2O_CH4'!B4</f>
        <v>585.66797064885452</v>
      </c>
      <c r="D28" s="50"/>
    </row>
    <row r="29" spans="1:4">
      <c r="A29" s="41" t="s">
        <v>277</v>
      </c>
      <c r="B29" s="249">
        <f>B34*'ha_N2O bodem landbouw'!B4</f>
        <v>8.5954086566440573</v>
      </c>
      <c r="C29" s="249">
        <f>B29*'GWP N2O_CH4'!B4</f>
        <v>2664.5766835596578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2.1461876538435795E-3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2.0283997692773969E-5</v>
      </c>
      <c r="C5" s="448" t="s">
        <v>211</v>
      </c>
      <c r="D5" s="433">
        <f>SUM(D6:D11)</f>
        <v>3.4684756990459379E-5</v>
      </c>
      <c r="E5" s="433">
        <f>SUM(E6:E11)</f>
        <v>1.2194028698218331E-3</v>
      </c>
      <c r="F5" s="446" t="s">
        <v>211</v>
      </c>
      <c r="G5" s="433">
        <f>SUM(G6:G11)</f>
        <v>0.29954631050968822</v>
      </c>
      <c r="H5" s="433">
        <f>SUM(H6:H11)</f>
        <v>5.3182418222566835E-2</v>
      </c>
      <c r="I5" s="448" t="s">
        <v>211</v>
      </c>
      <c r="J5" s="448" t="s">
        <v>211</v>
      </c>
      <c r="K5" s="448" t="s">
        <v>211</v>
      </c>
      <c r="L5" s="448" t="s">
        <v>211</v>
      </c>
      <c r="M5" s="433">
        <f>SUM(M6:M11)</f>
        <v>1.5945171379008239E-2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1.9342459536799538E-6</v>
      </c>
      <c r="C6" s="949"/>
      <c r="D6" s="949">
        <f>vkm_2011_GW_PW*SUMIFS(TableVerdeelsleutelVkm[CNG],TableVerdeelsleutelVkm[Voertuigtype],"Lichte voertuigen")*SUMIFS(TableECFTransport[EnergieConsumptieFactor (PJ per km)],TableECFTransport[Index],CONCATENATE($A6,"_CNG_CNG"))</f>
        <v>2.7392705714229255E-6</v>
      </c>
      <c r="E6" s="949">
        <f>vkm_2011_GW_PW*SUMIFS(TableVerdeelsleutelVkm[LPG],TableVerdeelsleutelVkm[Voertuigtype],"Lichte voertuigen")*SUMIFS(TableECFTransport[EnergieConsumptieFactor (PJ per km)],TableECFTransport[Index],CONCATENATE($A6,"_LPG_LPG"))</f>
        <v>8.60314707315981E-5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1.5462211007575305E-2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4.1432238577458012E-3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8.8701251805607716E-4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5.6976375919663416E-3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2.0243115703699481E-6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2.5711635274618951E-4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4.6076065956963433E-6</v>
      </c>
      <c r="C8" s="949"/>
      <c r="D8" s="436">
        <f>vkm_2011_NGW_PW*SUMIFS(TableVerdeelsleutelVkm[CNG],TableVerdeelsleutelVkm[Voertuigtype],"Lichte voertuigen")*SUMIFS(TableECFTransport[EnergieConsumptieFactor (PJ per km)],TableECFTransport[Index],CONCATENATE($A8,"_CNG_CNG"))</f>
        <v>1.1624883505839514E-5</v>
      </c>
      <c r="E8" s="436">
        <f>vkm_2011_NGW_PW*SUMIFS(TableVerdeelsleutelVkm[LPG],TableVerdeelsleutelVkm[Voertuigtype],"Lichte voertuigen")*SUMIFS(TableECFTransport[EnergieConsumptieFactor (PJ per km)],TableECFTransport[Index],CONCATENATE($A8,"_LPG_LPG"))</f>
        <v>3.3628174139571838E-4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5.7003016089476173E-2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1.6965830286021291E-2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3.3474240279851826E-3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1.0613051493052821E-2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3.5681861960609964E-6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4.7892416296808362E-4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1.3742145143397672E-5</v>
      </c>
      <c r="C10" s="949"/>
      <c r="D10" s="436">
        <f>vkm_2011_SW_PW*SUMIFS(TableVerdeelsleutelVkm[CNG],TableVerdeelsleutelVkm[Voertuigtype],"Lichte voertuigen")*SUMIFS(TableECFTransport[EnergieConsumptieFactor (PJ per km)],TableECFTransport[Index],CONCATENATE($A10,"_CNG_CNG"))</f>
        <v>2.0320602913196936E-5</v>
      </c>
      <c r="E10" s="436">
        <f>vkm_2011_SW_PW*SUMIFS(TableVerdeelsleutelVkm[LPG],TableVerdeelsleutelVkm[Voertuigtype],"Lichte voertuigen")*SUMIFS(TableECFTransport[EnergieConsumptieFactor (PJ per km)],TableECFTransport[Index],CONCATENATE($A10,"_LPG_LPG"))</f>
        <v>7.9708965769451664E-4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0.12974276327285597</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3.2036726335145357E-2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7.3180705330906041E-3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8.1027631054761629E-2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3.1045245887955184E-5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3.6566237841620997E-3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5.6344438035483249</v>
      </c>
      <c r="C14" s="21"/>
      <c r="D14" s="21">
        <f t="shared" ref="D14:M14" si="0">((D5)*10^9/3600)+D12</f>
        <v>9.6346547195720493</v>
      </c>
      <c r="E14" s="21">
        <f t="shared" si="0"/>
        <v>338.72301939495367</v>
      </c>
      <c r="F14" s="21"/>
      <c r="G14" s="21">
        <f t="shared" si="0"/>
        <v>83207.308474913385</v>
      </c>
      <c r="H14" s="21">
        <f t="shared" si="0"/>
        <v>14772.893950713011</v>
      </c>
      <c r="I14" s="21"/>
      <c r="J14" s="21"/>
      <c r="K14" s="21"/>
      <c r="L14" s="21"/>
      <c r="M14" s="21">
        <f t="shared" si="0"/>
        <v>4429.2142719467329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0.19002062948300547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1.0706605583368722</v>
      </c>
      <c r="C18" s="23"/>
      <c r="D18" s="23">
        <f t="shared" ref="D18:M18" si="1">D14*D16</f>
        <v>1.9462002533535541</v>
      </c>
      <c r="E18" s="23">
        <f t="shared" si="1"/>
        <v>76.89012540265449</v>
      </c>
      <c r="F18" s="23"/>
      <c r="G18" s="23">
        <f t="shared" si="1"/>
        <v>22216.351362801874</v>
      </c>
      <c r="H18" s="23">
        <f t="shared" si="1"/>
        <v>3678.4505937275399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2.6781646766290378E-3</v>
      </c>
      <c r="H50" s="323">
        <f t="shared" si="2"/>
        <v>0</v>
      </c>
      <c r="I50" s="323">
        <f t="shared" si="2"/>
        <v>0</v>
      </c>
      <c r="J50" s="323">
        <f t="shared" si="2"/>
        <v>0</v>
      </c>
      <c r="K50" s="323">
        <f t="shared" si="2"/>
        <v>0</v>
      </c>
      <c r="L50" s="323">
        <f t="shared" si="2"/>
        <v>0</v>
      </c>
      <c r="M50" s="323">
        <f t="shared" si="2"/>
        <v>1.1910453373653987E-4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2.6781646766290378E-3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1.1910453373653987E-4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743.93463239695484</v>
      </c>
      <c r="H54" s="21">
        <f t="shared" si="3"/>
        <v>0</v>
      </c>
      <c r="I54" s="21">
        <f t="shared" si="3"/>
        <v>0</v>
      </c>
      <c r="J54" s="21">
        <f t="shared" si="3"/>
        <v>0</v>
      </c>
      <c r="K54" s="21">
        <f t="shared" si="3"/>
        <v>0</v>
      </c>
      <c r="L54" s="21">
        <f t="shared" si="3"/>
        <v>0</v>
      </c>
      <c r="M54" s="21">
        <f t="shared" si="3"/>
        <v>33.084592704594407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0.19002062948300547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198.63054684998696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2968.5096439037716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5310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8278.5096439037716</v>
      </c>
      <c r="C9" s="580">
        <f t="shared" ref="C9:L9" si="0">SUM(C7:C8)</f>
        <v>0</v>
      </c>
      <c r="D9" s="580">
        <f t="shared" si="0"/>
        <v>0</v>
      </c>
      <c r="E9" s="580">
        <f t="shared" si="0"/>
        <v>0</v>
      </c>
      <c r="F9" s="580">
        <f t="shared" si="0"/>
        <v>0</v>
      </c>
      <c r="G9" s="580">
        <f t="shared" si="0"/>
        <v>0</v>
      </c>
      <c r="H9" s="580">
        <f t="shared" si="0"/>
        <v>0</v>
      </c>
      <c r="I9" s="580">
        <f t="shared" si="0"/>
        <v>0</v>
      </c>
      <c r="J9" s="580">
        <f t="shared" si="0"/>
        <v>15171.428571428572</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41063</v>
      </c>
      <c r="C63" s="839">
        <v>9520</v>
      </c>
      <c r="D63" s="660" t="s">
        <v>878</v>
      </c>
      <c r="E63" s="660" t="s">
        <v>879</v>
      </c>
      <c r="F63" s="660" t="s">
        <v>880</v>
      </c>
      <c r="G63" s="660" t="s">
        <v>881</v>
      </c>
      <c r="H63" s="660" t="s">
        <v>882</v>
      </c>
      <c r="I63" s="660" t="s">
        <v>883</v>
      </c>
      <c r="J63" s="838">
        <v>39234</v>
      </c>
      <c r="K63" s="838">
        <v>37408</v>
      </c>
      <c r="L63" s="660" t="s">
        <v>884</v>
      </c>
      <c r="M63" s="660">
        <v>1180</v>
      </c>
      <c r="N63" s="660">
        <v>5310</v>
      </c>
      <c r="O63" s="660">
        <v>0</v>
      </c>
      <c r="P63" s="660">
        <v>0</v>
      </c>
      <c r="Q63" s="660">
        <v>0</v>
      </c>
      <c r="R63" s="660">
        <v>15171.428571428572</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1180</v>
      </c>
      <c r="N88" s="615">
        <f t="shared" ref="N88:W88" si="5">SUM(N63:N87)</f>
        <v>5310</v>
      </c>
      <c r="O88" s="615">
        <f t="shared" si="5"/>
        <v>0</v>
      </c>
      <c r="P88" s="615">
        <f t="shared" si="5"/>
        <v>0</v>
      </c>
      <c r="Q88" s="615">
        <f t="shared" si="5"/>
        <v>0</v>
      </c>
      <c r="R88" s="615">
        <f t="shared" si="5"/>
        <v>15171.428571428572</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1180</v>
      </c>
      <c r="N90" s="615">
        <f t="shared" ref="N90:W90" si="7">SUMIF($Z$63:$Z$88,"tertiair",N63:N88)</f>
        <v>5310</v>
      </c>
      <c r="O90" s="615">
        <f t="shared" si="7"/>
        <v>0</v>
      </c>
      <c r="P90" s="615">
        <f t="shared" si="7"/>
        <v>0</v>
      </c>
      <c r="Q90" s="615">
        <f t="shared" si="7"/>
        <v>0</v>
      </c>
      <c r="R90" s="615">
        <f t="shared" si="7"/>
        <v>15171.428571428572</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2019-01-02T18:04:39Z</dcterms:modified>
</cp:coreProperties>
</file>