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<sst xmlns="http://schemas.openxmlformats.org/spreadsheetml/2006/main" count="2151" uniqueCount="878">
  <si>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</si>
  <si>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</si>
  <si>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</si>
  <si>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</si>
  <si>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</si>
  <si>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</si>
  <si>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</si>
  <si>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</si>
  <si>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</si>
  <si>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</si>
  <si>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</si>
  <si>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</si>
  <si>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</si>
  <si>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</si>
  <si>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</si>
  <si>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</si>
  <si>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</si>
  <si>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</si>
  <si>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</si>
  <si>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</si>
  <si>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</si>
  <si>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</si>
  <si>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</si>
  <si>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</si>
  <si>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</si>
  <si>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</si>
  <si>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</si>
  <si>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</si>
  <si>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</si>
  <si>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</si>
  <si>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</si>
  <si>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</si>
  <si>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</si>
  <si>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</si>
  <si>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</si>
  <si>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</si>
  <si>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</si>
  <si>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</si>
  <si>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</si>
  <si>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</si>
  <si>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</si>
  <si>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</si>
  <si>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</si>
  <si>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</si>
  <si>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</si>
  <si>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</si>
  <si>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</si>
  <si>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</si>
  <si>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</si>
  <si>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</si>
  <si>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</si>
  <si>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</si>
  <si>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</si>
  <si>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</si>
  <si>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</si>
  <si>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</si>
  <si>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</si>
  <si>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</si>
  <si>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</si>
  <si>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</si>
  <si>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</si>
  <si>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</si>
  <si>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</si>
  <si>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</si>
  <si>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</si>
  <si>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</si>
  <si>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</si>
  <si>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</si>
  <si>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</si>
  <si>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</si>
  <si>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</si>
  <si>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</si>
  <si>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</si>
  <si>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</si>
  <si>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</si>
  <si>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</si>
  <si>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</si>
  <si>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</si>
  <si>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</si>
  <si>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</si>
  <si>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</si>
  <si>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</si>
  <si>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</si>
  <si>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</si>
  <si>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</si>
  <si>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</si>
  <si>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</si>
  <si>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</si>
  <si>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</si>
  <si>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</si>
  <si>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</si>
  <si>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</si>
  <si>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</si>
  <si>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</si>
  <si>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</si>
  <si>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</si>
  <si>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</si>
  <si>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</si>
  <si>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</si>
  <si>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</si>
  <si>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</si>
  <si>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</si>
  <si>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</si>
  <si>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</si>
  <si>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</si>
  <si>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</si>
  <si>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</si>
  <si>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</si>
  <si>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</si>
  <si>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</si>
  <si>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</si>
  <si>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</si>
  <si>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</si>
  <si>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</si>
  <si>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</si>
  <si>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</si>
  <si>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</si>
  <si>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</si>
  <si>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</si>
  <si>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</si>
  <si>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</si>
  <si>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</si>
  <si>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</si>
  <si>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</si>
  <si>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</si>
  <si>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</si>
  <si>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</si>
  <si>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</si>
  <si>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</si>
  <si>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</si>
  <si>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</si>
  <si>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</si>
  <si>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</si>
  <si>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</si>
  <si>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</si>
  <si>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</si>
  <si>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</si>
  <si>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</si>
  <si>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</si>
  <si>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</si>
  <si>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</si>
  <si>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</si>
  <si>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</si>
  <si>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</si>
  <si>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</si>
  <si>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</si>
  <si>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</si>
  <si>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</si>
  <si>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</si>
  <si>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</si>
  <si>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</si>
  <si>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</si>
  <si>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</si>
  <si>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</si>
  <si>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</si>
  <si>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</si>
  <si>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</si>
  <si>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</si>
  <si>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</si>
  <si>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</si>
  <si>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</si>
  <si>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</si>
  <si>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</si>
  <si>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</si>
  <si>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</si>
  <si>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</si>
  <si>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</si>
  <si>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</si>
  <si>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</si>
  <si>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</si>
  <si>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</si>
  <si>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</si>
  <si>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</si>
  <si>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</si>
  <si>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</si>
  <si>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</si>
  <si>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</si>
  <si>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</si>
  <si>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</si>
  <si>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</si>
  <si>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</si>
  <si>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</si>
  <si>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</si>
  <si>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</si>
  <si>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</si>
  <si>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</si>
  <si>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</si>
  <si>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</si>
  <si>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</si>
  <si>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</si>
  <si>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</si>
  <si>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</si>
  <si>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</si>
  <si>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</si>
  <si>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</si>
  <si>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</si>
  <si>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</si>
  <si>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</si>
  <si>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</si>
  <si>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</si>
  <si>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</si>
  <si>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</si>
  <si>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</si>
  <si>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</si>
  <si>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</si>
  <si>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</si>
  <si>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</si>
  <si>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</si>
  <si>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</si>
  <si>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</si>
  <si>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</si>
  <si>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</si>
  <si>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</si>
  <si>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</si>
  <si>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</si>
  <si>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</si>
  <si>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</si>
  <si>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</si>
  <si>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</si>
  <si>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</si>
  <si>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</si>
  <si>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</si>
  <si>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</si>
  <si>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</si>
  <si>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</si>
  <si>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</si>
  <si>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</si>
  <si>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</si>
  <si>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</si>
  <si>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</si>
  <si>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</si>
  <si>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</si>
  <si>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</si>
  <si>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</si>
  <si>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</si>
  <si>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</si>
  <si>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</si>
  <si>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</si>
  <si>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</si>
  <si>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</si>
  <si>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</si>
  <si>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</si>
  <si>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</si>
  <si>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</si>
  <si>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</si>
  <si>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</si>
  <si>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</si>
  <si>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</si>
  <si>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</si>
  <si>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</si>
  <si>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</si>
  <si>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</si>
  <si>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</si>
  <si>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</si>
  <si>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</si>
  <si>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</si>
  <si>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</si>
  <si>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</si>
  <si>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</si>
  <si>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</si>
  <si>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</si>
  <si>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</si>
  <si>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</si>
  <si>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</si>
  <si>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</si>
  <si>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</si>
  <si>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</si>
  <si>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</si>
  <si>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</si>
  <si>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</si>
  <si>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</si>
  <si>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</si>
  <si>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</si>
  <si>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</si>
  <si>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</si>
  <si>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</si>
  <si>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</si>
  <si>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</si>
  <si>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</si>
  <si>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</si>
  <si>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</si>
  <si>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</si>
  <si>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</si>
  <si>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</si>
  <si>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</si>
  <si>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</si>
  <si>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</si>
  <si>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</si>
  <si>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</si>
  <si>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</si>
  <si>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</si>
  <si>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</si>
  <si>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</si>
  <si>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</si>
  <si>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</si>
  <si>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</si>
  <si>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</si>
  <si>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</si>
  <si>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</si>
  <si>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</si>
  <si>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</si>
  <si>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</si>
  <si>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</si>
  <si>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</si>
  <si>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</si>
  <si>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</si>
  <si>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</si>
  <si>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</si>
  <si>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</si>
  <si>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</si>
  <si>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</si>
  <si>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</si>
  <si>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</si>
  <si>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</si>
  <si>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</si>
  <si>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</si>
  <si>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</si>
  <si>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</si>
  <si>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</si>
  <si>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</si>
  <si>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</si>
  <si>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</si>
  <si>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</si>
  <si>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</si>
  <si>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</si>
  <si>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</si>
  <si>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</si>
  <si>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</si>
  <si>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</si>
  <si>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</si>
  <si>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</si>
  <si>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</si>
  <si>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</si>
  <si>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</si>
  <si>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</si>
  <si>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</si>
  <si>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</si>
  <si>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</si>
  <si>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</si>
  <si>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</si>
  <si>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</si>
  <si>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</si>
  <si>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</si>
  <si>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</si>
  <si>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</si>
  <si>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</si>
  <si>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</si>
  <si>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</si>
  <si>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</si>
  <si>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</si>
  <si>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</si>
  <si>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</si>
  <si>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</si>
  <si>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</si>
  <si>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</si>
  <si>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</si>
  <si>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</si>
  <si>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</si>
  <si>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</si>
  <si>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</si>
  <si>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</si>
  <si>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</si>
  <si>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</si>
  <si>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</si>
  <si>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</si>
  <si>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</si>
  <si>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</si>
  <si>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</si>
  <si>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</si>
  <si>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</si>
  <si>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</si>
  <si>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</si>
  <si>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</si>
  <si>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</si>
  <si>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</si>
  <si>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</si>
  <si>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</si>
  <si>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</si>
  <si>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</si>
  <si>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</si>
  <si>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</si>
  <si>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</si>
  <si>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</si>
  <si>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</si>
  <si>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</si>
  <si>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</si>
  <si>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</si>
  <si>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</si>
  <si>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</si>
  <si>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</si>
  <si>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</si>
  <si>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</si>
  <si>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</si>
  <si>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</si>
  <si>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</si>
  <si>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</si>
  <si>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</si>
  <si>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</si>
  <si>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</si>
  <si>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</si>
  <si>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</si>
  <si>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</si>
  <si>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</si>
  <si>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</si>
  <si>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</si>
  <si>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</si>
  <si>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</si>
  <si>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</si>
  <si>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</si>
  <si>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</si>
  <si>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</si>
  <si>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</si>
  <si>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</si>
  <si>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</si>
  <si>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</si>
  <si>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</si>
  <si>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</si>
  <si>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</si>
  <si>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</si>
  <si>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</si>
  <si>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</si>
  <si>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</si>
  <si>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</si>
  <si>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</si>
  <si>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</si>
  <si>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</si>
  <si>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</si>
  <si>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</si>
  <si>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</si>
  <si>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</si>
  <si>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</si>
  <si>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</si>
  <si>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</si>
  <si>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</si>
  <si>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</si>
  <si>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</si>
  <si>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</si>
  <si>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</si>
  <si>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</si>
  <si>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</si>
  <si>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</si>
  <si>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</si>
  <si>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</si>
  <si>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</si>
  <si>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</si>
  <si>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</si>
  <si>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</si>
  <si>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</si>
  <si>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</si>
  <si>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</si>
  <si>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</si>
  <si>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</si>
  <si>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</si>
  <si>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</si>
  <si>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</si>
  <si>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</si>
  <si>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</si>
  <si>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</si>
  <si>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</si>
  <si>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</si>
  <si>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</si>
  <si>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</si>
  <si>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</si>
  <si>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</si>
  <si>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</si>
  <si>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</si>
  <si>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</si>
  <si>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</si>
  <si>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</si>
  <si>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</si>
  <si>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</si>
  <si>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</si>
  <si>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</si>
  <si>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</si>
  <si>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</si>
  <si>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</si>
  <si>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</si>
  <si>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</si>
  <si>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</si>
  <si>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</si>
  <si>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</si>
  <si>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</si>
  <si>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</si>
  <si>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</si>
  <si>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</si>
  <si>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</si>
  <si>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</si>
  <si>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</si>
  <si>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</si>
  <si>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</si>
  <si>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</si>
  <si>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</si>
  <si>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</si>
  <si>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</si>
  <si>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</si>
  <si>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</si>
  <si>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</si>
  <si>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</si>
  <si>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</si>
  <si>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</si>
  <si>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</si>
  <si>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</si>
  <si>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</si>
  <si>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</si>
  <si>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</si>
  <si>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</si>
  <si>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</si>
  <si>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</si>
  <si>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</si>
  <si>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</si>
  <si>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</si>
  <si>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</si>
  <si>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</si>
  <si>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</si>
  <si>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</si>
  <si>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</si>
  <si>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</si>
  <si>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</si>
  <si>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</si>
  <si>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</si>
  <si>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</si>
  <si>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</si>
  <si>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</si>
  <si>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</si>
  <si>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</si>
  <si>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</si>
  <si>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</si>
  <si>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</si>
  <si>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</si>
  <si>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</si>
  <si>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</si>
  <si>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</si>
  <si>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</si>
  <si>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</si>
  <si>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</si>
  <si>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</si>
  <si>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</si>
  <si>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</si>
  <si>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</si>
  <si>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</si>
  <si>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</si>
  <si>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</si>
  <si>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</si>
  <si>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</si>
  <si>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</si>
  <si>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</si>
  <si>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</si>
  <si>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</si>
  <si>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</si>
  <si>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</si>
  <si>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</si>
  <si>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</si>
  <si>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</si>
  <si>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</si>
  <si>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</si>
  <si>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</si>
  <si>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</si>
  <si>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</si>
  <si>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</si>
  <si>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</si>
  <si>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</si>
  <si>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</si>
  <si>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</si>
  <si>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</si>
  <si>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</si>
  <si>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</si>
  <si>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</si>
  <si>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</si>
  <si>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</si>
  <si>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</si>
  <si>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</si>
  <si>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</si>
  <si>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</si>
  <si>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</si>
  <si>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</si>
  <si>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</si>
  <si>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</si>
  <si>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</si>
  <si>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</si>
  <si>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</si>
  <si>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</si>
  <si>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</si>
  <si>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</si>
  <si>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</si>
  <si>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</si>
  <si>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</si>
  <si>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</si>
  <si>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</si>
  <si>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</si>
  <si>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</si>
  <si>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</si>
  <si>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</si>
  <si>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</si>
  <si>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</si>
  <si>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</si>
  <si>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</si>
  <si>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</si>
  <si>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</si>
  <si>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</si>
  <si>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</si>
  <si>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</si>
  <si>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</si>
  <si>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</si>
  <si>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</si>
  <si>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</si>
  <si>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</si>
  <si>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</si>
  <si>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</si>
  <si>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</si>
  <si>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</si>
  <si>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</si>
  <si>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</si>
  <si>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</si>
  <si>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</si>
  <si>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</si>
  <si>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</si>
  <si>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</si>
  <si>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</si>
  <si>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</si>
  <si>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</si>
  <si>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</si>
  <si>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</si>
  <si>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</si>
  <si>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</si>
  <si>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</si>
  <si>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</si>
  <si>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</si>
  <si>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</si>
  <si>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</si>
  <si>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</si>
  <si>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</si>
  <si>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</si>
  <si>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</si>
  <si>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</si>
  <si>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</si>
  <si>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</si>
  <si>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</si>
  <si>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</si>
  <si>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</si>
  <si>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</si>
  <si>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</si>
  <si>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</si>
  <si>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</si>
  <si>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</si>
  <si>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</si>
  <si>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</si>
  <si>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</si>
  <si>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</si>
  <si>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</si>
  <si>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</si>
  <si>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</si>
  <si>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</si>
  <si>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</si>
  <si>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</si>
  <si>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</si>
  <si>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</si>
  <si>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</si>
  <si>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</si>
  <si>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</si>
  <si>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</si>
  <si>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</si>
  <si>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</si>
  <si>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</si>
  <si>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</si>
  <si>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</si>
  <si>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</si>
  <si>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</si>
  <si>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</si>
  <si>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</si>
  <si>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</si>
  <si>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</si>
  <si>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</si>
  <si>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</si>
  <si>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</si>
  <si>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</si>
  <si>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</si>
  <si>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</si>
  <si>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</si>
  <si>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</si>
  <si>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</si>
  <si>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</si>
  <si>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</si>
  <si>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</si>
  <si>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</si>
  <si>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</si>
  <si>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</si>
  <si>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</si>
  <si>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</si>
  <si>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</si>
  <si>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</si>
  <si>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</si>
  <si>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</si>
  <si>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</si>
  <si>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</si>
  <si>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</si>
  <si>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</si>
  <si>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</si>
  <si>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</si>
  <si>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</si>
  <si>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</si>
  <si>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</si>
  <si>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</si>
  <si>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</si>
  <si>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</si>
  <si>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</si>
  <si>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</si>
  <si>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</si>
  <si>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</si>
  <si>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</si>
  <si>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</si>
  <si>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</si>
  <si>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</si>
  <si>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</si>
  <si>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</si>
  <si>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</si>
  <si>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</si>
  <si>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</si>
  <si>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</si>
  <si>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</si>
  <si>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</si>
  <si>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</si>
  <si>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</si>
  <si>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</si>
  <si>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</si>
  <si>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</si>
  <si>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</si>
  <si>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</si>
  <si>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</si>
  <si>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</si>
  <si>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</si>
  <si>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</si>
  <si>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</si>
  <si>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</si>
  <si>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</si>
  <si>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</si>
  <si>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</si>
  <si>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</si>
  <si>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</si>
  <si>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</si>
  <si>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</si>
  <si>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</si>
  <si>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</si>
  <si>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</si>
  <si>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</si>
  <si>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</si>
  <si>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</si>
  <si>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</si>
  <si>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</si>
  <si>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</si>
  <si>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</si>
  <si>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</si>
  <si>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</si>
  <si>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</si>
  <si>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</si>
  <si>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</si>
  <si>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</si>
  <si>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</si>
  <si>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</si>
  <si>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</si>
  <si>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</si>
  <si>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</si>
  <si>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</si>
  <si>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</si>
  <si>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</si>
  <si>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</si>
  <si>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</si>
  <si>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</si>
  <si>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</si>
  <si>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</si>
  <si>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</si>
  <si>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</si>
  <si>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</si>
  <si>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</si>
  <si>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</si>
  <si>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</si>
  <si>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</si>
  <si>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</si>
  <si>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</si>
  <si>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</si>
  <si>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</si>
  <si>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</si>
  <si>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</si>
  <si>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</si>
  <si>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</si>
  <si>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</si>
  <si>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</si>
  <si>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</si>
  <si>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</si>
  <si>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</si>
  <si>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</si>
  <si>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</si>
  <si>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</si>
  <si>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</si>
  <si>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</si>
  <si>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</si>
  <si>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</si>
  <si>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</si>
  <si>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</si>
  <si>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</si>
  <si>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</si>
  <si>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</si>
  <si>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</si>
  <si>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</si>
  <si>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</si>
  <si>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</si>
  <si>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</si>
  <si>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</si>
  <si>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</si>
  <si>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</si>
  <si>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</si>
  <si>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</si>
  <si>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</si>
  <si>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</si>
  <si>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</si>
  <si>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</si>
  <si>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</si>
  <si>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</si>
  <si>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</si>
  <si>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</si>
  <si>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</si>
  <si>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</si>
  <si>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</si>
  <si>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</si>
  <si>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</si>
  <si>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</si>
  <si>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</si>
  <si>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</si>
  <si>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</si>
  <si>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</si>
  <si>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</si>
  <si>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</si>
  <si>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</si>
  <si>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</si>
  <si>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</si>
  <si>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</si>
  <si>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</si>
  <si>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</si>
  <si>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</si>
  <si>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</si>
  <si>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</si>
  <si>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</si>
  <si>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</si>
  <si>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</si>
  <si>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</si>
  <si>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</si>
  <si>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</si>
  <si>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</si>
  <si>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</si>
  <si>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</si>
  <si>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</si>
  <si>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</si>
  <si>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</si>
  <si>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</si>
  <si>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</si>
  <si>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</si>
  <si>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</si>
  <si>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</si>
  <si>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</si>
  <si>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</si>
  <si>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</si>
  <si>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</si>
  <si>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</si>
  <si>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</si>
  <si>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</si>
  <si>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</si>
  <si>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</si>
  <si>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</si>
  <si>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</si>
  <si>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</si>
  <si>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</si>
  <si>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</si>
  <si>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37015</t>
  </si>
  <si>
    <t>TIELT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</si>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</sst>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175944.1341427993</c:v>
                </c:pt>
                <c:pt idx="1">
                  <c:v>84258.52414781235</c:v>
                </c:pt>
                <c:pt idx="2">
                  <c:v>1762.0219999999999</c:v>
                </c:pt>
                <c:pt idx="3">
                  <c:v>58661.549929410809</c:v>
                </c:pt>
                <c:pt idx="4">
                  <c:v>445168.78011470905</c:v>
                </c:pt>
                <c:pt idx="5">
                  <c:v>93352.072209957318</c:v>
                </c:pt>
                <c:pt idx="6">
                  <c:v>1273.0010403288334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175944.1341427993</c:v>
                </c:pt>
                <c:pt idx="1">
                  <c:v>84258.52414781235</c:v>
                </c:pt>
                <c:pt idx="2">
                  <c:v>1762.0219999999999</c:v>
                </c:pt>
                <c:pt idx="3">
                  <c:v>58661.549929410809</c:v>
                </c:pt>
                <c:pt idx="4">
                  <c:v>445168.78011470905</c:v>
                </c:pt>
                <c:pt idx="5">
                  <c:v>93352.072209957318</c:v>
                </c:pt>
                <c:pt idx="6">
                  <c:v>1273.0010403288334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32863.776292930692</c:v>
                </c:pt>
                <c:pt idx="1">
                  <c:v>16952.918117210193</c:v>
                </c:pt>
                <c:pt idx="2">
                  <c:v>365.80474740545964</c:v>
                </c:pt>
                <c:pt idx="3">
                  <c:v>14764.319689852755</c:v>
                </c:pt>
                <c:pt idx="4">
                  <c:v>88748.332598319001</c:v>
                </c:pt>
                <c:pt idx="5">
                  <c:v>23607.979088203072</c:v>
                </c:pt>
                <c:pt idx="6">
                  <c:v>325.41909467950728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32863.776292930692</c:v>
                </c:pt>
                <c:pt idx="1">
                  <c:v>16952.918117210193</c:v>
                </c:pt>
                <c:pt idx="2">
                  <c:v>365.80474740545964</c:v>
                </c:pt>
                <c:pt idx="3">
                  <c:v>14764.319689852755</c:v>
                </c:pt>
                <c:pt idx="4">
                  <c:v>88748.332598319001</c:v>
                </c:pt>
                <c:pt idx="5">
                  <c:v>23607.979088203072</c:v>
                </c:pt>
                <c:pt idx="6">
                  <c:v>325.41909467950728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37015</v>
      </c>
      <c r="B6" s="398"/>
      <c r="C6" s="399"/>
    </row>
    <row r="7" spans="1:7" s="396" customFormat="1" ht="15.75" customHeight="1">
      <c r="A7" s="400" t="str">
        <f>txtMunicipality</f>
        <v>TIELT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33858.435465066977</v>
      </c>
      <c r="D10" s="704">
        <f ca="1">tertiair!C16</f>
        <v>0</v>
      </c>
      <c r="E10" s="704">
        <f ca="1">tertiair!D16</f>
        <v>42091.899240830622</v>
      </c>
      <c r="F10" s="704">
        <f>tertiair!E16</f>
        <v>380.07327774174223</v>
      </c>
      <c r="G10" s="704">
        <f ca="1">tertiair!F16</f>
        <v>6369.6585044825088</v>
      </c>
      <c r="H10" s="704">
        <f>tertiair!G16</f>
        <v>0</v>
      </c>
      <c r="I10" s="704">
        <f>tertiair!H16</f>
        <v>0</v>
      </c>
      <c r="J10" s="704">
        <f>tertiair!I16</f>
        <v>0</v>
      </c>
      <c r="K10" s="704">
        <f>tertiair!J16</f>
        <v>0</v>
      </c>
      <c r="L10" s="704">
        <f>tertiair!K16</f>
        <v>0</v>
      </c>
      <c r="M10" s="704">
        <f ca="1">tertiair!L16</f>
        <v>0</v>
      </c>
      <c r="N10" s="704">
        <f>tertiair!M16</f>
        <v>0</v>
      </c>
      <c r="O10" s="704">
        <f ca="1">tertiair!N16</f>
        <v>3277.6563263571666</v>
      </c>
      <c r="P10" s="704">
        <f>tertiair!O16</f>
        <v>4.6900000000000004</v>
      </c>
      <c r="Q10" s="705">
        <f>tertiair!P16</f>
        <v>38.133333333333333</v>
      </c>
      <c r="R10" s="707">
        <f ca="1">SUM(C10:Q10)</f>
        <v>86020.546147812362</v>
      </c>
      <c r="S10" s="67"/>
    </row>
    <row r="11" spans="1:19" s="459" customFormat="1">
      <c r="A11" s="858" t="s">
        <v>225</v>
      </c>
      <c r="B11" s="863"/>
      <c r="C11" s="704">
        <f>huishoudens!B8</f>
        <v>35414.976889258345</v>
      </c>
      <c r="D11" s="704">
        <f>huishoudens!C8</f>
        <v>0</v>
      </c>
      <c r="E11" s="704">
        <f>huishoudens!D8</f>
        <v>84186.738574540417</v>
      </c>
      <c r="F11" s="704">
        <f>huishoudens!E8</f>
        <v>7792.3214425325341</v>
      </c>
      <c r="G11" s="704">
        <f>huishoudens!F8</f>
        <v>21860.507165430121</v>
      </c>
      <c r="H11" s="704">
        <f>huishoudens!G8</f>
        <v>0</v>
      </c>
      <c r="I11" s="704">
        <f>huishoudens!H8</f>
        <v>0</v>
      </c>
      <c r="J11" s="704">
        <f>huishoudens!I8</f>
        <v>0</v>
      </c>
      <c r="K11" s="704">
        <f>huishoudens!J8</f>
        <v>2542.6921593117086</v>
      </c>
      <c r="L11" s="704">
        <f>huishoudens!K8</f>
        <v>0</v>
      </c>
      <c r="M11" s="704">
        <f>huishoudens!L8</f>
        <v>0</v>
      </c>
      <c r="N11" s="704">
        <f>huishoudens!M8</f>
        <v>0</v>
      </c>
      <c r="O11" s="704">
        <f>huishoudens!N8</f>
        <v>23438.214578392868</v>
      </c>
      <c r="P11" s="704">
        <f>huishoudens!O8</f>
        <v>289.2166666666667</v>
      </c>
      <c r="Q11" s="705">
        <f>huishoudens!P8</f>
        <v>419.4666666666667</v>
      </c>
      <c r="R11" s="707">
        <f>SUM(C11:Q11)</f>
        <v>175944.1341427993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132729.62697898233</v>
      </c>
      <c r="D13" s="704">
        <f>industrie!C18</f>
        <v>0</v>
      </c>
      <c r="E13" s="704">
        <f>industrie!D18</f>
        <v>180494.20320751946</v>
      </c>
      <c r="F13" s="704">
        <f>industrie!E18</f>
        <v>19860.168301688482</v>
      </c>
      <c r="G13" s="704">
        <f>industrie!F18</f>
        <v>75577.223428589248</v>
      </c>
      <c r="H13" s="704">
        <f>industrie!G18</f>
        <v>0</v>
      </c>
      <c r="I13" s="704">
        <f>industrie!H18</f>
        <v>0</v>
      </c>
      <c r="J13" s="704">
        <f>industrie!I18</f>
        <v>0</v>
      </c>
      <c r="K13" s="704">
        <f>industrie!J18</f>
        <v>129.32109762090278</v>
      </c>
      <c r="L13" s="704">
        <f>industrie!K18</f>
        <v>0</v>
      </c>
      <c r="M13" s="704">
        <f>industrie!L18</f>
        <v>0</v>
      </c>
      <c r="N13" s="704">
        <f>industrie!M18</f>
        <v>0</v>
      </c>
      <c r="O13" s="704">
        <f>industrie!N18</f>
        <v>36378.23710030863</v>
      </c>
      <c r="P13" s="704">
        <f>industrie!O18</f>
        <v>0</v>
      </c>
      <c r="Q13" s="705">
        <f>industrie!P18</f>
        <v>0</v>
      </c>
      <c r="R13" s="707">
        <f>SUM(C13:Q13)</f>
        <v>445168.78011470905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202003.03933330765</v>
      </c>
      <c r="D15" s="709">
        <f t="shared" ref="D15:Q15" ca="1" si="0">SUM(D9:D14)</f>
        <v>0</v>
      </c>
      <c r="E15" s="709">
        <f t="shared" ca="1" si="0"/>
        <v>306772.84102289053</v>
      </c>
      <c r="F15" s="709">
        <f t="shared" si="0"/>
        <v>28032.563021962756</v>
      </c>
      <c r="G15" s="709">
        <f t="shared" ca="1" si="0"/>
        <v>103807.38909850188</v>
      </c>
      <c r="H15" s="709">
        <f t="shared" si="0"/>
        <v>0</v>
      </c>
      <c r="I15" s="709">
        <f t="shared" si="0"/>
        <v>0</v>
      </c>
      <c r="J15" s="709">
        <f t="shared" si="0"/>
        <v>0</v>
      </c>
      <c r="K15" s="709">
        <f t="shared" si="0"/>
        <v>2672.0132569326115</v>
      </c>
      <c r="L15" s="709">
        <f t="shared" si="0"/>
        <v>0</v>
      </c>
      <c r="M15" s="709">
        <f t="shared" ca="1" si="0"/>
        <v>0</v>
      </c>
      <c r="N15" s="709">
        <f t="shared" si="0"/>
        <v>0</v>
      </c>
      <c r="O15" s="709">
        <f t="shared" ca="1" si="0"/>
        <v>63094.108005058661</v>
      </c>
      <c r="P15" s="709">
        <f t="shared" si="0"/>
        <v>293.90666666666669</v>
      </c>
      <c r="Q15" s="710">
        <f t="shared" si="0"/>
        <v>457.6</v>
      </c>
      <c r="R15" s="711">
        <f ca="1">SUM(R9:R14)</f>
        <v>707133.46040532074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1218.798107413885</v>
      </c>
      <c r="I18" s="704">
        <f>transport!H54</f>
        <v>0</v>
      </c>
      <c r="J18" s="704">
        <f>transport!I54</f>
        <v>0</v>
      </c>
      <c r="K18" s="704">
        <f>transport!J54</f>
        <v>0</v>
      </c>
      <c r="L18" s="704">
        <f>transport!K54</f>
        <v>0</v>
      </c>
      <c r="M18" s="704">
        <f>transport!L54</f>
        <v>0</v>
      </c>
      <c r="N18" s="704">
        <f>transport!M54</f>
        <v>54.202932914948349</v>
      </c>
      <c r="O18" s="704">
        <f>transport!N54</f>
        <v>0</v>
      </c>
      <c r="P18" s="704">
        <f>transport!O54</f>
        <v>0</v>
      </c>
      <c r="Q18" s="705">
        <f>transport!P54</f>
        <v>0</v>
      </c>
      <c r="R18" s="707">
        <f>SUM(C18:Q18)</f>
        <v>1273.0010403288334</v>
      </c>
      <c r="S18" s="67"/>
    </row>
    <row r="19" spans="1:19" s="459" customFormat="1" ht="15" thickBot="1">
      <c r="A19" s="858" t="s">
        <v>307</v>
      </c>
      <c r="B19" s="863"/>
      <c r="C19" s="713">
        <f>transport!B14</f>
        <v>5.2627124797158968</v>
      </c>
      <c r="D19" s="713">
        <f>transport!C14</f>
        <v>0</v>
      </c>
      <c r="E19" s="713">
        <f>transport!D14</f>
        <v>8.5640066553378507</v>
      </c>
      <c r="F19" s="713">
        <f>transport!E14</f>
        <v>262.68919812210032</v>
      </c>
      <c r="G19" s="713">
        <f>transport!F14</f>
        <v>0</v>
      </c>
      <c r="H19" s="713">
        <f>transport!G14</f>
        <v>76221.048676945677</v>
      </c>
      <c r="I19" s="713">
        <f>transport!H14</f>
        <v>12829.341960675094</v>
      </c>
      <c r="J19" s="713">
        <f>transport!I14</f>
        <v>0</v>
      </c>
      <c r="K19" s="713">
        <f>transport!J14</f>
        <v>0</v>
      </c>
      <c r="L19" s="713">
        <f>transport!K14</f>
        <v>0</v>
      </c>
      <c r="M19" s="713">
        <f>transport!L14</f>
        <v>0</v>
      </c>
      <c r="N19" s="713">
        <f>transport!M14</f>
        <v>4025.1656550793832</v>
      </c>
      <c r="O19" s="713">
        <f>transport!N14</f>
        <v>0</v>
      </c>
      <c r="P19" s="713">
        <f>transport!O14</f>
        <v>0</v>
      </c>
      <c r="Q19" s="714">
        <f>transport!P14</f>
        <v>0</v>
      </c>
      <c r="R19" s="715">
        <f>SUM(C19:Q19)</f>
        <v>93352.072209957318</v>
      </c>
      <c r="S19" s="67"/>
    </row>
    <row r="20" spans="1:19" s="459" customFormat="1" ht="15.75" thickBot="1">
      <c r="A20" s="716" t="s">
        <v>230</v>
      </c>
      <c r="B20" s="866"/>
      <c r="C20" s="861">
        <f>SUM(C17:C19)</f>
        <v>5.2627124797158968</v>
      </c>
      <c r="D20" s="717">
        <f t="shared" ref="D20:R20" si="1">SUM(D17:D19)</f>
        <v>0</v>
      </c>
      <c r="E20" s="717">
        <f t="shared" si="1"/>
        <v>8.5640066553378507</v>
      </c>
      <c r="F20" s="717">
        <f t="shared" si="1"/>
        <v>262.68919812210032</v>
      </c>
      <c r="G20" s="717">
        <f t="shared" si="1"/>
        <v>0</v>
      </c>
      <c r="H20" s="717">
        <f t="shared" si="1"/>
        <v>77439.846784359557</v>
      </c>
      <c r="I20" s="717">
        <f t="shared" si="1"/>
        <v>12829.341960675094</v>
      </c>
      <c r="J20" s="717">
        <f t="shared" si="1"/>
        <v>0</v>
      </c>
      <c r="K20" s="717">
        <f t="shared" si="1"/>
        <v>0</v>
      </c>
      <c r="L20" s="717">
        <f t="shared" si="1"/>
        <v>0</v>
      </c>
      <c r="M20" s="717">
        <f t="shared" si="1"/>
        <v>0</v>
      </c>
      <c r="N20" s="717">
        <f t="shared" si="1"/>
        <v>4079.3685879943314</v>
      </c>
      <c r="O20" s="717">
        <f t="shared" si="1"/>
        <v>0</v>
      </c>
      <c r="P20" s="717">
        <f t="shared" si="1"/>
        <v>0</v>
      </c>
      <c r="Q20" s="718">
        <f t="shared" si="1"/>
        <v>0</v>
      </c>
      <c r="R20" s="719">
        <f t="shared" si="1"/>
        <v>94625.07325028615</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11518.429628287267</v>
      </c>
      <c r="D22" s="713">
        <f>+landbouw!C8</f>
        <v>0</v>
      </c>
      <c r="E22" s="713">
        <f>+landbouw!D8</f>
        <v>5524.2646132141608</v>
      </c>
      <c r="F22" s="713">
        <f>+landbouw!E8</f>
        <v>145.14705207080488</v>
      </c>
      <c r="G22" s="713">
        <f>+landbouw!F8</f>
        <v>39741.467756630991</v>
      </c>
      <c r="H22" s="713">
        <f>+landbouw!G8</f>
        <v>0</v>
      </c>
      <c r="I22" s="713">
        <f>+landbouw!H8</f>
        <v>0</v>
      </c>
      <c r="J22" s="713">
        <f>+landbouw!I8</f>
        <v>0</v>
      </c>
      <c r="K22" s="713">
        <f>+landbouw!J8</f>
        <v>1732.2408792075835</v>
      </c>
      <c r="L22" s="713">
        <f>+landbouw!K8</f>
        <v>0</v>
      </c>
      <c r="M22" s="713">
        <f>+landbouw!L8</f>
        <v>0</v>
      </c>
      <c r="N22" s="713">
        <f>+landbouw!M8</f>
        <v>0</v>
      </c>
      <c r="O22" s="713">
        <f>+landbouw!N8</f>
        <v>0</v>
      </c>
      <c r="P22" s="713">
        <f>+landbouw!O8</f>
        <v>0</v>
      </c>
      <c r="Q22" s="714">
        <f>+landbouw!P8</f>
        <v>0</v>
      </c>
      <c r="R22" s="715">
        <f>SUM(C22:Q22)</f>
        <v>58661.549929410809</v>
      </c>
      <c r="S22" s="67"/>
    </row>
    <row r="23" spans="1:19" s="459" customFormat="1" ht="17.25" thickTop="1" thickBot="1">
      <c r="A23" s="720" t="s">
        <v>116</v>
      </c>
      <c r="B23" s="852"/>
      <c r="C23" s="721">
        <f ca="1">C20+C15+C22</f>
        <v>213526.73167407463</v>
      </c>
      <c r="D23" s="721">
        <f t="shared" ref="D23:Q23" ca="1" si="2">D20+D15+D22</f>
        <v>0</v>
      </c>
      <c r="E23" s="721">
        <f t="shared" ca="1" si="2"/>
        <v>312305.66964276007</v>
      </c>
      <c r="F23" s="721">
        <f t="shared" si="2"/>
        <v>28440.399272155664</v>
      </c>
      <c r="G23" s="721">
        <f t="shared" ca="1" si="2"/>
        <v>143548.85685513288</v>
      </c>
      <c r="H23" s="721">
        <f t="shared" si="2"/>
        <v>77439.846784359557</v>
      </c>
      <c r="I23" s="721">
        <f t="shared" si="2"/>
        <v>12829.341960675094</v>
      </c>
      <c r="J23" s="721">
        <f t="shared" si="2"/>
        <v>0</v>
      </c>
      <c r="K23" s="721">
        <f t="shared" si="2"/>
        <v>4404.2541361401945</v>
      </c>
      <c r="L23" s="721">
        <f t="shared" si="2"/>
        <v>0</v>
      </c>
      <c r="M23" s="721">
        <f t="shared" ca="1" si="2"/>
        <v>0</v>
      </c>
      <c r="N23" s="721">
        <f t="shared" si="2"/>
        <v>4079.3685879943314</v>
      </c>
      <c r="O23" s="721">
        <f t="shared" ca="1" si="2"/>
        <v>63094.108005058661</v>
      </c>
      <c r="P23" s="721">
        <f t="shared" si="2"/>
        <v>293.90666666666669</v>
      </c>
      <c r="Q23" s="722">
        <f t="shared" si="2"/>
        <v>457.6</v>
      </c>
      <c r="R23" s="723">
        <f ca="1">R20+R15+R22</f>
        <v>860420.08358501771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7029.1837632236611</v>
      </c>
      <c r="D36" s="704">
        <f ca="1">tertiair!C20</f>
        <v>0</v>
      </c>
      <c r="E36" s="704">
        <f ca="1">tertiair!D20</f>
        <v>8502.5636466477863</v>
      </c>
      <c r="F36" s="704">
        <f>tertiair!E20</f>
        <v>86.276634047375495</v>
      </c>
      <c r="G36" s="704">
        <f ca="1">tertiair!F20</f>
        <v>1700.6988206968299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17318.722864615655</v>
      </c>
    </row>
    <row r="37" spans="1:18">
      <c r="A37" s="873" t="s">
        <v>225</v>
      </c>
      <c r="B37" s="880"/>
      <c r="C37" s="704">
        <f ca="1">huishoudens!B12</f>
        <v>7352.3296958524588</v>
      </c>
      <c r="D37" s="704">
        <f ca="1">huishoudens!C12</f>
        <v>0</v>
      </c>
      <c r="E37" s="704">
        <f>huishoudens!D12</f>
        <v>17005.721192057164</v>
      </c>
      <c r="F37" s="704">
        <f>huishoudens!E12</f>
        <v>1768.8569674548853</v>
      </c>
      <c r="G37" s="704">
        <f>huishoudens!F12</f>
        <v>5836.7554131698425</v>
      </c>
      <c r="H37" s="704">
        <f>huishoudens!G12</f>
        <v>0</v>
      </c>
      <c r="I37" s="704">
        <f>huishoudens!H12</f>
        <v>0</v>
      </c>
      <c r="J37" s="704">
        <f>huishoudens!I12</f>
        <v>0</v>
      </c>
      <c r="K37" s="704">
        <f>huishoudens!J12</f>
        <v>900.11302439634483</v>
      </c>
      <c r="L37" s="704">
        <f>huishoudens!K12</f>
        <v>0</v>
      </c>
      <c r="M37" s="704">
        <f>huishoudens!L12</f>
        <v>0</v>
      </c>
      <c r="N37" s="704">
        <f>huishoudens!M12</f>
        <v>0</v>
      </c>
      <c r="O37" s="704">
        <f>huishoudens!N12</f>
        <v>0</v>
      </c>
      <c r="P37" s="704">
        <f>huishoudens!O12</f>
        <v>0</v>
      </c>
      <c r="Q37" s="814">
        <f>huishoudens!P12</f>
        <v>0</v>
      </c>
      <c r="R37" s="905">
        <f ca="1">SUM(C37:Q37)</f>
        <v>32863.776292930692</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27555.347021925671</v>
      </c>
      <c r="D39" s="704">
        <f ca="1">industrie!C22</f>
        <v>0</v>
      </c>
      <c r="E39" s="704">
        <f>industrie!D22</f>
        <v>36459.829047918931</v>
      </c>
      <c r="F39" s="704">
        <f>industrie!E22</f>
        <v>4508.2582044832852</v>
      </c>
      <c r="G39" s="704">
        <f>industrie!F22</f>
        <v>20179.118655433329</v>
      </c>
      <c r="H39" s="704">
        <f>industrie!G22</f>
        <v>0</v>
      </c>
      <c r="I39" s="704">
        <f>industrie!H22</f>
        <v>0</v>
      </c>
      <c r="J39" s="704">
        <f>industrie!I22</f>
        <v>0</v>
      </c>
      <c r="K39" s="704">
        <f>industrie!J22</f>
        <v>45.779668557799582</v>
      </c>
      <c r="L39" s="704">
        <f>industrie!K22</f>
        <v>0</v>
      </c>
      <c r="M39" s="704">
        <f>industrie!L22</f>
        <v>0</v>
      </c>
      <c r="N39" s="704">
        <f>industrie!M22</f>
        <v>0</v>
      </c>
      <c r="O39" s="704">
        <f>industrie!N22</f>
        <v>0</v>
      </c>
      <c r="P39" s="704">
        <f>industrie!O22</f>
        <v>0</v>
      </c>
      <c r="Q39" s="814">
        <f>industrie!P22</f>
        <v>0</v>
      </c>
      <c r="R39" s="906">
        <f ca="1">SUM(C39:Q39)</f>
        <v>88748.332598319001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41936.860481001786</v>
      </c>
      <c r="D41" s="749">
        <f t="shared" ref="D41:R41" ca="1" si="4">SUM(D35:D40)</f>
        <v>0</v>
      </c>
      <c r="E41" s="749">
        <f t="shared" ca="1" si="4"/>
        <v>61968.113886623883</v>
      </c>
      <c r="F41" s="749">
        <f t="shared" si="4"/>
        <v>6363.3918059855459</v>
      </c>
      <c r="G41" s="749">
        <f t="shared" ca="1" si="4"/>
        <v>27716.572889300001</v>
      </c>
      <c r="H41" s="749">
        <f t="shared" si="4"/>
        <v>0</v>
      </c>
      <c r="I41" s="749">
        <f t="shared" si="4"/>
        <v>0</v>
      </c>
      <c r="J41" s="749">
        <f t="shared" si="4"/>
        <v>0</v>
      </c>
      <c r="K41" s="749">
        <f t="shared" si="4"/>
        <v>945.89269295414442</v>
      </c>
      <c r="L41" s="749">
        <f t="shared" si="4"/>
        <v>0</v>
      </c>
      <c r="M41" s="749">
        <f t="shared" ca="1" si="4"/>
        <v>0</v>
      </c>
      <c r="N41" s="749">
        <f t="shared" si="4"/>
        <v>0</v>
      </c>
      <c r="O41" s="749">
        <f t="shared" ca="1" si="4"/>
        <v>0</v>
      </c>
      <c r="P41" s="749">
        <f t="shared" si="4"/>
        <v>0</v>
      </c>
      <c r="Q41" s="750">
        <f t="shared" si="4"/>
        <v>0</v>
      </c>
      <c r="R41" s="751">
        <f t="shared" ca="1" si="4"/>
        <v>138930.83175586537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325.41909467950728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325.41909467950728</v>
      </c>
    </row>
    <row r="45" spans="1:18" ht="15" thickBot="1">
      <c r="A45" s="876" t="s">
        <v>307</v>
      </c>
      <c r="B45" s="886"/>
      <c r="C45" s="713">
        <f ca="1">transport!B18</f>
        <v>1.0925659323833834</v>
      </c>
      <c r="D45" s="713">
        <f>transport!C18</f>
        <v>0</v>
      </c>
      <c r="E45" s="713">
        <f>transport!D18</f>
        <v>1.729929344378246</v>
      </c>
      <c r="F45" s="713">
        <f>transport!E18</f>
        <v>59.630447973716777</v>
      </c>
      <c r="G45" s="713">
        <f>transport!F18</f>
        <v>0</v>
      </c>
      <c r="H45" s="713">
        <f>transport!G18</f>
        <v>20351.019996744497</v>
      </c>
      <c r="I45" s="713">
        <f>transport!H18</f>
        <v>3194.5061482080982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23607.979088203072</v>
      </c>
    </row>
    <row r="46" spans="1:18" ht="15.75" thickBot="1">
      <c r="A46" s="874" t="s">
        <v>230</v>
      </c>
      <c r="B46" s="887"/>
      <c r="C46" s="749">
        <f t="shared" ref="C46:R46" ca="1" si="5">SUM(C43:C45)</f>
        <v>1.0925659323833834</v>
      </c>
      <c r="D46" s="749">
        <f t="shared" ca="1" si="5"/>
        <v>0</v>
      </c>
      <c r="E46" s="749">
        <f t="shared" si="5"/>
        <v>1.729929344378246</v>
      </c>
      <c r="F46" s="749">
        <f t="shared" si="5"/>
        <v>59.630447973716777</v>
      </c>
      <c r="G46" s="749">
        <f t="shared" si="5"/>
        <v>0</v>
      </c>
      <c r="H46" s="749">
        <f t="shared" si="5"/>
        <v>20676.439091424003</v>
      </c>
      <c r="I46" s="749">
        <f t="shared" si="5"/>
        <v>3194.5061482080982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23933.398182882578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2391.2846949034611</v>
      </c>
      <c r="D48" s="704">
        <f ca="1">+landbouw!C12</f>
        <v>0</v>
      </c>
      <c r="E48" s="704">
        <f>+landbouw!D12</f>
        <v>1115.9014518692607</v>
      </c>
      <c r="F48" s="704">
        <f>+landbouw!E12</f>
        <v>32.948380820072707</v>
      </c>
      <c r="G48" s="704">
        <f>+landbouw!F12</f>
        <v>10610.971891020476</v>
      </c>
      <c r="H48" s="704">
        <f>+landbouw!G12</f>
        <v>0</v>
      </c>
      <c r="I48" s="704">
        <f>+landbouw!H12</f>
        <v>0</v>
      </c>
      <c r="J48" s="704">
        <f>+landbouw!I12</f>
        <v>0</v>
      </c>
      <c r="K48" s="704">
        <f>+landbouw!J12</f>
        <v>613.21327123948447</v>
      </c>
      <c r="L48" s="704">
        <f>+landbouw!K12</f>
        <v>0</v>
      </c>
      <c r="M48" s="704">
        <f>+landbouw!L12</f>
        <v>0</v>
      </c>
      <c r="N48" s="704">
        <f>+landbouw!M12</f>
        <v>0</v>
      </c>
      <c r="O48" s="704">
        <f>+landbouw!N12</f>
        <v>0</v>
      </c>
      <c r="P48" s="704">
        <f>+landbouw!O12</f>
        <v>0</v>
      </c>
      <c r="Q48" s="705">
        <f>+landbouw!P12</f>
        <v>0</v>
      </c>
      <c r="R48" s="747">
        <f ca="1">SUM(C48:Q48)</f>
        <v>14764.319689852755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44329.237741837627</v>
      </c>
      <c r="D53" s="759">
        <f t="shared" ref="D53:Q53" ca="1" si="6">D41+D46+D48</f>
        <v>0</v>
      </c>
      <c r="E53" s="759">
        <f t="shared" ca="1" si="6"/>
        <v>63085.745267837527</v>
      </c>
      <c r="F53" s="759">
        <f t="shared" si="6"/>
        <v>6455.9706347793353</v>
      </c>
      <c r="G53" s="759">
        <f t="shared" ca="1" si="6"/>
        <v>38327.544780320473</v>
      </c>
      <c r="H53" s="759">
        <f t="shared" si="6"/>
        <v>20676.439091424003</v>
      </c>
      <c r="I53" s="759">
        <f t="shared" si="6"/>
        <v>3194.5061482080982</v>
      </c>
      <c r="J53" s="759">
        <f t="shared" si="6"/>
        <v>0</v>
      </c>
      <c r="K53" s="759">
        <f t="shared" si="6"/>
        <v>1559.105964193629</v>
      </c>
      <c r="L53" s="759">
        <f t="shared" si="6"/>
        <v>0</v>
      </c>
      <c r="M53" s="759">
        <f t="shared" ca="1" si="6"/>
        <v>0</v>
      </c>
      <c r="N53" s="759">
        <f t="shared" si="6"/>
        <v>0</v>
      </c>
      <c r="O53" s="759">
        <f t="shared" ca="1" si="6"/>
        <v>0</v>
      </c>
      <c r="P53" s="759">
        <f>P41+P46+P48</f>
        <v>0</v>
      </c>
      <c r="Q53" s="760">
        <f t="shared" si="6"/>
        <v>0</v>
      </c>
      <c r="R53" s="761">
        <f ca="1">R41+R46+R48</f>
        <v>177628.54962860071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0.20760509653424281</v>
      </c>
      <c r="D55" s="824">
        <f t="shared" ca="1" si="7"/>
        <v>0</v>
      </c>
      <c r="E55" s="824">
        <f t="shared" ca="1" si="7"/>
        <v>0.20199999999999999</v>
      </c>
      <c r="F55" s="824">
        <f t="shared" si="7"/>
        <v>0.22699999999999998</v>
      </c>
      <c r="G55" s="824">
        <f t="shared" ca="1" si="7"/>
        <v>0.26699999999999996</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12941.945511913404</v>
      </c>
      <c r="C66" s="781">
        <f>'lokale energieproductie'!B6</f>
        <v>12941.945511913404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12941.945511913404</v>
      </c>
      <c r="C69" s="789">
        <f>SUM(C64:C68)</f>
        <v>12941.945511913404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35414.976889258345</v>
      </c>
      <c r="C4" s="463">
        <f>huishoudens!C8</f>
        <v>0</v>
      </c>
      <c r="D4" s="463">
        <f>huishoudens!D8</f>
        <v>84186.738574540417</v>
      </c>
      <c r="E4" s="463">
        <f>huishoudens!E8</f>
        <v>7792.3214425325341</v>
      </c>
      <c r="F4" s="463">
        <f>huishoudens!F8</f>
        <v>21860.507165430121</v>
      </c>
      <c r="G4" s="463">
        <f>huishoudens!G8</f>
        <v>0</v>
      </c>
      <c r="H4" s="463">
        <f>huishoudens!H8</f>
        <v>0</v>
      </c>
      <c r="I4" s="463">
        <f>huishoudens!I8</f>
        <v>0</v>
      </c>
      <c r="J4" s="463">
        <f>huishoudens!J8</f>
        <v>2542.6921593117086</v>
      </c>
      <c r="K4" s="463">
        <f>huishoudens!K8</f>
        <v>0</v>
      </c>
      <c r="L4" s="463">
        <f>huishoudens!L8</f>
        <v>0</v>
      </c>
      <c r="M4" s="463">
        <f>huishoudens!M8</f>
        <v>0</v>
      </c>
      <c r="N4" s="463">
        <f>huishoudens!N8</f>
        <v>23438.214578392868</v>
      </c>
      <c r="O4" s="463">
        <f>huishoudens!O8</f>
        <v>289.2166666666667</v>
      </c>
      <c r="P4" s="464">
        <f>huishoudens!P8</f>
        <v>419.4666666666667</v>
      </c>
      <c r="Q4" s="465">
        <f>SUM(B4:P4)</f>
        <v>175944.1341427993</v>
      </c>
    </row>
    <row r="5" spans="1:17">
      <c r="A5" s="462" t="s">
        <v>156</v>
      </c>
      <c r="B5" s="463">
        <f ca="1">tertiair!B16</f>
        <v>32096.413465066977</v>
      </c>
      <c r="C5" s="463">
        <f ca="1">tertiair!C16</f>
        <v>0</v>
      </c>
      <c r="D5" s="463">
        <f ca="1">tertiair!D16</f>
        <v>42091.899240830622</v>
      </c>
      <c r="E5" s="463">
        <f>tertiair!E16</f>
        <v>380.07327774174223</v>
      </c>
      <c r="F5" s="463">
        <f ca="1">tertiair!F16</f>
        <v>6369.6585044825088</v>
      </c>
      <c r="G5" s="463">
        <f>tertiair!G16</f>
        <v>0</v>
      </c>
      <c r="H5" s="463">
        <f>tertiair!H16</f>
        <v>0</v>
      </c>
      <c r="I5" s="463">
        <f>tertiair!I16</f>
        <v>0</v>
      </c>
      <c r="J5" s="463">
        <f>tertiair!J16</f>
        <v>0</v>
      </c>
      <c r="K5" s="463">
        <f>tertiair!K16</f>
        <v>0</v>
      </c>
      <c r="L5" s="463">
        <f ca="1">tertiair!L16</f>
        <v>0</v>
      </c>
      <c r="M5" s="463">
        <f>tertiair!M16</f>
        <v>0</v>
      </c>
      <c r="N5" s="463">
        <f ca="1">tertiair!N16</f>
        <v>3277.6563263571666</v>
      </c>
      <c r="O5" s="463">
        <f>tertiair!O16</f>
        <v>4.6900000000000004</v>
      </c>
      <c r="P5" s="464">
        <f>tertiair!P16</f>
        <v>38.133333333333333</v>
      </c>
      <c r="Q5" s="462">
        <f t="shared" ref="Q5:Q13" ca="1" si="0">SUM(B5:P5)</f>
        <v>84258.52414781235</v>
      </c>
    </row>
    <row r="6" spans="1:17">
      <c r="A6" s="462" t="s">
        <v>194</v>
      </c>
      <c r="B6" s="463">
        <f>'openbare verlichting'!B8</f>
        <v>1762.0219999999999</v>
      </c>
      <c r="C6" s="463"/>
      <c r="D6" s="463"/>
      <c r="E6" s="463"/>
      <c r="F6" s="463"/>
      <c r="G6" s="463"/>
      <c r="H6" s="463"/>
      <c r="I6" s="463"/>
      <c r="J6" s="463"/>
      <c r="K6" s="463"/>
      <c r="L6" s="463"/>
      <c r="M6" s="463"/>
      <c r="N6" s="463"/>
      <c r="O6" s="463"/>
      <c r="P6" s="464"/>
      <c r="Q6" s="462">
        <f t="shared" si="0"/>
        <v>1762.0219999999999</v>
      </c>
    </row>
    <row r="7" spans="1:17">
      <c r="A7" s="462" t="s">
        <v>112</v>
      </c>
      <c r="B7" s="463">
        <f>landbouw!B8</f>
        <v>11518.429628287267</v>
      </c>
      <c r="C7" s="463">
        <f>landbouw!C8</f>
        <v>0</v>
      </c>
      <c r="D7" s="463">
        <f>landbouw!D8</f>
        <v>5524.2646132141608</v>
      </c>
      <c r="E7" s="463">
        <f>landbouw!E8</f>
        <v>145.14705207080488</v>
      </c>
      <c r="F7" s="463">
        <f>landbouw!F8</f>
        <v>39741.467756630991</v>
      </c>
      <c r="G7" s="463">
        <f>landbouw!G8</f>
        <v>0</v>
      </c>
      <c r="H7" s="463">
        <f>landbouw!H8</f>
        <v>0</v>
      </c>
      <c r="I7" s="463">
        <f>landbouw!I8</f>
        <v>0</v>
      </c>
      <c r="J7" s="463">
        <f>landbouw!J8</f>
        <v>1732.2408792075835</v>
      </c>
      <c r="K7" s="463">
        <f>landbouw!K8</f>
        <v>0</v>
      </c>
      <c r="L7" s="463">
        <f>landbouw!L8</f>
        <v>0</v>
      </c>
      <c r="M7" s="463">
        <f>landbouw!M8</f>
        <v>0</v>
      </c>
      <c r="N7" s="463">
        <f>landbouw!N8</f>
        <v>0</v>
      </c>
      <c r="O7" s="463">
        <f>landbouw!O8</f>
        <v>0</v>
      </c>
      <c r="P7" s="464">
        <f>landbouw!P8</f>
        <v>0</v>
      </c>
      <c r="Q7" s="462">
        <f t="shared" si="0"/>
        <v>58661.549929410809</v>
      </c>
    </row>
    <row r="8" spans="1:17">
      <c r="A8" s="462" t="s">
        <v>657</v>
      </c>
      <c r="B8" s="463">
        <f>industrie!B18</f>
        <v>132729.62697898233</v>
      </c>
      <c r="C8" s="463">
        <f>industrie!C18</f>
        <v>0</v>
      </c>
      <c r="D8" s="463">
        <f>industrie!D18</f>
        <v>180494.20320751946</v>
      </c>
      <c r="E8" s="463">
        <f>industrie!E18</f>
        <v>19860.168301688482</v>
      </c>
      <c r="F8" s="463">
        <f>industrie!F18</f>
        <v>75577.223428589248</v>
      </c>
      <c r="G8" s="463">
        <f>industrie!G18</f>
        <v>0</v>
      </c>
      <c r="H8" s="463">
        <f>industrie!H18</f>
        <v>0</v>
      </c>
      <c r="I8" s="463">
        <f>industrie!I18</f>
        <v>0</v>
      </c>
      <c r="J8" s="463">
        <f>industrie!J18</f>
        <v>129.32109762090278</v>
      </c>
      <c r="K8" s="463">
        <f>industrie!K18</f>
        <v>0</v>
      </c>
      <c r="L8" s="463">
        <f>industrie!L18</f>
        <v>0</v>
      </c>
      <c r="M8" s="463">
        <f>industrie!M18</f>
        <v>0</v>
      </c>
      <c r="N8" s="463">
        <f>industrie!N18</f>
        <v>36378.23710030863</v>
      </c>
      <c r="O8" s="463">
        <f>industrie!O18</f>
        <v>0</v>
      </c>
      <c r="P8" s="464">
        <f>industrie!P18</f>
        <v>0</v>
      </c>
      <c r="Q8" s="462">
        <f t="shared" si="0"/>
        <v>445168.78011470905</v>
      </c>
    </row>
    <row r="9" spans="1:17" s="468" customFormat="1">
      <c r="A9" s="466" t="s">
        <v>574</v>
      </c>
      <c r="B9" s="467">
        <f>transport!B14</f>
        <v>5.2627124797158968</v>
      </c>
      <c r="C9" s="467"/>
      <c r="D9" s="467">
        <f>transport!D14</f>
        <v>8.5640066553378507</v>
      </c>
      <c r="E9" s="467">
        <f>transport!E14</f>
        <v>262.68919812210032</v>
      </c>
      <c r="F9" s="467"/>
      <c r="G9" s="467">
        <f>transport!G14</f>
        <v>76221.048676945677</v>
      </c>
      <c r="H9" s="467">
        <f>transport!H14</f>
        <v>12829.341960675094</v>
      </c>
      <c r="I9" s="467"/>
      <c r="J9" s="467"/>
      <c r="K9" s="467"/>
      <c r="L9" s="467"/>
      <c r="M9" s="467">
        <f>transport!M14</f>
        <v>4025.1656550793832</v>
      </c>
      <c r="N9" s="467"/>
      <c r="O9" s="467"/>
      <c r="P9" s="467"/>
      <c r="Q9" s="466">
        <f>SUM(B9:P9)</f>
        <v>93352.072209957318</v>
      </c>
    </row>
    <row r="10" spans="1:17">
      <c r="A10" s="462" t="s">
        <v>564</v>
      </c>
      <c r="B10" s="463">
        <f>transport!B54</f>
        <v>0</v>
      </c>
      <c r="C10" s="463"/>
      <c r="D10" s="463">
        <f>transport!D54</f>
        <v>0</v>
      </c>
      <c r="E10" s="463"/>
      <c r="F10" s="463"/>
      <c r="G10" s="463">
        <f>transport!G54</f>
        <v>1218.798107413885</v>
      </c>
      <c r="H10" s="463"/>
      <c r="I10" s="463"/>
      <c r="J10" s="463"/>
      <c r="K10" s="463"/>
      <c r="L10" s="463"/>
      <c r="M10" s="463">
        <f>transport!M54</f>
        <v>54.202932914948349</v>
      </c>
      <c r="N10" s="463"/>
      <c r="O10" s="463"/>
      <c r="P10" s="464"/>
      <c r="Q10" s="462">
        <f t="shared" si="0"/>
        <v>1273.0010403288334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213526.73167407463</v>
      </c>
      <c r="C14" s="473">
        <f t="shared" ref="C14:Q14" ca="1" si="1">SUM(C4:C13)</f>
        <v>0</v>
      </c>
      <c r="D14" s="473">
        <f t="shared" ca="1" si="1"/>
        <v>312305.66964276001</v>
      </c>
      <c r="E14" s="473">
        <f t="shared" si="1"/>
        <v>28440.399272155664</v>
      </c>
      <c r="F14" s="473">
        <f t="shared" ca="1" si="1"/>
        <v>143548.85685513285</v>
      </c>
      <c r="G14" s="473">
        <f t="shared" si="1"/>
        <v>77439.846784359557</v>
      </c>
      <c r="H14" s="473">
        <f t="shared" si="1"/>
        <v>12829.341960675094</v>
      </c>
      <c r="I14" s="473">
        <f t="shared" si="1"/>
        <v>0</v>
      </c>
      <c r="J14" s="473">
        <f t="shared" si="1"/>
        <v>4404.2541361401945</v>
      </c>
      <c r="K14" s="473">
        <f t="shared" si="1"/>
        <v>0</v>
      </c>
      <c r="L14" s="473">
        <f t="shared" ca="1" si="1"/>
        <v>0</v>
      </c>
      <c r="M14" s="473">
        <f t="shared" si="1"/>
        <v>4079.3685879943314</v>
      </c>
      <c r="N14" s="473">
        <f t="shared" ca="1" si="1"/>
        <v>63094.108005058661</v>
      </c>
      <c r="O14" s="473">
        <f t="shared" si="1"/>
        <v>293.90666666666669</v>
      </c>
      <c r="P14" s="474">
        <f t="shared" si="1"/>
        <v>457.6</v>
      </c>
      <c r="Q14" s="474">
        <f t="shared" ca="1" si="1"/>
        <v>860420.08358501771</v>
      </c>
    </row>
    <row r="16" spans="1:17">
      <c r="A16" s="476" t="s">
        <v>569</v>
      </c>
      <c r="B16" s="829">
        <f ca="1">huishoudens!B10</f>
        <v>0.20760509653424286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7352.3296958524588</v>
      </c>
      <c r="C21" s="463">
        <f t="shared" ref="C21:C28" ca="1" si="3">C4*$C$16</f>
        <v>0</v>
      </c>
      <c r="D21" s="463">
        <f t="shared" ref="D21:D30" si="4">D4*$D$16</f>
        <v>17005.721192057164</v>
      </c>
      <c r="E21" s="463">
        <f t="shared" ref="E21:E30" si="5">E4*$E$16</f>
        <v>1768.8569674548853</v>
      </c>
      <c r="F21" s="463">
        <f t="shared" ref="F21:F28" si="6">F4*$F$16</f>
        <v>5836.7554131698425</v>
      </c>
      <c r="G21" s="463">
        <f t="shared" ref="G21:G30" si="7">G4*$G$16</f>
        <v>0</v>
      </c>
      <c r="H21" s="463">
        <f t="shared" ref="H21:H30" si="8">H4*$H$16</f>
        <v>0</v>
      </c>
      <c r="I21" s="463">
        <f t="shared" ref="I21:I28" si="9">I4*$I$16</f>
        <v>0</v>
      </c>
      <c r="J21" s="463">
        <f t="shared" ref="J21:J28" si="10">J4*$J$16</f>
        <v>900.11302439634483</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32863.776292930692</v>
      </c>
    </row>
    <row r="22" spans="1:17">
      <c r="A22" s="462" t="s">
        <v>156</v>
      </c>
      <c r="B22" s="463">
        <f t="shared" ca="1" si="2"/>
        <v>6663.3790158182019</v>
      </c>
      <c r="C22" s="463">
        <f t="shared" ca="1" si="3"/>
        <v>0</v>
      </c>
      <c r="D22" s="463">
        <f t="shared" ca="1" si="4"/>
        <v>8502.5636466477863</v>
      </c>
      <c r="E22" s="463">
        <f t="shared" si="5"/>
        <v>86.276634047375495</v>
      </c>
      <c r="F22" s="463">
        <f t="shared" ca="1" si="6"/>
        <v>1700.6988206968299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16952.918117210193</v>
      </c>
    </row>
    <row r="23" spans="1:17">
      <c r="A23" s="462" t="s">
        <v>194</v>
      </c>
      <c r="B23" s="463">
        <f t="shared" ca="1" si="2"/>
        <v>365.80474740545964</v>
      </c>
      <c r="C23" s="463"/>
      <c r="D23" s="463"/>
      <c r="E23" s="463"/>
      <c r="F23" s="463"/>
      <c r="G23" s="463"/>
      <c r="H23" s="463"/>
      <c r="I23" s="463"/>
      <c r="J23" s="463"/>
      <c r="K23" s="463"/>
      <c r="L23" s="463"/>
      <c r="M23" s="463"/>
      <c r="N23" s="463"/>
      <c r="O23" s="463"/>
      <c r="P23" s="464"/>
      <c r="Q23" s="462">
        <f t="shared" ca="1" si="17"/>
        <v>365.80474740545964</v>
      </c>
    </row>
    <row r="24" spans="1:17">
      <c r="A24" s="462" t="s">
        <v>112</v>
      </c>
      <c r="B24" s="463">
        <f t="shared" ca="1" si="2"/>
        <v>2391.2846949034611</v>
      </c>
      <c r="C24" s="463">
        <f t="shared" ca="1" si="3"/>
        <v>0</v>
      </c>
      <c r="D24" s="463">
        <f t="shared" si="4"/>
        <v>1115.9014518692607</v>
      </c>
      <c r="E24" s="463">
        <f t="shared" si="5"/>
        <v>32.948380820072707</v>
      </c>
      <c r="F24" s="463">
        <f t="shared" si="6"/>
        <v>10610.971891020476</v>
      </c>
      <c r="G24" s="463">
        <f t="shared" si="7"/>
        <v>0</v>
      </c>
      <c r="H24" s="463">
        <f t="shared" si="8"/>
        <v>0</v>
      </c>
      <c r="I24" s="463">
        <f t="shared" si="9"/>
        <v>0</v>
      </c>
      <c r="J24" s="463">
        <f t="shared" si="10"/>
        <v>613.21327123948447</v>
      </c>
      <c r="K24" s="463">
        <f t="shared" si="11"/>
        <v>0</v>
      </c>
      <c r="L24" s="463">
        <f t="shared" si="12"/>
        <v>0</v>
      </c>
      <c r="M24" s="463">
        <f t="shared" si="13"/>
        <v>0</v>
      </c>
      <c r="N24" s="463">
        <f t="shared" si="14"/>
        <v>0</v>
      </c>
      <c r="O24" s="463">
        <f t="shared" si="15"/>
        <v>0</v>
      </c>
      <c r="P24" s="464">
        <f t="shared" si="16"/>
        <v>0</v>
      </c>
      <c r="Q24" s="462">
        <f t="shared" ca="1" si="17"/>
        <v>14764.319689852755</v>
      </c>
    </row>
    <row r="25" spans="1:17">
      <c r="A25" s="462" t="s">
        <v>657</v>
      </c>
      <c r="B25" s="463">
        <f t="shared" ca="1" si="2"/>
        <v>27555.347021925671</v>
      </c>
      <c r="C25" s="463">
        <f t="shared" ca="1" si="3"/>
        <v>0</v>
      </c>
      <c r="D25" s="463">
        <f t="shared" si="4"/>
        <v>36459.829047918931</v>
      </c>
      <c r="E25" s="463">
        <f t="shared" si="5"/>
        <v>4508.2582044832852</v>
      </c>
      <c r="F25" s="463">
        <f t="shared" si="6"/>
        <v>20179.118655433329</v>
      </c>
      <c r="G25" s="463">
        <f t="shared" si="7"/>
        <v>0</v>
      </c>
      <c r="H25" s="463">
        <f t="shared" si="8"/>
        <v>0</v>
      </c>
      <c r="I25" s="463">
        <f t="shared" si="9"/>
        <v>0</v>
      </c>
      <c r="J25" s="463">
        <f t="shared" si="10"/>
        <v>45.779668557799582</v>
      </c>
      <c r="K25" s="463">
        <f t="shared" si="11"/>
        <v>0</v>
      </c>
      <c r="L25" s="463">
        <f t="shared" si="12"/>
        <v>0</v>
      </c>
      <c r="M25" s="463">
        <f t="shared" si="13"/>
        <v>0</v>
      </c>
      <c r="N25" s="463">
        <f t="shared" si="14"/>
        <v>0</v>
      </c>
      <c r="O25" s="463">
        <f t="shared" si="15"/>
        <v>0</v>
      </c>
      <c r="P25" s="464">
        <f t="shared" si="16"/>
        <v>0</v>
      </c>
      <c r="Q25" s="462">
        <f t="shared" ca="1" si="17"/>
        <v>88748.332598319001</v>
      </c>
    </row>
    <row r="26" spans="1:17" s="468" customFormat="1">
      <c r="A26" s="466" t="s">
        <v>574</v>
      </c>
      <c r="B26" s="823">
        <f t="shared" ca="1" si="2"/>
        <v>1.0925659323833834</v>
      </c>
      <c r="C26" s="467"/>
      <c r="D26" s="467">
        <f t="shared" si="4"/>
        <v>1.729929344378246</v>
      </c>
      <c r="E26" s="467">
        <f t="shared" si="5"/>
        <v>59.630447973716777</v>
      </c>
      <c r="F26" s="467"/>
      <c r="G26" s="467">
        <f t="shared" si="7"/>
        <v>20351.019996744497</v>
      </c>
      <c r="H26" s="467">
        <f t="shared" si="8"/>
        <v>3194.5061482080982</v>
      </c>
      <c r="I26" s="467"/>
      <c r="J26" s="467"/>
      <c r="K26" s="467"/>
      <c r="L26" s="467"/>
      <c r="M26" s="467">
        <f t="shared" si="13"/>
        <v>0</v>
      </c>
      <c r="N26" s="467"/>
      <c r="O26" s="467"/>
      <c r="P26" s="478"/>
      <c r="Q26" s="466">
        <f t="shared" ca="1" si="17"/>
        <v>23607.979088203072</v>
      </c>
    </row>
    <row r="27" spans="1:17">
      <c r="A27" s="462" t="s">
        <v>564</v>
      </c>
      <c r="B27" s="463">
        <f t="shared" ca="1" si="2"/>
        <v>0</v>
      </c>
      <c r="C27" s="463"/>
      <c r="D27" s="467">
        <f t="shared" si="4"/>
        <v>0</v>
      </c>
      <c r="E27" s="463"/>
      <c r="F27" s="463"/>
      <c r="G27" s="463">
        <f t="shared" si="7"/>
        <v>325.41909467950728</v>
      </c>
      <c r="H27" s="463"/>
      <c r="I27" s="463"/>
      <c r="J27" s="463"/>
      <c r="K27" s="463"/>
      <c r="L27" s="463"/>
      <c r="M27" s="463">
        <f t="shared" si="13"/>
        <v>0</v>
      </c>
      <c r="N27" s="463"/>
      <c r="O27" s="463"/>
      <c r="P27" s="464"/>
      <c r="Q27" s="462">
        <f t="shared" ca="1" si="17"/>
        <v>325.41909467950728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44329.237741837635</v>
      </c>
      <c r="C31" s="473">
        <f t="shared" ca="1" si="18"/>
        <v>0</v>
      </c>
      <c r="D31" s="473">
        <f t="shared" ca="1" si="18"/>
        <v>63085.745267837527</v>
      </c>
      <c r="E31" s="473">
        <f t="shared" si="18"/>
        <v>6455.9706347793353</v>
      </c>
      <c r="F31" s="473">
        <f t="shared" ca="1" si="18"/>
        <v>38327.544780320473</v>
      </c>
      <c r="G31" s="473">
        <f t="shared" si="18"/>
        <v>20676.439091424003</v>
      </c>
      <c r="H31" s="473">
        <f t="shared" si="18"/>
        <v>3194.5061482080982</v>
      </c>
      <c r="I31" s="473">
        <f t="shared" si="18"/>
        <v>0</v>
      </c>
      <c r="J31" s="473">
        <f t="shared" si="18"/>
        <v>1559.105964193629</v>
      </c>
      <c r="K31" s="473">
        <f t="shared" si="18"/>
        <v>0</v>
      </c>
      <c r="L31" s="473">
        <f t="shared" ca="1" si="18"/>
        <v>0</v>
      </c>
      <c r="M31" s="473">
        <f t="shared" si="18"/>
        <v>0</v>
      </c>
      <c r="N31" s="473">
        <f t="shared" ca="1" si="18"/>
        <v>0</v>
      </c>
      <c r="O31" s="473">
        <f t="shared" si="18"/>
        <v>0</v>
      </c>
      <c r="P31" s="474">
        <f t="shared" si="18"/>
        <v>0</v>
      </c>
      <c r="Q31" s="474">
        <f t="shared" ca="1" si="18"/>
        <v>177628.54962860068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0.20760509653424286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0.20760509653424286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0.20760509653424286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8359</v>
      </c>
      <c r="C9" s="338">
        <v>8668</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5093</v>
      </c>
    </row>
    <row r="15" spans="1:6">
      <c r="A15" s="1269" t="s">
        <v>184</v>
      </c>
      <c r="B15" s="335">
        <v>103</v>
      </c>
    </row>
    <row r="16" spans="1:6">
      <c r="A16" s="1269" t="s">
        <v>6</v>
      </c>
      <c r="B16" s="335">
        <v>3218</v>
      </c>
    </row>
    <row r="17" spans="1:6">
      <c r="A17" s="1269" t="s">
        <v>7</v>
      </c>
      <c r="B17" s="335">
        <v>2613</v>
      </c>
    </row>
    <row r="18" spans="1:6">
      <c r="A18" s="1269" t="s">
        <v>8</v>
      </c>
      <c r="B18" s="335">
        <v>3807</v>
      </c>
    </row>
    <row r="19" spans="1:6">
      <c r="A19" s="1269" t="s">
        <v>9</v>
      </c>
      <c r="B19" s="335">
        <v>3603</v>
      </c>
    </row>
    <row r="20" spans="1:6">
      <c r="A20" s="1269" t="s">
        <v>10</v>
      </c>
      <c r="B20" s="335">
        <v>2957</v>
      </c>
    </row>
    <row r="21" spans="1:6">
      <c r="A21" s="1269" t="s">
        <v>11</v>
      </c>
      <c r="B21" s="335">
        <v>40875</v>
      </c>
    </row>
    <row r="22" spans="1:6">
      <c r="A22" s="1269" t="s">
        <v>12</v>
      </c>
      <c r="B22" s="335">
        <v>113847</v>
      </c>
    </row>
    <row r="23" spans="1:6">
      <c r="A23" s="1269" t="s">
        <v>13</v>
      </c>
      <c r="B23" s="335">
        <v>1592</v>
      </c>
    </row>
    <row r="24" spans="1:6">
      <c r="A24" s="1269" t="s">
        <v>14</v>
      </c>
      <c r="B24" s="335">
        <v>91</v>
      </c>
    </row>
    <row r="25" spans="1:6">
      <c r="A25" s="1269" t="s">
        <v>15</v>
      </c>
      <c r="B25" s="335">
        <v>10413</v>
      </c>
    </row>
    <row r="26" spans="1:6">
      <c r="A26" s="1269" t="s">
        <v>16</v>
      </c>
      <c r="B26" s="335">
        <v>342</v>
      </c>
    </row>
    <row r="27" spans="1:6">
      <c r="A27" s="1269" t="s">
        <v>17</v>
      </c>
      <c r="B27" s="335">
        <v>0</v>
      </c>
    </row>
    <row r="28" spans="1:6" s="341" customFormat="1">
      <c r="A28" s="1270" t="s">
        <v>18</v>
      </c>
      <c r="B28" s="1270">
        <v>595861</v>
      </c>
    </row>
    <row r="29" spans="1:6">
      <c r="A29" s="1270" t="s">
        <v>874</v>
      </c>
      <c r="B29" s="1270">
        <v>196</v>
      </c>
      <c r="C29" s="341"/>
      <c r="D29" s="341"/>
      <c r="E29" s="341"/>
      <c r="F29" s="341"/>
    </row>
    <row r="30" spans="1:6">
      <c r="A30" s="1265" t="s">
        <v>875</v>
      </c>
      <c r="B30" s="1265">
        <v>27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6</v>
      </c>
      <c r="D36" s="335">
        <v>59127.058577757904</v>
      </c>
      <c r="E36" s="335">
        <v>8</v>
      </c>
      <c r="F36" s="335">
        <v>56868.438571327897</v>
      </c>
    </row>
    <row r="37" spans="1:6">
      <c r="A37" s="1269" t="s">
        <v>25</v>
      </c>
      <c r="B37" s="1269" t="s">
        <v>28</v>
      </c>
      <c r="C37" s="335">
        <v>0</v>
      </c>
      <c r="D37" s="335">
        <v>0</v>
      </c>
      <c r="E37" s="335">
        <v>0</v>
      </c>
      <c r="F37" s="335">
        <v>0</v>
      </c>
    </row>
    <row r="38" spans="1:6">
      <c r="A38" s="1269" t="s">
        <v>25</v>
      </c>
      <c r="B38" s="1269" t="s">
        <v>29</v>
      </c>
      <c r="C38" s="335">
        <v>0</v>
      </c>
      <c r="D38" s="335">
        <v>0</v>
      </c>
      <c r="E38" s="335">
        <v>2</v>
      </c>
      <c r="F38" s="335">
        <v>36583.323885842998</v>
      </c>
    </row>
    <row r="39" spans="1:6">
      <c r="A39" s="1269" t="s">
        <v>30</v>
      </c>
      <c r="B39" s="1269" t="s">
        <v>31</v>
      </c>
      <c r="C39" s="335">
        <v>5375</v>
      </c>
      <c r="D39" s="335">
        <v>93333413.053814203</v>
      </c>
      <c r="E39" s="335">
        <v>7816</v>
      </c>
      <c r="F39" s="335">
        <v>31787054.2995511</v>
      </c>
    </row>
    <row r="40" spans="1:6">
      <c r="A40" s="1269" t="s">
        <v>30</v>
      </c>
      <c r="B40" s="1269" t="s">
        <v>29</v>
      </c>
      <c r="C40" s="335">
        <v>0</v>
      </c>
      <c r="D40" s="335">
        <v>0</v>
      </c>
      <c r="E40" s="335">
        <v>0</v>
      </c>
      <c r="F40" s="335">
        <v>0</v>
      </c>
    </row>
    <row r="41" spans="1:6">
      <c r="A41" s="1269" t="s">
        <v>32</v>
      </c>
      <c r="B41" s="1269" t="s">
        <v>33</v>
      </c>
      <c r="C41" s="335">
        <v>111</v>
      </c>
      <c r="D41" s="335">
        <v>8529947.1003908701</v>
      </c>
      <c r="E41" s="335">
        <v>248</v>
      </c>
      <c r="F41" s="335">
        <v>58003785.225855798</v>
      </c>
    </row>
    <row r="42" spans="1:6">
      <c r="A42" s="1269" t="s">
        <v>32</v>
      </c>
      <c r="B42" s="1269" t="s">
        <v>34</v>
      </c>
      <c r="C42" s="335">
        <v>0</v>
      </c>
      <c r="D42" s="335">
        <v>0</v>
      </c>
      <c r="E42" s="335">
        <v>4</v>
      </c>
      <c r="F42" s="335">
        <v>153694.44310920301</v>
      </c>
    </row>
    <row r="43" spans="1:6">
      <c r="A43" s="1269" t="s">
        <v>32</v>
      </c>
      <c r="B43" s="1269" t="s">
        <v>35</v>
      </c>
      <c r="C43" s="335">
        <v>0</v>
      </c>
      <c r="D43" s="335">
        <v>0</v>
      </c>
      <c r="E43" s="335">
        <v>0</v>
      </c>
      <c r="F43" s="335">
        <v>0</v>
      </c>
    </row>
    <row r="44" spans="1:6">
      <c r="A44" s="1269" t="s">
        <v>32</v>
      </c>
      <c r="B44" s="1269" t="s">
        <v>36</v>
      </c>
      <c r="C44" s="335">
        <v>8</v>
      </c>
      <c r="D44" s="335">
        <v>230291.40706242301</v>
      </c>
      <c r="E44" s="335">
        <v>39</v>
      </c>
      <c r="F44" s="335">
        <v>1121356.2826813101</v>
      </c>
    </row>
    <row r="45" spans="1:6">
      <c r="A45" s="1269" t="s">
        <v>32</v>
      </c>
      <c r="B45" s="1269" t="s">
        <v>37</v>
      </c>
      <c r="C45" s="335">
        <v>0</v>
      </c>
      <c r="D45" s="335">
        <v>0</v>
      </c>
      <c r="E45" s="335">
        <v>7</v>
      </c>
      <c r="F45" s="335">
        <v>363224.17632922798</v>
      </c>
    </row>
    <row r="46" spans="1:6">
      <c r="A46" s="1269" t="s">
        <v>32</v>
      </c>
      <c r="B46" s="1269" t="s">
        <v>38</v>
      </c>
      <c r="C46" s="335">
        <v>0</v>
      </c>
      <c r="D46" s="335">
        <v>0</v>
      </c>
      <c r="E46" s="335">
        <v>0</v>
      </c>
      <c r="F46" s="335">
        <v>0</v>
      </c>
    </row>
    <row r="47" spans="1:6">
      <c r="A47" s="1269" t="s">
        <v>32</v>
      </c>
      <c r="B47" s="1269" t="s">
        <v>39</v>
      </c>
      <c r="C47" s="335">
        <v>4</v>
      </c>
      <c r="D47" s="335">
        <v>1282417.0908585801</v>
      </c>
      <c r="E47" s="335">
        <v>4</v>
      </c>
      <c r="F47" s="335">
        <v>1315519.7331164801</v>
      </c>
    </row>
    <row r="48" spans="1:6">
      <c r="A48" s="1269" t="s">
        <v>32</v>
      </c>
      <c r="B48" s="1269" t="s">
        <v>29</v>
      </c>
      <c r="C48" s="335">
        <v>29</v>
      </c>
      <c r="D48" s="335">
        <v>147139371.72170201</v>
      </c>
      <c r="E48" s="335">
        <v>37</v>
      </c>
      <c r="F48" s="335">
        <v>49591301.2890319</v>
      </c>
    </row>
    <row r="49" spans="1:6">
      <c r="A49" s="1269" t="s">
        <v>32</v>
      </c>
      <c r="B49" s="1269" t="s">
        <v>40</v>
      </c>
      <c r="C49" s="335">
        <v>11</v>
      </c>
      <c r="D49" s="335">
        <v>39983264.598929599</v>
      </c>
      <c r="E49" s="335">
        <v>18</v>
      </c>
      <c r="F49" s="335">
        <v>5718721.8400882203</v>
      </c>
    </row>
    <row r="50" spans="1:6">
      <c r="A50" s="1269" t="s">
        <v>32</v>
      </c>
      <c r="B50" s="1269" t="s">
        <v>41</v>
      </c>
      <c r="C50" s="335">
        <v>12</v>
      </c>
      <c r="D50" s="335">
        <v>2939146.2268652399</v>
      </c>
      <c r="E50" s="335">
        <v>17</v>
      </c>
      <c r="F50" s="335">
        <v>16462023.9887702</v>
      </c>
    </row>
    <row r="51" spans="1:6">
      <c r="A51" s="1269" t="s">
        <v>42</v>
      </c>
      <c r="B51" s="1269" t="s">
        <v>43</v>
      </c>
      <c r="C51" s="335">
        <v>12</v>
      </c>
      <c r="D51" s="335">
        <v>331558.00925715599</v>
      </c>
      <c r="E51" s="335">
        <v>330</v>
      </c>
      <c r="F51" s="335">
        <v>11477551.1169423</v>
      </c>
    </row>
    <row r="52" spans="1:6">
      <c r="A52" s="1269" t="s">
        <v>42</v>
      </c>
      <c r="B52" s="1269" t="s">
        <v>29</v>
      </c>
      <c r="C52" s="335">
        <v>6</v>
      </c>
      <c r="D52" s="335">
        <v>303935.69341514702</v>
      </c>
      <c r="E52" s="335">
        <v>5</v>
      </c>
      <c r="F52" s="335">
        <v>40878.511344967199</v>
      </c>
    </row>
    <row r="53" spans="1:6">
      <c r="A53" s="1269" t="s">
        <v>44</v>
      </c>
      <c r="B53" s="1269" t="s">
        <v>45</v>
      </c>
      <c r="C53" s="335">
        <v>160</v>
      </c>
      <c r="D53" s="335">
        <v>5488968.1745052598</v>
      </c>
      <c r="E53" s="335">
        <v>268</v>
      </c>
      <c r="F53" s="335">
        <v>1480436.29611382</v>
      </c>
    </row>
    <row r="54" spans="1:6">
      <c r="A54" s="1269" t="s">
        <v>46</v>
      </c>
      <c r="B54" s="1269" t="s">
        <v>47</v>
      </c>
      <c r="C54" s="335">
        <v>0</v>
      </c>
      <c r="D54" s="335">
        <v>0</v>
      </c>
      <c r="E54" s="335">
        <v>2</v>
      </c>
      <c r="F54" s="335">
        <v>1762022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67</v>
      </c>
      <c r="D57" s="335">
        <v>6738935.9310236601</v>
      </c>
      <c r="E57" s="335">
        <v>156</v>
      </c>
      <c r="F57" s="335">
        <v>4267685.2812217204</v>
      </c>
    </row>
    <row r="58" spans="1:6">
      <c r="A58" s="1269" t="s">
        <v>49</v>
      </c>
      <c r="B58" s="1269" t="s">
        <v>51</v>
      </c>
      <c r="C58" s="335">
        <v>43</v>
      </c>
      <c r="D58" s="335">
        <v>9899994.9167923294</v>
      </c>
      <c r="E58" s="335">
        <v>63</v>
      </c>
      <c r="F58" s="335">
        <v>5352146.3511410002</v>
      </c>
    </row>
    <row r="59" spans="1:6">
      <c r="A59" s="1269" t="s">
        <v>49</v>
      </c>
      <c r="B59" s="1269" t="s">
        <v>52</v>
      </c>
      <c r="C59" s="335">
        <v>151</v>
      </c>
      <c r="D59" s="335">
        <v>7241035.3005243102</v>
      </c>
      <c r="E59" s="335">
        <v>345</v>
      </c>
      <c r="F59" s="335">
        <v>11159153.659381799</v>
      </c>
    </row>
    <row r="60" spans="1:6">
      <c r="A60" s="1269" t="s">
        <v>49</v>
      </c>
      <c r="B60" s="1269" t="s">
        <v>53</v>
      </c>
      <c r="C60" s="335">
        <v>61</v>
      </c>
      <c r="D60" s="335">
        <v>6595089.9737074897</v>
      </c>
      <c r="E60" s="335">
        <v>79</v>
      </c>
      <c r="F60" s="335">
        <v>2461150.2048335499</v>
      </c>
    </row>
    <row r="61" spans="1:6">
      <c r="A61" s="1269" t="s">
        <v>49</v>
      </c>
      <c r="B61" s="1269" t="s">
        <v>54</v>
      </c>
      <c r="C61" s="335">
        <v>234</v>
      </c>
      <c r="D61" s="335">
        <v>9911821.7019570097</v>
      </c>
      <c r="E61" s="335">
        <v>411</v>
      </c>
      <c r="F61" s="335">
        <v>5657514.5502064796</v>
      </c>
    </row>
    <row r="62" spans="1:6">
      <c r="A62" s="1269" t="s">
        <v>49</v>
      </c>
      <c r="B62" s="1269" t="s">
        <v>55</v>
      </c>
      <c r="C62" s="335">
        <v>5</v>
      </c>
      <c r="D62" s="335">
        <v>733884.70168263197</v>
      </c>
      <c r="E62" s="335">
        <v>12</v>
      </c>
      <c r="F62" s="335">
        <v>493596.23789421399</v>
      </c>
    </row>
    <row r="63" spans="1:6">
      <c r="A63" s="1269" t="s">
        <v>49</v>
      </c>
      <c r="B63" s="1269" t="s">
        <v>29</v>
      </c>
      <c r="C63" s="335">
        <v>107</v>
      </c>
      <c r="D63" s="335">
        <v>5544314.2379828896</v>
      </c>
      <c r="E63" s="335">
        <v>104</v>
      </c>
      <c r="F63" s="335">
        <v>2705167.1803882099</v>
      </c>
    </row>
    <row r="64" spans="1:6">
      <c r="A64" s="1269" t="s">
        <v>56</v>
      </c>
      <c r="B64" s="1269" t="s">
        <v>57</v>
      </c>
      <c r="C64" s="335">
        <v>0</v>
      </c>
      <c r="D64" s="335">
        <v>0</v>
      </c>
      <c r="E64" s="335">
        <v>0</v>
      </c>
      <c r="F64" s="335">
        <v>0</v>
      </c>
    </row>
    <row r="65" spans="1:6">
      <c r="A65" s="1269" t="s">
        <v>56</v>
      </c>
      <c r="B65" s="1269" t="s">
        <v>29</v>
      </c>
      <c r="C65" s="335">
        <v>1</v>
      </c>
      <c r="D65" s="335">
        <v>14409.815344588</v>
      </c>
      <c r="E65" s="335">
        <v>2</v>
      </c>
      <c r="F65" s="335">
        <v>29903.420634425998</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70932.965214312004</v>
      </c>
      <c r="E68" s="335">
        <v>13</v>
      </c>
      <c r="F68" s="335">
        <v>189314.33119333399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77996593</v>
      </c>
      <c r="E73" s="335">
        <v>75280106.597118407</v>
      </c>
    </row>
    <row r="74" spans="1:6">
      <c r="A74" s="1269" t="s">
        <v>64</v>
      </c>
      <c r="B74" s="1269" t="s">
        <v>727</v>
      </c>
      <c r="C74" s="1269" t="s">
        <v>728</v>
      </c>
      <c r="D74" s="335">
        <v>9630313.1527653895</v>
      </c>
      <c r="E74" s="335">
        <v>9145985.0737214386</v>
      </c>
    </row>
    <row r="75" spans="1:6">
      <c r="A75" s="1269" t="s">
        <v>65</v>
      </c>
      <c r="B75" s="1269" t="s">
        <v>725</v>
      </c>
      <c r="C75" s="1269" t="s">
        <v>729</v>
      </c>
      <c r="D75" s="335">
        <v>18383117</v>
      </c>
      <c r="E75" s="335">
        <v>17137319.56698969</v>
      </c>
    </row>
    <row r="76" spans="1:6">
      <c r="A76" s="1269" t="s">
        <v>65</v>
      </c>
      <c r="B76" s="1269" t="s">
        <v>727</v>
      </c>
      <c r="C76" s="1269" t="s">
        <v>730</v>
      </c>
      <c r="D76" s="335">
        <v>1346827.15276539</v>
      </c>
      <c r="E76" s="335">
        <v>1321630.4673316048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336311.69446921995</v>
      </c>
      <c r="C83" s="335">
        <v>338318.13462504046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3627.9225897072465</v>
      </c>
    </row>
    <row r="92" spans="1:6">
      <c r="A92" s="1265" t="s">
        <v>69</v>
      </c>
      <c r="B92" s="338">
        <v>9314.0229222061571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3670</v>
      </c>
    </row>
    <row r="98" spans="1:6">
      <c r="A98" s="1269" t="s">
        <v>72</v>
      </c>
      <c r="B98" s="335">
        <v>1</v>
      </c>
    </row>
    <row r="99" spans="1:6">
      <c r="A99" s="1269" t="s">
        <v>73</v>
      </c>
      <c r="B99" s="335">
        <v>172</v>
      </c>
    </row>
    <row r="100" spans="1:6">
      <c r="A100" s="1269" t="s">
        <v>74</v>
      </c>
      <c r="B100" s="335">
        <v>626</v>
      </c>
    </row>
    <row r="101" spans="1:6">
      <c r="A101" s="1269" t="s">
        <v>75</v>
      </c>
      <c r="B101" s="335">
        <v>138</v>
      </c>
    </row>
    <row r="102" spans="1:6">
      <c r="A102" s="1269" t="s">
        <v>76</v>
      </c>
      <c r="B102" s="335">
        <v>138</v>
      </c>
    </row>
    <row r="103" spans="1:6">
      <c r="A103" s="1269" t="s">
        <v>77</v>
      </c>
      <c r="B103" s="335">
        <v>233</v>
      </c>
    </row>
    <row r="104" spans="1:6">
      <c r="A104" s="1269" t="s">
        <v>78</v>
      </c>
      <c r="B104" s="335">
        <v>2399</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17</v>
      </c>
      <c r="C123" s="335">
        <v>17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168</v>
      </c>
    </row>
    <row r="130" spans="1:6">
      <c r="A130" s="1269" t="s">
        <v>295</v>
      </c>
      <c r="B130" s="335">
        <v>3</v>
      </c>
    </row>
    <row r="131" spans="1:6">
      <c r="A131" s="1269" t="s">
        <v>296</v>
      </c>
      <c r="B131" s="335">
        <v>2</v>
      </c>
    </row>
    <row r="132" spans="1:6">
      <c r="A132" s="1265" t="s">
        <v>297</v>
      </c>
      <c r="B132" s="338">
        <v>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213526.73167407463</v>
      </c>
      <c r="C3" s="43" t="s">
        <v>170</v>
      </c>
      <c r="D3" s="43"/>
      <c r="E3" s="156"/>
      <c r="F3" s="43"/>
      <c r="G3" s="43"/>
      <c r="H3" s="43"/>
      <c r="I3" s="43"/>
      <c r="J3" s="43"/>
      <c r="K3" s="96"/>
    </row>
    <row r="4" spans="1:11">
      <c r="A4" s="366" t="s">
        <v>171</v>
      </c>
      <c r="B4" s="49">
        <f>IF(ISERROR('SEAP template'!B69),0,'SEAP template'!B69)</f>
        <v>12941.945511913404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0.20760509653424286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1762.0219999999999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1762.0219999999999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0.20760509653424286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365.80474740545964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31787.054299551099</v>
      </c>
      <c r="C5" s="17">
        <f>IF(ISERROR('Eigen informatie GS &amp; warmtenet'!B57),0,'Eigen informatie GS &amp; warmtenet'!B57)</f>
        <v>0</v>
      </c>
      <c r="D5" s="30">
        <f>(SUM(HH_hh_gas_kWh,HH_rest_gas_kWh)/1000)*0.902</f>
        <v>84186.738574540417</v>
      </c>
      <c r="E5" s="17">
        <f>B46*B57</f>
        <v>7792.3214425325341</v>
      </c>
      <c r="F5" s="17">
        <f>B51*B62</f>
        <v>21860.507165430121</v>
      </c>
      <c r="G5" s="18"/>
      <c r="H5" s="17"/>
      <c r="I5" s="17"/>
      <c r="J5" s="17">
        <f>B50*B61+C50*C61</f>
        <v>2542.6921593117086</v>
      </c>
      <c r="K5" s="17"/>
      <c r="L5" s="17"/>
      <c r="M5" s="17"/>
      <c r="N5" s="17">
        <f>B48*B59+C48*C59</f>
        <v>23438.214578392868</v>
      </c>
      <c r="O5" s="17">
        <f>B69*B70*B71</f>
        <v>289.2166666666667</v>
      </c>
      <c r="P5" s="17">
        <f>B77*B78*B79/1000-B77*B78*B79/1000/B80</f>
        <v>419.4666666666667</v>
      </c>
    </row>
    <row r="6" spans="1:16">
      <c r="A6" s="16" t="s">
        <v>634</v>
      </c>
      <c r="B6" s="831">
        <f>kWh_PV_kleiner_dan_10kW</f>
        <v>3627.9225897072465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35414.976889258345</v>
      </c>
      <c r="C8" s="21">
        <f>C5</f>
        <v>0</v>
      </c>
      <c r="D8" s="21">
        <f>D5</f>
        <v>84186.738574540417</v>
      </c>
      <c r="E8" s="21">
        <f>E5</f>
        <v>7792.3214425325341</v>
      </c>
      <c r="F8" s="21">
        <f>F5</f>
        <v>21860.507165430121</v>
      </c>
      <c r="G8" s="21"/>
      <c r="H8" s="21"/>
      <c r="I8" s="21"/>
      <c r="J8" s="21">
        <f>J5</f>
        <v>2542.6921593117086</v>
      </c>
      <c r="K8" s="21"/>
      <c r="L8" s="21">
        <f>L5</f>
        <v>0</v>
      </c>
      <c r="M8" s="21">
        <f>M5</f>
        <v>0</v>
      </c>
      <c r="N8" s="21">
        <f>N5</f>
        <v>23438.214578392868</v>
      </c>
      <c r="O8" s="21">
        <f>O5</f>
        <v>289.2166666666667</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0.20760509653424286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7352.3296958524588</v>
      </c>
      <c r="C12" s="23">
        <f ca="1">C10*C8</f>
        <v>0</v>
      </c>
      <c r="D12" s="23">
        <f>D8*D10</f>
        <v>17005.721192057164</v>
      </c>
      <c r="E12" s="23">
        <f>E10*E8</f>
        <v>1768.8569674548853</v>
      </c>
      <c r="F12" s="23">
        <f>F10*F8</f>
        <v>5836.7554131698425</v>
      </c>
      <c r="G12" s="23"/>
      <c r="H12" s="23"/>
      <c r="I12" s="23"/>
      <c r="J12" s="23">
        <f>J10*J8</f>
        <v>900.11302439634483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3670</v>
      </c>
      <c r="C18" s="168" t="s">
        <v>111</v>
      </c>
      <c r="D18" s="230"/>
      <c r="E18" s="15"/>
    </row>
    <row r="19" spans="1:7">
      <c r="A19" s="173" t="s">
        <v>72</v>
      </c>
      <c r="B19" s="37">
        <f>aantalw2001_ander</f>
        <v>1</v>
      </c>
      <c r="C19" s="168" t="s">
        <v>111</v>
      </c>
      <c r="D19" s="231"/>
      <c r="E19" s="15"/>
    </row>
    <row r="20" spans="1:7">
      <c r="A20" s="173" t="s">
        <v>73</v>
      </c>
      <c r="B20" s="37">
        <f>aantalw2001_propaan</f>
        <v>172</v>
      </c>
      <c r="C20" s="169">
        <f>IF(ISERROR(B20/SUM($B$20,$B$21,$B$22)*100),0,B20/SUM($B$20,$B$21,$B$22)*100)</f>
        <v>18.376068376068378</v>
      </c>
      <c r="D20" s="231"/>
      <c r="E20" s="15"/>
    </row>
    <row r="21" spans="1:7">
      <c r="A21" s="173" t="s">
        <v>74</v>
      </c>
      <c r="B21" s="37">
        <f>aantalw2001_elektriciteit</f>
        <v>626</v>
      </c>
      <c r="C21" s="169">
        <f>IF(ISERROR(B21/SUM($B$20,$B$21,$B$22)*100),0,B21/SUM($B$20,$B$21,$B$22)*100)</f>
        <v>66.880341880341874</v>
      </c>
      <c r="D21" s="231"/>
      <c r="E21" s="15"/>
    </row>
    <row r="22" spans="1:7">
      <c r="A22" s="173" t="s">
        <v>75</v>
      </c>
      <c r="B22" s="37">
        <f>aantalw2001_hout</f>
        <v>138</v>
      </c>
      <c r="C22" s="169">
        <f>IF(ISERROR(B22/SUM($B$20,$B$21,$B$22)*100),0,B22/SUM($B$20,$B$21,$B$22)*100)</f>
        <v>14.743589743589745</v>
      </c>
      <c r="D22" s="231"/>
      <c r="E22" s="15"/>
    </row>
    <row r="23" spans="1:7">
      <c r="A23" s="173" t="s">
        <v>76</v>
      </c>
      <c r="B23" s="37">
        <f>aantalw2001_niet_gespec</f>
        <v>138</v>
      </c>
      <c r="C23" s="168" t="s">
        <v>111</v>
      </c>
      <c r="D23" s="230"/>
      <c r="E23" s="15"/>
    </row>
    <row r="24" spans="1:7">
      <c r="A24" s="173" t="s">
        <v>77</v>
      </c>
      <c r="B24" s="37">
        <f>aantalw2001_steenkool</f>
        <v>233</v>
      </c>
      <c r="C24" s="168" t="s">
        <v>111</v>
      </c>
      <c r="D24" s="231"/>
      <c r="E24" s="15"/>
    </row>
    <row r="25" spans="1:7">
      <c r="A25" s="173" t="s">
        <v>78</v>
      </c>
      <c r="B25" s="37">
        <f>aantalw2001_stookolie</f>
        <v>2399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8359</v>
      </c>
      <c r="C28" s="36"/>
      <c r="D28" s="230"/>
    </row>
    <row r="29" spans="1:7" s="15" customFormat="1">
      <c r="A29" s="232" t="s">
        <v>746</v>
      </c>
      <c r="B29" s="37">
        <f>SUM(HH_hh_gas_aantal,HH_rest_gas_aantal)</f>
        <v>5375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5375</v>
      </c>
      <c r="C32" s="169">
        <f>IF(ISERROR(B32/SUM($B$32,$B$34,$B$35,$B$36,$B$38,$B$39)*100),0,B32/SUM($B$32,$B$34,$B$35,$B$36,$B$38,$B$39)*100)</f>
        <v>64.471632481708056</v>
      </c>
      <c r="D32" s="235"/>
      <c r="G32" s="15"/>
    </row>
    <row r="33" spans="1:7">
      <c r="A33" s="173" t="s">
        <v>72</v>
      </c>
      <c r="B33" s="34" t="s">
        <v>111</v>
      </c>
      <c r="C33" s="169"/>
      <c r="D33" s="235"/>
      <c r="G33" s="15"/>
    </row>
    <row r="34" spans="1:7">
      <c r="A34" s="173" t="s">
        <v>73</v>
      </c>
      <c r="B34" s="33">
        <f>IF((($B$28-$B$32-$B$39-$B$77-$B$38)*C20/100)&lt;0,0,($B$28-$B$32-$B$39-$B$77-$B$38)*C20/100)</f>
        <v>373.95299145299145</v>
      </c>
      <c r="C34" s="169">
        <f>IF(ISERROR(B34/SUM($B$32,$B$34,$B$35,$B$36,$B$38,$B$39)*100),0,B34/SUM($B$32,$B$34,$B$35,$B$36,$B$38,$B$39)*100)</f>
        <v>4.4854622940265259</v>
      </c>
      <c r="D34" s="235"/>
      <c r="G34" s="15"/>
    </row>
    <row r="35" spans="1:7">
      <c r="A35" s="173" t="s">
        <v>74</v>
      </c>
      <c r="B35" s="33">
        <f>IF((($B$28-$B$32-$B$39-$B$77-$B$38)*C21/100)&lt;0,0,($B$28-$B$32-$B$39-$B$77-$B$38)*C21/100)</f>
        <v>1361.0149572649573</v>
      </c>
      <c r="C35" s="169">
        <f>IF(ISERROR(B35/SUM($B$32,$B$34,$B$35,$B$36,$B$38,$B$39)*100),0,B35/SUM($B$32,$B$34,$B$35,$B$36,$B$38,$B$39)*100)</f>
        <v>16.324996488724448</v>
      </c>
      <c r="D35" s="235"/>
      <c r="G35" s="15"/>
    </row>
    <row r="36" spans="1:7">
      <c r="A36" s="173" t="s">
        <v>75</v>
      </c>
      <c r="B36" s="33">
        <f>IF((($B$28-$B$32-$B$39-$B$77-$B$38)*C22/100)&lt;0,0,($B$28-$B$32-$B$39-$B$77-$B$38)*C22/100)</f>
        <v>300.03205128205127</v>
      </c>
      <c r="C36" s="169">
        <f>IF(ISERROR(B36/SUM($B$32,$B$34,$B$35,$B$36,$B$38,$B$39)*100),0,B36/SUM($B$32,$B$34,$B$35,$B$36,$B$38,$B$39)*100)</f>
        <v>3.5988011428817477</v>
      </c>
      <c r="D36" s="235"/>
      <c r="G36" s="15"/>
    </row>
    <row r="37" spans="1:7">
      <c r="A37" s="173" t="s">
        <v>76</v>
      </c>
      <c r="B37" s="34" t="s">
        <v>111</v>
      </c>
      <c r="C37" s="169"/>
      <c r="D37" s="175"/>
      <c r="G37" s="15"/>
    </row>
    <row r="38" spans="1:7">
      <c r="A38" s="173" t="s">
        <v>77</v>
      </c>
      <c r="B38" s="33">
        <f>IF((B24-(B29-B18)*0.1)&lt;0,0,B24-(B29-B18)*0.1)</f>
        <v>62.5</v>
      </c>
      <c r="C38" s="169">
        <f>IF(ISERROR(B38/SUM($B$32,$B$34,$B$35,$B$36,$B$38,$B$39)*100),0,B38/SUM($B$32,$B$34,$B$35,$B$36,$B$38,$B$39)*100)</f>
        <v>0.74967014513614005</v>
      </c>
      <c r="D38" s="236"/>
      <c r="G38" s="15"/>
    </row>
    <row r="39" spans="1:7">
      <c r="A39" s="173" t="s">
        <v>78</v>
      </c>
      <c r="B39" s="33">
        <f>IF((B25-(B29-B18))&lt;0,0,B25-(B29-B18)*0.9)</f>
        <v>864.5</v>
      </c>
      <c r="C39" s="169">
        <f>IF(ISERROR(B39/SUM($B$32,$B$34,$B$35,$B$36,$B$38,$B$39)*100),0,B39/SUM($B$32,$B$34,$B$35,$B$36,$B$38,$B$39)*100)</f>
        <v>10.36943744752309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5375</v>
      </c>
      <c r="C44" s="34" t="s">
        <v>111</v>
      </c>
      <c r="D44" s="176"/>
    </row>
    <row r="45" spans="1:7">
      <c r="A45" s="173" t="s">
        <v>72</v>
      </c>
      <c r="B45" s="33" t="str">
        <f t="shared" si="0"/>
        <v>-</v>
      </c>
      <c r="C45" s="34" t="s">
        <v>111</v>
      </c>
      <c r="D45" s="176"/>
    </row>
    <row r="46" spans="1:7">
      <c r="A46" s="173" t="s">
        <v>73</v>
      </c>
      <c r="B46" s="33">
        <f t="shared" si="0"/>
        <v>373.95299145299145</v>
      </c>
      <c r="C46" s="34" t="s">
        <v>111</v>
      </c>
      <c r="D46" s="176"/>
    </row>
    <row r="47" spans="1:7">
      <c r="A47" s="173" t="s">
        <v>74</v>
      </c>
      <c r="B47" s="33">
        <f t="shared" si="0"/>
        <v>1361.0149572649573</v>
      </c>
      <c r="C47" s="34" t="s">
        <v>111</v>
      </c>
      <c r="D47" s="176"/>
    </row>
    <row r="48" spans="1:7">
      <c r="A48" s="173" t="s">
        <v>75</v>
      </c>
      <c r="B48" s="33">
        <f t="shared" si="0"/>
        <v>300.03205128205127</v>
      </c>
      <c r="C48" s="33">
        <f>B48*10</f>
        <v>3000.3205128205127</v>
      </c>
      <c r="D48" s="236"/>
    </row>
    <row r="49" spans="1:6">
      <c r="A49" s="173" t="s">
        <v>76</v>
      </c>
      <c r="B49" s="33" t="str">
        <f t="shared" si="0"/>
        <v>-</v>
      </c>
      <c r="C49" s="34" t="s">
        <v>111</v>
      </c>
      <c r="D49" s="236"/>
    </row>
    <row r="50" spans="1:6">
      <c r="A50" s="173" t="s">
        <v>77</v>
      </c>
      <c r="B50" s="33">
        <f t="shared" si="0"/>
        <v>62.5</v>
      </c>
      <c r="C50" s="33">
        <f>B50*2</f>
        <v>125</v>
      </c>
      <c r="D50" s="236"/>
    </row>
    <row r="51" spans="1:6">
      <c r="A51" s="173" t="s">
        <v>78</v>
      </c>
      <c r="B51" s="33">
        <f t="shared" si="0"/>
        <v>864.5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32096.413465066977</v>
      </c>
      <c r="C5" s="17">
        <f>IF(ISERROR('Eigen informatie GS &amp; warmtenet'!B58),0,'Eigen informatie GS &amp; warmtenet'!B58)</f>
        <v>0</v>
      </c>
      <c r="D5" s="30">
        <f>SUM(D6:D12)</f>
        <v>42091.899240830622</v>
      </c>
      <c r="E5" s="17">
        <f>SUM(E6:E12)</f>
        <v>380.07327774174223</v>
      </c>
      <c r="F5" s="17">
        <f>SUM(F6:F12)</f>
        <v>6369.6585044825088</v>
      </c>
      <c r="G5" s="18"/>
      <c r="H5" s="17"/>
      <c r="I5" s="17"/>
      <c r="J5" s="17">
        <f>SUM(J6:J12)</f>
        <v>0</v>
      </c>
      <c r="K5" s="17"/>
      <c r="L5" s="17"/>
      <c r="M5" s="17"/>
      <c r="N5" s="17">
        <f>SUM(N6:N12)</f>
        <v>3277.6563263571666</v>
      </c>
      <c r="O5" s="17">
        <f>B38*B39*B40</f>
        <v>4.6900000000000004</v>
      </c>
      <c r="P5" s="17">
        <f>B46*B47*B48/1000-B46*B47*B48/1000/B49</f>
        <v>38.133333333333333</v>
      </c>
      <c r="R5" s="32"/>
    </row>
    <row r="6" spans="1:18">
      <c r="A6" s="32" t="s">
        <v>54</v>
      </c>
      <c r="B6" s="37">
        <f>B26</f>
        <v>5657.5145502064797</v>
      </c>
      <c r="C6" s="33"/>
      <c r="D6" s="37">
        <f>IF(ISERROR(TER_kantoor_gas_kWh/1000),0,TER_kantoor_gas_kWh/1000)*0.902</f>
        <v>8940.4631751652232</v>
      </c>
      <c r="E6" s="33">
        <f>$C$26*'E Balans VL '!I12/100/3.6*1000000</f>
        <v>21.980641793170072</v>
      </c>
      <c r="F6" s="33">
        <f>$C$26*('E Balans VL '!L12+'E Balans VL '!N12)/100/3.6*1000000</f>
        <v>860.45648380828288</v>
      </c>
      <c r="G6" s="34"/>
      <c r="H6" s="33"/>
      <c r="I6" s="33"/>
      <c r="J6" s="33">
        <f>$C$26*('E Balans VL '!D12+'E Balans VL '!E12)/100/3.6*1000000</f>
        <v>0</v>
      </c>
      <c r="K6" s="33"/>
      <c r="L6" s="33"/>
      <c r="M6" s="33"/>
      <c r="N6" s="33">
        <f>$C$26*'E Balans VL '!Y12/100/3.6*1000000</f>
        <v>3.1179682707158864</v>
      </c>
      <c r="O6" s="33"/>
      <c r="P6" s="33"/>
      <c r="R6" s="32"/>
    </row>
    <row r="7" spans="1:18">
      <c r="A7" s="32" t="s">
        <v>53</v>
      </c>
      <c r="B7" s="37">
        <f t="shared" ref="B7:B12" si="0">B27</f>
        <v>2461.1502048335501</v>
      </c>
      <c r="C7" s="33"/>
      <c r="D7" s="37">
        <f>IF(ISERROR(TER_horeca_gas_kWh/1000),0,TER_horeca_gas_kWh/1000)*0.902</f>
        <v>5948.7711562841559</v>
      </c>
      <c r="E7" s="33">
        <f>$C$27*'E Balans VL '!I9/100/3.6*1000000</f>
        <v>138.63724904081917</v>
      </c>
      <c r="F7" s="33">
        <f>$C$27*('E Balans VL '!L9+'E Balans VL '!N9)/100/3.6*1000000</f>
        <v>709.64837301915452</v>
      </c>
      <c r="G7" s="34"/>
      <c r="H7" s="33"/>
      <c r="I7" s="33"/>
      <c r="J7" s="33">
        <f>$C$27*('E Balans VL '!D9+'E Balans VL '!E9)/100/3.6*1000000</f>
        <v>0</v>
      </c>
      <c r="K7" s="33"/>
      <c r="L7" s="33"/>
      <c r="M7" s="33"/>
      <c r="N7" s="33">
        <f>$C$27*'E Balans VL '!Y9/100/3.6*1000000</f>
        <v>0.67951078221476913</v>
      </c>
      <c r="O7" s="33"/>
      <c r="P7" s="33"/>
      <c r="R7" s="32"/>
    </row>
    <row r="8" spans="1:18">
      <c r="A8" s="6" t="s">
        <v>52</v>
      </c>
      <c r="B8" s="37">
        <f t="shared" si="0"/>
        <v>11159.1536593818</v>
      </c>
      <c r="C8" s="33"/>
      <c r="D8" s="37">
        <f>IF(ISERROR(TER_handel_gas_kWh/1000),0,TER_handel_gas_kWh/1000)*0.902</f>
        <v>6531.4138410729283</v>
      </c>
      <c r="E8" s="33">
        <f>$C$28*'E Balans VL '!I13/100/3.6*1000000</f>
        <v>160.84126347398433</v>
      </c>
      <c r="F8" s="33">
        <f>$C$28*('E Balans VL '!L13+'E Balans VL '!N13)/100/3.6*1000000</f>
        <v>1938.604869786999</v>
      </c>
      <c r="G8" s="34"/>
      <c r="H8" s="33"/>
      <c r="I8" s="33"/>
      <c r="J8" s="33">
        <f>$C$28*('E Balans VL '!D13+'E Balans VL '!E13)/100/3.6*1000000</f>
        <v>0</v>
      </c>
      <c r="K8" s="33"/>
      <c r="L8" s="33"/>
      <c r="M8" s="33"/>
      <c r="N8" s="33">
        <f>$C$28*'E Balans VL '!Y13/100/3.6*1000000</f>
        <v>33.434066626084039</v>
      </c>
      <c r="O8" s="33"/>
      <c r="P8" s="33"/>
      <c r="R8" s="32"/>
    </row>
    <row r="9" spans="1:18">
      <c r="A9" s="32" t="s">
        <v>51</v>
      </c>
      <c r="B9" s="37">
        <f t="shared" si="0"/>
        <v>5352.1463511410002</v>
      </c>
      <c r="C9" s="33"/>
      <c r="D9" s="37">
        <f>IF(ISERROR(TER_gezond_gas_kWh/1000),0,TER_gezond_gas_kWh/1000)*0.902</f>
        <v>8929.7954149466823</v>
      </c>
      <c r="E9" s="33">
        <f>$C$29*'E Balans VL '!I10/100/3.6*1000000</f>
        <v>5.7174795284085649</v>
      </c>
      <c r="F9" s="33">
        <f>$C$29*('E Balans VL '!L10+'E Balans VL '!N10)/100/3.6*1000000</f>
        <v>873.0977277024823</v>
      </c>
      <c r="G9" s="34"/>
      <c r="H9" s="33"/>
      <c r="I9" s="33"/>
      <c r="J9" s="33">
        <f>$C$29*('E Balans VL '!D10+'E Balans VL '!E10)/100/3.6*1000000</f>
        <v>0</v>
      </c>
      <c r="K9" s="33"/>
      <c r="L9" s="33"/>
      <c r="M9" s="33"/>
      <c r="N9" s="33">
        <f>$C$29*'E Balans VL '!Y10/100/3.6*1000000</f>
        <v>55.097292811214352</v>
      </c>
      <c r="O9" s="33"/>
      <c r="P9" s="33"/>
      <c r="R9" s="32"/>
    </row>
    <row r="10" spans="1:18">
      <c r="A10" s="32" t="s">
        <v>50</v>
      </c>
      <c r="B10" s="37">
        <f t="shared" si="0"/>
        <v>4267.6852812217203</v>
      </c>
      <c r="C10" s="33"/>
      <c r="D10" s="37">
        <f>IF(ISERROR(TER_ander_gas_kWh/1000),0,TER_ander_gas_kWh/1000)*0.902</f>
        <v>6078.5202097833417</v>
      </c>
      <c r="E10" s="33">
        <f>$C$30*'E Balans VL '!I14/100/3.6*1000000</f>
        <v>19.62643544521768</v>
      </c>
      <c r="F10" s="33">
        <f>$C$30*('E Balans VL '!L14+'E Balans VL '!N14)/100/3.6*1000000</f>
        <v>1279.1598936748765</v>
      </c>
      <c r="G10" s="34"/>
      <c r="H10" s="33"/>
      <c r="I10" s="33"/>
      <c r="J10" s="33">
        <f>$C$30*('E Balans VL '!D14+'E Balans VL '!E14)/100/3.6*1000000</f>
        <v>0</v>
      </c>
      <c r="K10" s="33"/>
      <c r="L10" s="33"/>
      <c r="M10" s="33"/>
      <c r="N10" s="33">
        <f>$C$30*'E Balans VL '!Y14/100/3.6*1000000</f>
        <v>2970.5906689162389</v>
      </c>
      <c r="O10" s="33"/>
      <c r="P10" s="33"/>
      <c r="R10" s="32"/>
    </row>
    <row r="11" spans="1:18">
      <c r="A11" s="32" t="s">
        <v>55</v>
      </c>
      <c r="B11" s="37">
        <f t="shared" si="0"/>
        <v>493.59623789421397</v>
      </c>
      <c r="C11" s="33"/>
      <c r="D11" s="37">
        <f>IF(ISERROR(TER_onderwijs_gas_kWh/1000),0,TER_onderwijs_gas_kWh/1000)*0.902</f>
        <v>661.9640009177341</v>
      </c>
      <c r="E11" s="33">
        <f>$C$31*'E Balans VL '!I11/100/3.6*1000000</f>
        <v>0.45787542288506472</v>
      </c>
      <c r="F11" s="33">
        <f>$C$31*('E Balans VL '!L11+'E Balans VL '!N11)/100/3.6*1000000</f>
        <v>173.38901387833553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2705.16718038821</v>
      </c>
      <c r="C12" s="33"/>
      <c r="D12" s="37">
        <f>IF(ISERROR(TER_rest_gas_kWh/1000),0,TER_rest_gas_kWh/1000)*0.902</f>
        <v>5000.9714426605669</v>
      </c>
      <c r="E12" s="33">
        <f>$C$32*'E Balans VL '!I8/100/3.6*1000000</f>
        <v>32.812333037257382</v>
      </c>
      <c r="F12" s="33">
        <f>$C$32*('E Balans VL '!L8+'E Balans VL '!N8)/100/3.6*1000000</f>
        <v>535.30214261237882</v>
      </c>
      <c r="G12" s="34"/>
      <c r="H12" s="33"/>
      <c r="I12" s="33"/>
      <c r="J12" s="33">
        <f>$C$32*('E Balans VL '!D8+'E Balans VL '!E8)/100/3.6*1000000</f>
        <v>0</v>
      </c>
      <c r="K12" s="33"/>
      <c r="L12" s="33"/>
      <c r="M12" s="33"/>
      <c r="N12" s="33">
        <f>$C$32*'E Balans VL '!Y8/100/3.6*1000000</f>
        <v>214.73681895069879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32096.413465066977</v>
      </c>
      <c r="C16" s="21">
        <f t="shared" ca="1" si="1"/>
        <v>0</v>
      </c>
      <c r="D16" s="21">
        <f t="shared" ca="1" si="1"/>
        <v>42091.899240830622</v>
      </c>
      <c r="E16" s="21">
        <f t="shared" si="1"/>
        <v>380.07327774174223</v>
      </c>
      <c r="F16" s="21">
        <f t="shared" ca="1" si="1"/>
        <v>6369.6585044825088</v>
      </c>
      <c r="G16" s="21">
        <f t="shared" si="1"/>
        <v>0</v>
      </c>
      <c r="H16" s="21">
        <f t="shared" si="1"/>
        <v>0</v>
      </c>
      <c r="I16" s="21">
        <f t="shared" si="1"/>
        <v>0</v>
      </c>
      <c r="J16" s="21">
        <f t="shared" si="1"/>
        <v>0</v>
      </c>
      <c r="K16" s="21">
        <f t="shared" si="1"/>
        <v>0</v>
      </c>
      <c r="L16" s="21">
        <f t="shared" ca="1" si="1"/>
        <v>0</v>
      </c>
      <c r="M16" s="21">
        <f t="shared" si="1"/>
        <v>0</v>
      </c>
      <c r="N16" s="21">
        <f t="shared" ca="1" si="1"/>
        <v>3277.6563263571666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0.20760509653424286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6663.3790158182019</v>
      </c>
      <c r="C20" s="23">
        <f t="shared" ref="C20:P20" ca="1" si="2">C16*C18</f>
        <v>0</v>
      </c>
      <c r="D20" s="23">
        <f t="shared" ca="1" si="2"/>
        <v>8502.5636466477863</v>
      </c>
      <c r="E20" s="23">
        <f t="shared" si="2"/>
        <v>86.276634047375495</v>
      </c>
      <c r="F20" s="23">
        <f t="shared" ca="1" si="2"/>
        <v>1700.6988206968299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5657.5145502064797</v>
      </c>
      <c r="C26" s="39">
        <f>IF(ISERROR(B26*3.6/1000000/'E Balans VL '!Z12*100),0,B26*3.6/1000000/'E Balans VL '!Z12*100)</f>
        <v>0.12016841141479087</v>
      </c>
      <c r="D26" s="239" t="s">
        <v>692</v>
      </c>
      <c r="F26" s="6"/>
    </row>
    <row r="27" spans="1:18">
      <c r="A27" s="233" t="s">
        <v>53</v>
      </c>
      <c r="B27" s="33">
        <f>IF(ISERROR(TER_horeca_ele_kWh/1000),0,TER_horeca_ele_kWh/1000)</f>
        <v>2461.1502048335501</v>
      </c>
      <c r="C27" s="39">
        <f>IF(ISERROR(B27*3.6/1000000/'E Balans VL '!Z9*100),0,B27*3.6/1000000/'E Balans VL '!Z9*100)</f>
        <v>0.19136941702325366</v>
      </c>
      <c r="D27" s="239" t="s">
        <v>692</v>
      </c>
      <c r="F27" s="6"/>
    </row>
    <row r="28" spans="1:18">
      <c r="A28" s="173" t="s">
        <v>52</v>
      </c>
      <c r="B28" s="33">
        <f>IF(ISERROR(TER_handel_ele_kWh/1000),0,TER_handel_ele_kWh/1000)</f>
        <v>11159.1536593818</v>
      </c>
      <c r="C28" s="39">
        <f>IF(ISERROR(B28*3.6/1000000/'E Balans VL '!Z13*100),0,B28*3.6/1000000/'E Balans VL '!Z13*100)</f>
        <v>0.31927651920500871</v>
      </c>
      <c r="D28" s="239" t="s">
        <v>692</v>
      </c>
      <c r="F28" s="6"/>
    </row>
    <row r="29" spans="1:18">
      <c r="A29" s="233" t="s">
        <v>51</v>
      </c>
      <c r="B29" s="33">
        <f>IF(ISERROR(TER_gezond_ele_kWh/1000),0,TER_gezond_ele_kWh/1000)</f>
        <v>5352.1463511410002</v>
      </c>
      <c r="C29" s="39">
        <f>IF(ISERROR(B29*3.6/1000000/'E Balans VL '!Z10*100),0,B29*3.6/1000000/'E Balans VL '!Z10*100)</f>
        <v>0.58350832123977237</v>
      </c>
      <c r="D29" s="239" t="s">
        <v>692</v>
      </c>
      <c r="F29" s="6"/>
    </row>
    <row r="30" spans="1:18">
      <c r="A30" s="233" t="s">
        <v>50</v>
      </c>
      <c r="B30" s="33">
        <f>IF(ISERROR(TER_ander_ele_kWh/1000),0,TER_ander_ele_kWh/1000)</f>
        <v>4267.6852812217203</v>
      </c>
      <c r="C30" s="39">
        <f>IF(ISERROR(B30*3.6/1000000/'E Balans VL '!Z14*100),0,B30*3.6/1000000/'E Balans VL '!Z14*100)</f>
        <v>0.31229952786523779</v>
      </c>
      <c r="D30" s="239" t="s">
        <v>692</v>
      </c>
      <c r="F30" s="6"/>
    </row>
    <row r="31" spans="1:18">
      <c r="A31" s="233" t="s">
        <v>55</v>
      </c>
      <c r="B31" s="33">
        <f>IF(ISERROR(TER_onderwijs_ele_kWh/1000),0,TER_onderwijs_ele_kWh/1000)</f>
        <v>493.59623789421397</v>
      </c>
      <c r="C31" s="39">
        <f>IF(ISERROR(B31*3.6/1000000/'E Balans VL '!Z11*100),0,B31*3.6/1000000/'E Balans VL '!Z11*100)</f>
        <v>9.9139170915511998E-2</v>
      </c>
      <c r="D31" s="239" t="s">
        <v>692</v>
      </c>
    </row>
    <row r="32" spans="1:18">
      <c r="A32" s="233" t="s">
        <v>260</v>
      </c>
      <c r="B32" s="33">
        <f>IF(ISERROR(TER_rest_ele_kWh/1000),0,TER_rest_ele_kWh/1000)</f>
        <v>2705.16718038821</v>
      </c>
      <c r="C32" s="39">
        <f>IF(ISERROR(B32*3.6/1000000/'E Balans VL '!Z8*100),0,B32*3.6/1000000/'E Balans VL '!Z8*100)</f>
        <v>2.2045470837614701E-2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132729.62697898233</v>
      </c>
      <c r="C5" s="17">
        <f>IF(ISERROR('Eigen informatie GS &amp; warmtenet'!B59),0,'Eigen informatie GS &amp; warmtenet'!B59)</f>
        <v>0</v>
      </c>
      <c r="D5" s="30">
        <f>SUM(D6:D15)</f>
        <v>180494.20320751946</v>
      </c>
      <c r="E5" s="17">
        <f>SUM(E6:E15)</f>
        <v>19860.168301688482</v>
      </c>
      <c r="F5" s="17">
        <f>SUM(F6:F15)</f>
        <v>75577.223428589248</v>
      </c>
      <c r="G5" s="18"/>
      <c r="H5" s="17"/>
      <c r="I5" s="17"/>
      <c r="J5" s="17">
        <f>SUM(J6:J15)</f>
        <v>129.32109762090278</v>
      </c>
      <c r="K5" s="17"/>
      <c r="L5" s="17"/>
      <c r="M5" s="17"/>
      <c r="N5" s="17">
        <f>SUM(N6:N15)</f>
        <v>36378.23710030863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1121.3562826813102</v>
      </c>
      <c r="C8" s="33"/>
      <c r="D8" s="37">
        <f>IF( ISERROR(IND_metaal_Gas_kWH/1000),0,IND_metaal_Gas_kWH/1000)*0.902</f>
        <v>207.72284917030558</v>
      </c>
      <c r="E8" s="33">
        <f>C30*'E Balans VL '!I18/100/3.6*1000000</f>
        <v>32.209561493731599</v>
      </c>
      <c r="F8" s="33">
        <f>C30*'E Balans VL '!L18/100/3.6*1000000+C30*'E Balans VL '!N18/100/3.6*1000000</f>
        <v>287.60631972705039</v>
      </c>
      <c r="G8" s="34"/>
      <c r="H8" s="33"/>
      <c r="I8" s="33"/>
      <c r="J8" s="40">
        <f>C30*'E Balans VL '!D18/100/3.6*1000000+C30*'E Balans VL '!E18/100/3.6*1000000</f>
        <v>0</v>
      </c>
      <c r="K8" s="33"/>
      <c r="L8" s="33"/>
      <c r="M8" s="33"/>
      <c r="N8" s="33">
        <f>C30*'E Balans VL '!Y18/100/3.6*1000000</f>
        <v>30.447112087272597</v>
      </c>
      <c r="O8" s="33"/>
      <c r="P8" s="33"/>
      <c r="R8" s="32"/>
    </row>
    <row r="9" spans="1:18">
      <c r="A9" s="6" t="s">
        <v>33</v>
      </c>
      <c r="B9" s="37">
        <f t="shared" si="0"/>
        <v>58003.785225855798</v>
      </c>
      <c r="C9" s="33"/>
      <c r="D9" s="37">
        <f>IF( ISERROR(IND_andere_gas_kWh/1000),0,IND_andere_gas_kWh/1000)*0.902</f>
        <v>7694.0122845525639</v>
      </c>
      <c r="E9" s="33">
        <f>C31*'E Balans VL '!I19/100/3.6*1000000</f>
        <v>15700.198519225811</v>
      </c>
      <c r="F9" s="33">
        <f>C31*'E Balans VL '!L19/100/3.6*1000000+C31*'E Balans VL '!N19/100/3.6*1000000</f>
        <v>38636.65904308248</v>
      </c>
      <c r="G9" s="34"/>
      <c r="H9" s="33"/>
      <c r="I9" s="33"/>
      <c r="J9" s="40">
        <f>C31*'E Balans VL '!D19/100/3.6*1000000+C31*'E Balans VL '!E19/100/3.6*1000000</f>
        <v>0</v>
      </c>
      <c r="K9" s="33"/>
      <c r="L9" s="33"/>
      <c r="M9" s="33"/>
      <c r="N9" s="33">
        <f>C31*'E Balans VL '!Y19/100/3.6*1000000</f>
        <v>18937.272350880939</v>
      </c>
      <c r="O9" s="33"/>
      <c r="P9" s="33"/>
      <c r="R9" s="32"/>
    </row>
    <row r="10" spans="1:18">
      <c r="A10" s="6" t="s">
        <v>41</v>
      </c>
      <c r="B10" s="37">
        <f t="shared" si="0"/>
        <v>16462.023988770201</v>
      </c>
      <c r="C10" s="33"/>
      <c r="D10" s="37">
        <f>IF( ISERROR(IND_voed_gas_kWh/1000),0,IND_voed_gas_kWh/1000)*0.902</f>
        <v>2651.1098966324466</v>
      </c>
      <c r="E10" s="33">
        <f>C32*'E Balans VL '!I20/100/3.6*1000000</f>
        <v>1342.680497040071</v>
      </c>
      <c r="F10" s="33">
        <f>C32*'E Balans VL '!L20/100/3.6*1000000+C32*'E Balans VL '!N20/100/3.6*1000000</f>
        <v>24546.371332940784</v>
      </c>
      <c r="G10" s="34"/>
      <c r="H10" s="33"/>
      <c r="I10" s="33"/>
      <c r="J10" s="40">
        <f>C32*'E Balans VL '!D20/100/3.6*1000000+C32*'E Balans VL '!E20/100/3.6*1000000</f>
        <v>0.21777259515493397</v>
      </c>
      <c r="K10" s="33"/>
      <c r="L10" s="33"/>
      <c r="M10" s="33"/>
      <c r="N10" s="33">
        <f>C32*'E Balans VL '!Y20/100/3.6*1000000</f>
        <v>4835.9617657094041</v>
      </c>
      <c r="O10" s="33"/>
      <c r="P10" s="33"/>
      <c r="R10" s="32"/>
    </row>
    <row r="11" spans="1:18">
      <c r="A11" s="6" t="s">
        <v>40</v>
      </c>
      <c r="B11" s="37">
        <f t="shared" si="0"/>
        <v>5718.7218400882202</v>
      </c>
      <c r="C11" s="33"/>
      <c r="D11" s="37">
        <f>IF( ISERROR(IND_textiel_gas_kWh/1000),0,IND_textiel_gas_kWh/1000)*0.902</f>
        <v>36064.9046682345</v>
      </c>
      <c r="E11" s="33">
        <f>C33*'E Balans VL '!I21/100/3.6*1000000</f>
        <v>1.1335676720944561</v>
      </c>
      <c r="F11" s="33">
        <f>C33*'E Balans VL '!L21/100/3.6*1000000+C33*'E Balans VL '!N21/100/3.6*1000000</f>
        <v>210.62742503037512</v>
      </c>
      <c r="G11" s="34"/>
      <c r="H11" s="33"/>
      <c r="I11" s="33"/>
      <c r="J11" s="40">
        <f>C33*'E Balans VL '!D21/100/3.6*1000000+C33*'E Balans VL '!E21/100/3.6*1000000</f>
        <v>0</v>
      </c>
      <c r="K11" s="33"/>
      <c r="L11" s="33"/>
      <c r="M11" s="33"/>
      <c r="N11" s="33">
        <f>C33*'E Balans VL '!Y21/100/3.6*1000000</f>
        <v>26.590612911708362</v>
      </c>
      <c r="O11" s="33"/>
      <c r="P11" s="33"/>
      <c r="R11" s="32"/>
    </row>
    <row r="12" spans="1:18">
      <c r="A12" s="6" t="s">
        <v>37</v>
      </c>
      <c r="B12" s="37">
        <f t="shared" si="0"/>
        <v>363.22417632922799</v>
      </c>
      <c r="C12" s="33"/>
      <c r="D12" s="37">
        <f>IF( ISERROR(IND_min_gas_kWh/1000),0,IND_min_gas_kWh/1000)*0.902</f>
        <v>0</v>
      </c>
      <c r="E12" s="33">
        <f>C34*'E Balans VL '!I22/100/3.6*1000000</f>
        <v>2.8294371904254372</v>
      </c>
      <c r="F12" s="33">
        <f>C34*'E Balans VL '!L22/100/3.6*1000000+C34*'E Balans VL '!N22/100/3.6*1000000</f>
        <v>136.98583850402184</v>
      </c>
      <c r="G12" s="34"/>
      <c r="H12" s="33"/>
      <c r="I12" s="33"/>
      <c r="J12" s="40">
        <f>C34*'E Balans VL '!D22/100/3.6*1000000+C34*'E Balans VL '!E22/100/3.6*1000000</f>
        <v>1.9977012120577025</v>
      </c>
      <c r="K12" s="33"/>
      <c r="L12" s="33"/>
      <c r="M12" s="33"/>
      <c r="N12" s="33">
        <f>C34*'E Balans VL '!Y22/100/3.6*1000000</f>
        <v>0</v>
      </c>
      <c r="O12" s="33"/>
      <c r="P12" s="33"/>
      <c r="R12" s="32"/>
    </row>
    <row r="13" spans="1:18">
      <c r="A13" s="6" t="s">
        <v>39</v>
      </c>
      <c r="B13" s="37">
        <f t="shared" si="0"/>
        <v>1315.51973311648</v>
      </c>
      <c r="C13" s="33"/>
      <c r="D13" s="37">
        <f>IF( ISERROR(IND_papier_gas_kWh/1000),0,IND_papier_gas_kWh/1000)*0.902</f>
        <v>1156.7402159544392</v>
      </c>
      <c r="E13" s="33">
        <f>C35*'E Balans VL '!I23/100/3.6*1000000</f>
        <v>13.782465788869089</v>
      </c>
      <c r="F13" s="33">
        <f>C35*'E Balans VL '!L23/100/3.6*1000000+C35*'E Balans VL '!N23/100/3.6*1000000</f>
        <v>98.16431565580578</v>
      </c>
      <c r="G13" s="34"/>
      <c r="H13" s="33"/>
      <c r="I13" s="33"/>
      <c r="J13" s="40">
        <f>C35*'E Balans VL '!D23/100/3.6*1000000+C35*'E Balans VL '!E23/100/3.6*1000000</f>
        <v>0</v>
      </c>
      <c r="K13" s="33"/>
      <c r="L13" s="33"/>
      <c r="M13" s="33"/>
      <c r="N13" s="33">
        <f>C35*'E Balans VL '!Y23/100/3.6*1000000</f>
        <v>2811.7861197587476</v>
      </c>
      <c r="O13" s="33"/>
      <c r="P13" s="33"/>
      <c r="R13" s="32"/>
    </row>
    <row r="14" spans="1:18">
      <c r="A14" s="6" t="s">
        <v>34</v>
      </c>
      <c r="B14" s="37">
        <f t="shared" si="0"/>
        <v>153.69444310920301</v>
      </c>
      <c r="C14" s="33"/>
      <c r="D14" s="37">
        <f>IF( ISERROR(IND_chemie_gas_kWh/1000),0,IND_chemie_gas_kWh/1000)*0.902</f>
        <v>0</v>
      </c>
      <c r="E14" s="33">
        <f>C36*'E Balans VL '!I24/100/3.6*1000000</f>
        <v>0.7265497246783903</v>
      </c>
      <c r="F14" s="33">
        <f>C36*'E Balans VL '!L24/100/3.6*1000000+C36*'E Balans VL '!N24/100/3.6*1000000</f>
        <v>2.9047424775726074</v>
      </c>
      <c r="G14" s="34"/>
      <c r="H14" s="33"/>
      <c r="I14" s="33"/>
      <c r="J14" s="40">
        <f>C36*'E Balans VL '!D24/100/3.6*1000000+C36*'E Balans VL '!E24/100/3.6*1000000</f>
        <v>0</v>
      </c>
      <c r="K14" s="33"/>
      <c r="L14" s="33"/>
      <c r="M14" s="33"/>
      <c r="N14" s="33">
        <f>C36*'E Balans VL '!Y24/100/3.6*1000000</f>
        <v>3.7311811256019252</v>
      </c>
      <c r="O14" s="33"/>
      <c r="P14" s="33"/>
      <c r="R14" s="32"/>
    </row>
    <row r="15" spans="1:18">
      <c r="A15" s="6" t="s">
        <v>270</v>
      </c>
      <c r="B15" s="37">
        <f t="shared" si="0"/>
        <v>49591.301289031901</v>
      </c>
      <c r="C15" s="33"/>
      <c r="D15" s="37">
        <f>IF( ISERROR(IND_rest_gas_kWh/1000),0,IND_rest_gas_kWh/1000)*0.902</f>
        <v>132719.71329297521</v>
      </c>
      <c r="E15" s="33">
        <f>C37*'E Balans VL '!I15/100/3.6*1000000</f>
        <v>2766.607703552801</v>
      </c>
      <c r="F15" s="33">
        <f>C37*'E Balans VL '!L15/100/3.6*1000000+C37*'E Balans VL '!N15/100/3.6*1000000</f>
        <v>11657.904411171159</v>
      </c>
      <c r="G15" s="34"/>
      <c r="H15" s="33"/>
      <c r="I15" s="33"/>
      <c r="J15" s="40">
        <f>C37*'E Balans VL '!D15/100/3.6*1000000+C37*'E Balans VL '!E15/100/3.6*1000000</f>
        <v>127.10562381369013</v>
      </c>
      <c r="K15" s="33"/>
      <c r="L15" s="33"/>
      <c r="M15" s="33"/>
      <c r="N15" s="33">
        <f>C37*'E Balans VL '!Y15/100/3.6*1000000</f>
        <v>9732.4479578349528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132729.62697898233</v>
      </c>
      <c r="C18" s="21">
        <f>C5+C16</f>
        <v>0</v>
      </c>
      <c r="D18" s="21">
        <f>MAX((D5+D16),0)</f>
        <v>180494.20320751946</v>
      </c>
      <c r="E18" s="21">
        <f>MAX((E5+E16),0)</f>
        <v>19860.168301688482</v>
      </c>
      <c r="F18" s="21">
        <f>MAX((F5+F16),0)</f>
        <v>75577.223428589248</v>
      </c>
      <c r="G18" s="21"/>
      <c r="H18" s="21"/>
      <c r="I18" s="21"/>
      <c r="J18" s="21">
        <f>MAX((J5+J16),0)</f>
        <v>129.32109762090278</v>
      </c>
      <c r="K18" s="21"/>
      <c r="L18" s="21">
        <f>MAX((L5+L16),0)</f>
        <v>0</v>
      </c>
      <c r="M18" s="21"/>
      <c r="N18" s="21">
        <f>MAX((N5+N16),0)</f>
        <v>36378.23710030863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0.20760509653424286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27555.347021925671</v>
      </c>
      <c r="C22" s="23">
        <f ca="1">C18*C20</f>
        <v>0</v>
      </c>
      <c r="D22" s="23">
        <f>D18*D20</f>
        <v>36459.829047918931</v>
      </c>
      <c r="E22" s="23">
        <f>E18*E20</f>
        <v>4508.2582044832852</v>
      </c>
      <c r="F22" s="23">
        <f>F18*F20</f>
        <v>20179.118655433329</v>
      </c>
      <c r="G22" s="23"/>
      <c r="H22" s="23"/>
      <c r="I22" s="23"/>
      <c r="J22" s="23">
        <f>J18*J20</f>
        <v>45.779668557799582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1121.3562826813102</v>
      </c>
      <c r="C30" s="39">
        <f>IF(ISERROR(B30*3.6/1000000/'E Balans VL '!Z18*100),0,B30*3.6/1000000/'E Balans VL '!Z18*100)</f>
        <v>0.11033859569818109</v>
      </c>
      <c r="D30" s="239" t="s">
        <v>692</v>
      </c>
    </row>
    <row r="31" spans="1:18">
      <c r="A31" s="6" t="s">
        <v>33</v>
      </c>
      <c r="B31" s="37">
        <f>IF( ISERROR(IND_ander_ele_kWh/1000),0,IND_ander_ele_kWh/1000)</f>
        <v>58003.785225855798</v>
      </c>
      <c r="C31" s="39">
        <f>IF(ISERROR(B31*3.6/1000000/'E Balans VL '!Z19*100),0,B31*3.6/1000000/'E Balans VL '!Z19*100)</f>
        <v>2.5260185774223265</v>
      </c>
      <c r="D31" s="239" t="s">
        <v>692</v>
      </c>
    </row>
    <row r="32" spans="1:18">
      <c r="A32" s="173" t="s">
        <v>41</v>
      </c>
      <c r="B32" s="37">
        <f>IF( ISERROR(IND_voed_ele_kWh/1000),0,IND_voed_ele_kWh/1000)</f>
        <v>16462.023988770201</v>
      </c>
      <c r="C32" s="39">
        <f>IF(ISERROR(B32*3.6/1000000/'E Balans VL '!Z20*100),0,B32*3.6/1000000/'E Balans VL '!Z20*100)</f>
        <v>3.1234316436563003</v>
      </c>
      <c r="D32" s="239" t="s">
        <v>692</v>
      </c>
    </row>
    <row r="33" spans="1:5">
      <c r="A33" s="173" t="s">
        <v>40</v>
      </c>
      <c r="B33" s="37">
        <f>IF( ISERROR(IND_textiel_ele_kWh/1000),0,IND_textiel_ele_kWh/1000)</f>
        <v>5718.7218400882202</v>
      </c>
      <c r="C33" s="39">
        <f>IF(ISERROR(B33*3.6/1000000/'E Balans VL '!Z21*100),0,B33*3.6/1000000/'E Balans VL '!Z21*100)</f>
        <v>0.32651001597022344</v>
      </c>
      <c r="D33" s="239" t="s">
        <v>692</v>
      </c>
    </row>
    <row r="34" spans="1:5">
      <c r="A34" s="173" t="s">
        <v>37</v>
      </c>
      <c r="B34" s="37">
        <f>IF( ISERROR(IND_min_ele_kWh/1000),0,IND_min_ele_kWh/1000)</f>
        <v>363.22417632922799</v>
      </c>
      <c r="C34" s="39">
        <f>IF(ISERROR(B34*3.6/1000000/'E Balans VL '!Z22*100),0,B34*3.6/1000000/'E Balans VL '!Z22*100)</f>
        <v>5.107296657538056E-2</v>
      </c>
      <c r="D34" s="239" t="s">
        <v>692</v>
      </c>
    </row>
    <row r="35" spans="1:5">
      <c r="A35" s="173" t="s">
        <v>39</v>
      </c>
      <c r="B35" s="37">
        <f>IF( ISERROR(IND_papier_ele_kWh/1000),0,IND_papier_ele_kWh/1000)</f>
        <v>1315.51973311648</v>
      </c>
      <c r="C35" s="39">
        <f>IF(ISERROR(B35*3.6/1000000/'E Balans VL '!Z22*100),0,B35*3.6/1000000/'E Balans VL '!Z22*100)</f>
        <v>0.18497528451358505</v>
      </c>
      <c r="D35" s="239" t="s">
        <v>692</v>
      </c>
    </row>
    <row r="36" spans="1:5">
      <c r="A36" s="173" t="s">
        <v>34</v>
      </c>
      <c r="B36" s="37">
        <f>IF( ISERROR(IND_chemie_ele_kWh/1000),0,IND_chemie_ele_kWh/1000)</f>
        <v>153.69444310920301</v>
      </c>
      <c r="C36" s="39">
        <f>IF(ISERROR(B36*3.6/1000000/'E Balans VL '!Z24*100),0,B36*3.6/1000000/'E Balans VL '!Z24*100)</f>
        <v>4.4791102304339034E-3</v>
      </c>
      <c r="D36" s="239" t="s">
        <v>692</v>
      </c>
    </row>
    <row r="37" spans="1:5">
      <c r="A37" s="173" t="s">
        <v>270</v>
      </c>
      <c r="B37" s="37">
        <f>IF( ISERROR(IND_rest_ele_kWh/1000),0,IND_rest_ele_kWh/1000)</f>
        <v>49591.301289031901</v>
      </c>
      <c r="C37" s="39">
        <f>IF(ISERROR(B37*3.6/1000000/'E Balans VL '!Z15*100),0,B37*3.6/1000000/'E Balans VL '!Z15*100)</f>
        <v>0.38216188710540228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11518.429628287267</v>
      </c>
      <c r="C5" s="17">
        <f>'Eigen informatie GS &amp; warmtenet'!B60</f>
        <v>0</v>
      </c>
      <c r="D5" s="30">
        <f>IF(ISERROR(SUM(LB_lb_gas_kWh,LB_rest_gas_kWh,onbekend_gas_kWh)/1000),0,SUM(LB_lb_gas_kWh,LB_rest_gas_kWh,onbekend_gas_kWh)/1000)*0.902</f>
        <v>5524.2646132141608</v>
      </c>
      <c r="E5" s="17">
        <f>B17*'E Balans VL '!I25/3.6*1000000/100</f>
        <v>145.14705207080488</v>
      </c>
      <c r="F5" s="17">
        <f>B17*('E Balans VL '!L25/3.6*1000000+'E Balans VL '!N25/3.6*1000000)/100</f>
        <v>39741.467756630991</v>
      </c>
      <c r="G5" s="18"/>
      <c r="H5" s="17"/>
      <c r="I5" s="17"/>
      <c r="J5" s="17">
        <f>('E Balans VL '!D25+'E Balans VL '!E25)/3.6*1000000*landbouw!B17/100</f>
        <v>1732.2408792075835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11518.429628287267</v>
      </c>
      <c r="C8" s="21">
        <f>C5+C6</f>
        <v>0</v>
      </c>
      <c r="D8" s="21">
        <f>MAX((D5+D6),0)</f>
        <v>5524.2646132141608</v>
      </c>
      <c r="E8" s="21">
        <f>MAX((E5+E6),0)</f>
        <v>145.14705207080488</v>
      </c>
      <c r="F8" s="21">
        <f>MAX((F5+F6),0)</f>
        <v>39741.467756630991</v>
      </c>
      <c r="G8" s="21"/>
      <c r="H8" s="21"/>
      <c r="I8" s="21"/>
      <c r="J8" s="21">
        <f>MAX((J5+J6),0)</f>
        <v>1732.2408792075835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0.20760509653424286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2391.2846949034611</v>
      </c>
      <c r="C12" s="23">
        <f ca="1">C8*C10</f>
        <v>0</v>
      </c>
      <c r="D12" s="23">
        <f>D8*D10</f>
        <v>1115.9014518692607</v>
      </c>
      <c r="E12" s="23">
        <f>E8*E10</f>
        <v>32.948380820072707</v>
      </c>
      <c r="F12" s="23">
        <f>F8*F10</f>
        <v>10610.971891020476</v>
      </c>
      <c r="G12" s="23"/>
      <c r="H12" s="23"/>
      <c r="I12" s="23"/>
      <c r="J12" s="23">
        <f>J8*J10</f>
        <v>613.21327123948447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1.606457893317309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1394.1285179498991</v>
      </c>
      <c r="C26" s="249">
        <f>B26*'GWP N2O_CH4'!B5</f>
        <v>29276.698876947881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943.76541369541417</v>
      </c>
      <c r="C27" s="249">
        <f>B27*'GWP N2O_CH4'!B5</f>
        <v>19819.073687603697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21.074767512383946</v>
      </c>
      <c r="C28" s="249">
        <f>B28*'GWP N2O_CH4'!B4</f>
        <v>6533.1779288390235</v>
      </c>
      <c r="D28" s="50"/>
    </row>
    <row r="29" spans="1:4">
      <c r="A29" s="41" t="s">
        <v>277</v>
      </c>
      <c r="B29" s="249">
        <f>B34*'ha_N2O bodem landbouw'!B4</f>
        <v>30.337086824870539</v>
      </c>
      <c r="C29" s="249">
        <f>B29*'GWP N2O_CH4'!B4</f>
        <v>9404.4969157098676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7.5748674435380118E-3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1.894576492697723E-5</v>
      </c>
      <c r="C5" s="448" t="s">
        <v>211</v>
      </c>
      <c r="D5" s="433">
        <f>SUM(D6:D11)</f>
        <v>3.0830423959216259E-5</v>
      </c>
      <c r="E5" s="433">
        <f>SUM(E6:E11)</f>
        <v>9.4568111323956126E-4</v>
      </c>
      <c r="F5" s="446" t="s">
        <v>211</v>
      </c>
      <c r="G5" s="433">
        <f>SUM(G6:G11)</f>
        <v>0.27439577523700448</v>
      </c>
      <c r="H5" s="433">
        <f>SUM(H6:H11)</f>
        <v>4.6185631058430335E-2</v>
      </c>
      <c r="I5" s="448" t="s">
        <v>211</v>
      </c>
      <c r="J5" s="448" t="s">
        <v>211</v>
      </c>
      <c r="K5" s="448" t="s">
        <v>211</v>
      </c>
      <c r="L5" s="448" t="s">
        <v>211</v>
      </c>
      <c r="M5" s="433">
        <f>SUM(M6:M11)</f>
        <v>1.4490596358285779E-2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1.5332118306675937E-5</v>
      </c>
      <c r="C6" s="949"/>
      <c r="D6" s="949">
        <f>vkm_2011_GW_PW*SUMIFS(TableVerdeelsleutelVkm[CNG],TableVerdeelsleutelVkm[Voertuigtype],"Lichte voertuigen")*SUMIFS(TableECFTransport[EnergieConsumptieFactor (PJ per km)],TableECFTransport[Index],CONCATENATE($A6,"_CNG_CNG"))</f>
        <v>2.1713278187372308E-5</v>
      </c>
      <c r="E6" s="949">
        <f>vkm_2011_GW_PW*SUMIFS(TableVerdeelsleutelVkm[LPG],TableVerdeelsleutelVkm[Voertuigtype],"Lichte voertuigen")*SUMIFS(TableECFTransport[EnergieConsumptieFactor (PJ per km)],TableECFTransport[Index],CONCATENATE($A6,"_LPG_LPG"))</f>
        <v>6.8194258586643181E-4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0.12256375565884087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3.2841944550611082E-2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7.0310504413693391E-3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9.090773285362154E-2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3.2298575064016366E-5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4.1023782805535442E-3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3.6136466203012948E-6</v>
      </c>
      <c r="C8" s="949"/>
      <c r="D8" s="436">
        <f>vkm_2011_NGW_PW*SUMIFS(TableVerdeelsleutelVkm[CNG],TableVerdeelsleutelVkm[Voertuigtype],"Lichte voertuigen")*SUMIFS(TableECFTransport[EnergieConsumptieFactor (PJ per km)],TableECFTransport[Index],CONCATENATE($A8,"_CNG_CNG"))</f>
        <v>9.1171457718439528E-6</v>
      </c>
      <c r="E8" s="436">
        <f>vkm_2011_NGW_PW*SUMIFS(TableVerdeelsleutelVkm[LPG],TableVerdeelsleutelVkm[Voertuigtype],"Lichte voertuigen")*SUMIFS(TableECFTransport[EnergieConsumptieFactor (PJ per km)],TableECFTransport[Index],CONCATENATE($A8,"_LPG_LPG"))</f>
        <v>2.637385273731295E-4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4.4706237861347843E-2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1.3305935305099697E-2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2.6253125726363978E-3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1.6218048863194216E-2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5.4526276555402285E-6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7.3185506372649728E-4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5.2627124797158968</v>
      </c>
      <c r="C14" s="21"/>
      <c r="D14" s="21">
        <f t="shared" ref="D14:M14" si="0">((D5)*10^9/3600)+D12</f>
        <v>8.5640066553378507</v>
      </c>
      <c r="E14" s="21">
        <f t="shared" si="0"/>
        <v>262.68919812210032</v>
      </c>
      <c r="F14" s="21"/>
      <c r="G14" s="21">
        <f t="shared" si="0"/>
        <v>76221.048676945677</v>
      </c>
      <c r="H14" s="21">
        <f t="shared" si="0"/>
        <v>12829.341960675094</v>
      </c>
      <c r="I14" s="21"/>
      <c r="J14" s="21"/>
      <c r="K14" s="21"/>
      <c r="L14" s="21"/>
      <c r="M14" s="21">
        <f t="shared" si="0"/>
        <v>4025.1656550793832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0.20760509653424286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1.0925659323833834</v>
      </c>
      <c r="C18" s="23"/>
      <c r="D18" s="23">
        <f t="shared" ref="D18:M18" si="1">D14*D16</f>
        <v>1.729929344378246</v>
      </c>
      <c r="E18" s="23">
        <f t="shared" si="1"/>
        <v>59.630447973716777</v>
      </c>
      <c r="F18" s="23"/>
      <c r="G18" s="23">
        <f t="shared" si="1"/>
        <v>20351.019996744497</v>
      </c>
      <c r="H18" s="23">
        <f t="shared" si="1"/>
        <v>3194.5061482080982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4.3876731866899863E-3</v>
      </c>
      <c r="H50" s="323">
        <f t="shared" si="2"/>
        <v>0</v>
      </c>
      <c r="I50" s="323">
        <f t="shared" si="2"/>
        <v>0</v>
      </c>
      <c r="J50" s="323">
        <f t="shared" si="2"/>
        <v>0</v>
      </c>
      <c r="K50" s="323">
        <f t="shared" si="2"/>
        <v>0</v>
      </c>
      <c r="L50" s="323">
        <f t="shared" si="2"/>
        <v>0</v>
      </c>
      <c r="M50" s="323">
        <f t="shared" si="2"/>
        <v>1.9513055849381406E-4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4.3876731866899863E-3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1.9513055849381406E-4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1218.798107413885</v>
      </c>
      <c r="H54" s="21">
        <f t="shared" si="3"/>
        <v>0</v>
      </c>
      <c r="I54" s="21">
        <f t="shared" si="3"/>
        <v>0</v>
      </c>
      <c r="J54" s="21">
        <f t="shared" si="3"/>
        <v>0</v>
      </c>
      <c r="K54" s="21">
        <f t="shared" si="3"/>
        <v>0</v>
      </c>
      <c r="L54" s="21">
        <f t="shared" si="3"/>
        <v>0</v>
      </c>
      <c r="M54" s="21">
        <f t="shared" si="3"/>
        <v>54.202932914948349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0.20760509653424286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325.41909467950728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12941.945511913404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12941.945511913404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2019-01-02T18:04:25Z</dcterms:modified>
</cp:coreProperties>
</file>