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C42" i="22"/>
  <c r="D10" i="48" l="1"/>
  <c r="H14" i="15" l="1"/>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O88"/>
  <c r="N88"/>
  <c r="B8" s="1"/>
  <c r="M88"/>
  <c r="W60"/>
  <c r="V60"/>
  <c r="U60"/>
  <c r="T60"/>
  <c r="S60"/>
  <c r="R60"/>
  <c r="Q60"/>
  <c r="P60"/>
  <c r="D6" i="17" s="1"/>
  <c r="O60" i="18"/>
  <c r="C6" i="17" s="1"/>
  <c r="N60" i="18"/>
  <c r="M60"/>
  <c r="W59"/>
  <c r="V59"/>
  <c r="U59"/>
  <c r="T59"/>
  <c r="S59"/>
  <c r="F13" i="15" s="1"/>
  <c r="R59" i="18"/>
  <c r="Q59"/>
  <c r="P59"/>
  <c r="O59"/>
  <c r="N59"/>
  <c r="M59"/>
  <c r="W58"/>
  <c r="V58"/>
  <c r="U58"/>
  <c r="T58"/>
  <c r="S58"/>
  <c r="F16" i="16" s="1"/>
  <c r="R58" i="18"/>
  <c r="Q58"/>
  <c r="P58"/>
  <c r="O5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I79" i="14" s="1"/>
  <c r="G17" i="18"/>
  <c r="F17"/>
  <c r="G79" i="14" s="1"/>
  <c r="E17" i="18"/>
  <c r="D17"/>
  <c r="E79" i="14" s="1"/>
  <c r="C17" i="18"/>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8" i="14"/>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B13" i="15" l="1"/>
  <c r="F6" i="17"/>
  <c r="F8" s="1"/>
  <c r="G22" i="14" s="1"/>
  <c r="D16" i="16"/>
  <c r="C13" i="15"/>
  <c r="C16" s="1"/>
  <c r="D10" i="14" s="1"/>
  <c r="L6" i="17"/>
  <c r="L5" s="1"/>
  <c r="D8"/>
  <c r="D12" s="1"/>
  <c r="E48" i="14" s="1"/>
  <c r="B8" i="9"/>
  <c r="B6" i="48" s="1"/>
  <c r="Q6" s="1"/>
  <c r="I14" i="15"/>
  <c r="I16" s="1"/>
  <c r="J10" i="14" s="1"/>
  <c r="B13" i="16"/>
  <c r="C35"/>
  <c r="E9" i="14"/>
  <c r="D14" i="15"/>
  <c r="P18" i="16"/>
  <c r="P22" s="1"/>
  <c r="Q39" i="14" s="1"/>
  <c r="L16" i="16"/>
  <c r="L18" s="1"/>
  <c r="N6" i="17"/>
  <c r="N5" s="1"/>
  <c r="J8"/>
  <c r="K22" i="14" s="1"/>
  <c r="N16" i="16"/>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L10" i="14"/>
  <c r="K5" i="48"/>
  <c r="K22" s="1"/>
  <c r="C17" i="14"/>
  <c r="B13" i="48"/>
  <c r="E17" i="14"/>
  <c r="D13" i="48"/>
  <c r="D30" s="1"/>
  <c r="D31" i="20"/>
  <c r="E43" i="14" s="1"/>
  <c r="E18"/>
  <c r="O80"/>
  <c r="L4" i="48"/>
  <c r="L22" i="16"/>
  <c r="M39" i="14" s="1"/>
  <c r="G19" i="18"/>
  <c r="K19"/>
  <c r="G9" i="14"/>
  <c r="M4" i="48"/>
  <c r="F11"/>
  <c r="F28" s="1"/>
  <c r="K19" i="19"/>
  <c r="L35" i="14" s="1"/>
  <c r="I19" i="19"/>
  <c r="J35" i="14" s="1"/>
  <c r="E31" i="20"/>
  <c r="F43" i="14" s="1"/>
  <c r="L12" i="13"/>
  <c r="M37" i="14" s="1"/>
  <c r="E8" i="16"/>
  <c r="B16" i="18"/>
  <c r="B78" i="14" s="1"/>
  <c r="F17"/>
  <c r="E13" i="48"/>
  <c r="K20" i="15"/>
  <c r="L36" i="14" s="1"/>
  <c r="L9"/>
  <c r="C64"/>
  <c r="K11" i="48"/>
  <c r="K28" s="1"/>
  <c r="D11"/>
  <c r="D28" s="1"/>
  <c r="F19" i="19"/>
  <c r="G35" i="14" s="1"/>
  <c r="L19" i="19"/>
  <c r="M35" i="14" s="1"/>
  <c r="M12" i="13"/>
  <c r="N37" i="14" s="1"/>
  <c r="B7" i="18"/>
  <c r="B67" i="14" s="1"/>
  <c r="C80"/>
  <c r="C78" i="22"/>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E22" i="14"/>
  <c r="J9" i="16"/>
  <c r="B7" i="48"/>
  <c r="C22" i="14"/>
  <c r="C65"/>
  <c r="B65"/>
  <c r="F6" i="15"/>
  <c r="F8"/>
  <c r="N10" i="16"/>
  <c r="E14"/>
  <c r="H15" i="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E14" s="1"/>
  <c r="D5"/>
  <c r="D14" s="1"/>
  <c r="B5"/>
  <c r="B14" s="1"/>
  <c r="P11" i="48"/>
  <c r="P28" s="1"/>
  <c r="H5"/>
  <c r="O11"/>
  <c r="P9" i="14"/>
  <c r="M5" i="48"/>
  <c r="G28"/>
  <c r="C11" i="14"/>
  <c r="B4" i="48"/>
  <c r="E30"/>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12" i="17"/>
  <c r="K48" i="14" s="1"/>
  <c r="P24" i="48"/>
  <c r="E5" i="17"/>
  <c r="C8"/>
  <c r="G24" i="48"/>
  <c r="I24"/>
  <c r="G81" i="14"/>
  <c r="D79"/>
  <c r="H79"/>
  <c r="H81" s="1"/>
  <c r="L79"/>
  <c r="L81" s="1"/>
  <c r="F79"/>
  <c r="J79"/>
  <c r="E68"/>
  <c r="E69" s="1"/>
  <c r="I68"/>
  <c r="M68"/>
  <c r="M69" s="1"/>
  <c r="D19" i="18"/>
  <c r="L19"/>
  <c r="B68" i="14"/>
  <c r="G68"/>
  <c r="G69" s="1"/>
  <c r="E81"/>
  <c r="M81"/>
  <c r="F19" i="18"/>
  <c r="D11" i="14"/>
  <c r="C4" i="48"/>
  <c r="M17" i="18"/>
  <c r="M18"/>
  <c r="J7" i="48" l="1"/>
  <c r="J24" s="1"/>
  <c r="I5"/>
  <c r="I22" s="1"/>
  <c r="I20" i="15"/>
  <c r="J36" i="14" s="1"/>
  <c r="J41" s="1"/>
  <c r="J53" s="1"/>
  <c r="J15"/>
  <c r="H13" i="48"/>
  <c r="H30" s="1"/>
  <c r="H12" i="22"/>
  <c r="O18" i="16"/>
  <c r="P13" i="14" s="1"/>
  <c r="B36" i="13"/>
  <c r="N8" i="17"/>
  <c r="N12" s="1"/>
  <c r="O48" i="14" s="1"/>
  <c r="E8" i="17"/>
  <c r="F22" i="14" s="1"/>
  <c r="G31" i="20"/>
  <c r="H43" i="14" s="1"/>
  <c r="G12" i="22"/>
  <c r="L8" i="17"/>
  <c r="L12" s="1"/>
  <c r="M48" i="14" s="1"/>
  <c r="D16" i="15"/>
  <c r="D20" s="1"/>
  <c r="B34" i="13"/>
  <c r="B46" s="1"/>
  <c r="E5" s="1"/>
  <c r="E8" s="1"/>
  <c r="E12" s="1"/>
  <c r="F37" i="14" s="1"/>
  <c r="B35" i="13"/>
  <c r="D18" i="16"/>
  <c r="D22" s="1"/>
  <c r="E39" i="14" s="1"/>
  <c r="M51" i="22"/>
  <c r="M50" s="1"/>
  <c r="M54" s="1"/>
  <c r="G51"/>
  <c r="G50" s="1"/>
  <c r="G54" s="1"/>
  <c r="H18" i="14" s="1"/>
  <c r="B9" i="48"/>
  <c r="E100" i="18"/>
  <c r="E7" s="1"/>
  <c r="F67" i="14" s="1"/>
  <c r="F69" s="1"/>
  <c r="F7" i="48"/>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I7" s="1"/>
  <c r="H9"/>
  <c r="I69" i="14"/>
  <c r="B100" i="18"/>
  <c r="C7" s="1"/>
  <c r="D67" i="14" s="1"/>
  <c r="D69" s="1"/>
  <c r="L7" i="48"/>
  <c r="L24" s="1"/>
  <c r="L21"/>
  <c r="M22"/>
  <c r="N41" i="14"/>
  <c r="M21" i="48"/>
  <c r="I17" i="14"/>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G14" s="1"/>
  <c r="H5"/>
  <c r="E5" i="15"/>
  <c r="O20"/>
  <c r="P36" i="14" s="1"/>
  <c r="P10"/>
  <c r="P15" s="1"/>
  <c r="P23" s="1"/>
  <c r="P20" i="15"/>
  <c r="Q36" i="14" s="1"/>
  <c r="Q41" s="1"/>
  <c r="Q53" s="1"/>
  <c r="Q10"/>
  <c r="Q15" s="1"/>
  <c r="Q23" s="1"/>
  <c r="J5" i="15"/>
  <c r="F4" i="48"/>
  <c r="F21" s="1"/>
  <c r="B69" i="14"/>
  <c r="B4" i="6" s="1"/>
  <c r="J23" i="14"/>
  <c r="F5" i="15"/>
  <c r="F16" s="1"/>
  <c r="B5"/>
  <c r="B16" s="1"/>
  <c r="B5" i="16"/>
  <c r="B18" s="1"/>
  <c r="C13" i="14" s="1"/>
  <c r="N5" i="15"/>
  <c r="N16" s="1"/>
  <c r="F12" i="13"/>
  <c r="G37" i="14" s="1"/>
  <c r="P5" i="48"/>
  <c r="P22" s="1"/>
  <c r="P31" s="1"/>
  <c r="F13" i="16"/>
  <c r="E13"/>
  <c r="N13"/>
  <c r="J13"/>
  <c r="B47" i="13"/>
  <c r="N12" i="16"/>
  <c r="J12"/>
  <c r="F12"/>
  <c r="E12"/>
  <c r="Q11" i="48"/>
  <c r="O5"/>
  <c r="R9" i="14"/>
  <c r="O28" i="48"/>
  <c r="H22"/>
  <c r="K31"/>
  <c r="B48" i="13"/>
  <c r="C48" s="1"/>
  <c r="N5" s="1"/>
  <c r="N8" s="1"/>
  <c r="N4" i="48" s="1"/>
  <c r="N21" s="1"/>
  <c r="M25"/>
  <c r="M24"/>
  <c r="I31"/>
  <c r="C50" i="13"/>
  <c r="J5" s="1"/>
  <c r="J8" s="1"/>
  <c r="C5" i="48"/>
  <c r="E13" i="14" l="1"/>
  <c r="E7" i="48"/>
  <c r="E24" s="1"/>
  <c r="E12" i="17"/>
  <c r="F48" i="14" s="1"/>
  <c r="I14" i="48"/>
  <c r="N7"/>
  <c r="N24" s="1"/>
  <c r="H14" i="22"/>
  <c r="M22" i="14"/>
  <c r="E16" i="15"/>
  <c r="E20" s="1"/>
  <c r="F36" i="14" s="1"/>
  <c r="D8" i="48"/>
  <c r="D25" s="1"/>
  <c r="O22" i="14"/>
  <c r="R22" s="1"/>
  <c r="O22" i="16"/>
  <c r="P39" i="14" s="1"/>
  <c r="P41" s="1"/>
  <c r="P53" s="1"/>
  <c r="P55" s="1"/>
  <c r="J16" i="15"/>
  <c r="K10" i="14" s="1"/>
  <c r="O8" i="48"/>
  <c r="O25" s="1"/>
  <c r="M10"/>
  <c r="M27" s="1"/>
  <c r="M58" i="22"/>
  <c r="N44" i="14" s="1"/>
  <c r="N1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8" i="14"/>
  <c r="R17"/>
  <c r="Q13" i="48"/>
  <c r="I19" i="14"/>
  <c r="I20" s="1"/>
  <c r="I23" s="1"/>
  <c r="M18" i="22"/>
  <c r="N45" i="14" s="1"/>
  <c r="M9" i="48"/>
  <c r="N19" i="14"/>
  <c r="E5" i="48"/>
  <c r="E22" s="1"/>
  <c r="P14"/>
  <c r="F10" i="14"/>
  <c r="B8" i="48"/>
  <c r="J5"/>
  <c r="J22" s="1"/>
  <c r="J55" i="14"/>
  <c r="L55"/>
  <c r="E36"/>
  <c r="E41" s="1"/>
  <c r="N20" i="15"/>
  <c r="O36" i="14" s="1"/>
  <c r="O10"/>
  <c r="L5" i="48"/>
  <c r="L22" s="1"/>
  <c r="L31" s="1"/>
  <c r="M10" i="14"/>
  <c r="M15" s="1"/>
  <c r="F20" i="15"/>
  <c r="G36" i="14" s="1"/>
  <c r="G10"/>
  <c r="C10"/>
  <c r="B5" i="48"/>
  <c r="D23" i="14"/>
  <c r="B20" i="6" s="1"/>
  <c r="B22" s="1"/>
  <c r="Q55" i="14"/>
  <c r="N5" i="16"/>
  <c r="F5" i="48"/>
  <c r="F22" s="1"/>
  <c r="E5" i="16"/>
  <c r="J5"/>
  <c r="C35" i="13"/>
  <c r="F5" i="16"/>
  <c r="C36" i="13"/>
  <c r="O22" i="48"/>
  <c r="O31" s="1"/>
  <c r="N12" i="13"/>
  <c r="O37" i="14" s="1"/>
  <c r="O11"/>
  <c r="C38" i="13"/>
  <c r="C39"/>
  <c r="C32"/>
  <c r="C34"/>
  <c r="Q7" i="48"/>
  <c r="E4"/>
  <c r="E21" s="1"/>
  <c r="F11" i="14"/>
  <c r="J4" i="48"/>
  <c r="J12" i="13"/>
  <c r="K37" i="14" s="1"/>
  <c r="K11"/>
  <c r="N5" i="48"/>
  <c r="L20" i="15"/>
  <c r="D31" i="48" l="1"/>
  <c r="J20" i="15"/>
  <c r="K36" i="14" s="1"/>
  <c r="N46"/>
  <c r="N53" s="1"/>
  <c r="J9" i="18"/>
  <c r="M7"/>
  <c r="M9" s="1"/>
  <c r="M16"/>
  <c r="M19" s="1"/>
  <c r="F18" i="16"/>
  <c r="G13" i="14" s="1"/>
  <c r="G15" s="1"/>
  <c r="G23" s="1"/>
  <c r="E18" i="16"/>
  <c r="E8" i="48" s="1"/>
  <c r="N18" i="16"/>
  <c r="N8" i="48" s="1"/>
  <c r="J18" i="16"/>
  <c r="J22" s="1"/>
  <c r="K39" i="14" s="1"/>
  <c r="K41" s="1"/>
  <c r="K53" s="1"/>
  <c r="O14" i="48"/>
  <c r="N20" i="14"/>
  <c r="N23" s="1"/>
  <c r="G18" i="22"/>
  <c r="H45" i="14" s="1"/>
  <c r="H46" s="1"/>
  <c r="H53" s="1"/>
  <c r="I19" i="18"/>
  <c r="J19"/>
  <c r="K78" i="14"/>
  <c r="K81" s="1"/>
  <c r="I81"/>
  <c r="O78"/>
  <c r="O81" s="1"/>
  <c r="B17" i="6" s="1"/>
  <c r="E23" i="14"/>
  <c r="D14" i="48"/>
  <c r="B14"/>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10" i="13"/>
  <c r="C16" i="48" s="1"/>
  <c r="C18" i="15"/>
  <c r="C20" s="1"/>
  <c r="D36" i="14" s="1"/>
  <c r="C20" i="16"/>
  <c r="C22" s="1"/>
  <c r="D39" i="14" s="1"/>
  <c r="C17" i="19"/>
  <c r="C19" s="1"/>
  <c r="D35" i="14" s="1"/>
  <c r="C29" i="20"/>
  <c r="C17" i="49"/>
  <c r="C56" i="22"/>
  <c r="C58" s="1"/>
  <c r="D44" i="14" s="1"/>
  <c r="D46" s="1"/>
  <c r="Q5" i="48"/>
  <c r="F22" i="16"/>
  <c r="G39" i="14" s="1"/>
  <c r="G41" s="1"/>
  <c r="F8" i="48"/>
  <c r="Q4"/>
  <c r="N22"/>
  <c r="R11" i="14"/>
  <c r="J21" i="48"/>
  <c r="R10" i="14"/>
  <c r="O13" l="1"/>
  <c r="O15" s="1"/>
  <c r="N55"/>
  <c r="N22" i="16"/>
  <c r="O39" i="14" s="1"/>
  <c r="O41" s="1"/>
  <c r="O53" s="1"/>
  <c r="K13"/>
  <c r="K15" s="1"/>
  <c r="K23" s="1"/>
  <c r="N25" i="48"/>
  <c r="N14"/>
  <c r="E25"/>
  <c r="E31" s="1"/>
  <c r="E14"/>
  <c r="N31"/>
  <c r="H55" i="14"/>
  <c r="E55"/>
  <c r="C78"/>
  <c r="C81" s="1"/>
  <c r="J14" i="48"/>
  <c r="J31"/>
  <c r="Q8"/>
  <c r="Q14" s="1"/>
  <c r="R19" i="14"/>
  <c r="R20" s="1"/>
  <c r="H14" i="48"/>
  <c r="G31"/>
  <c r="H26"/>
  <c r="H31" s="1"/>
  <c r="F55" i="14"/>
  <c r="G53"/>
  <c r="G55" s="1"/>
  <c r="O69" s="1"/>
  <c r="B9" i="6" s="1"/>
  <c r="B12" s="1"/>
  <c r="M53" i="14"/>
  <c r="M55" s="1"/>
  <c r="C12" i="13"/>
  <c r="D37" i="14" s="1"/>
  <c r="D41" s="1"/>
  <c r="C24" i="48"/>
  <c r="C28"/>
  <c r="C22"/>
  <c r="C25"/>
  <c r="C21"/>
  <c r="K55" i="14"/>
  <c r="F25" i="48"/>
  <c r="F31" s="1"/>
  <c r="F14"/>
  <c r="R13" i="14" l="1"/>
  <c r="R15" s="1"/>
  <c r="R23" s="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<sst xmlns="http://schemas.openxmlformats.org/spreadsheetml/2006/main" count="2151" uniqueCount="878">
  <si>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</si>
  <si>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</si>
  <si>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</si>
  <si>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</si>
  <si>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</si>
  <si>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</si>
  <si>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</si>
  <si>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</si>
  <si>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</si>
  <si>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</si>
  <si>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</si>
  <si>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</si>
  <si>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</si>
  <si>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</si>
  <si>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</si>
  <si>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</si>
  <si>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</si>
  <si>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</si>
  <si>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</si>
  <si>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</si>
  <si>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</si>
  <si>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</si>
  <si>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</si>
  <si>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</si>
  <si>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</si>
  <si>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</si>
  <si>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</si>
  <si>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</si>
  <si>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</si>
  <si>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</si>
  <si>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</si>
  <si>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</si>
  <si>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</si>
  <si>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</si>
  <si>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</si>
  <si>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</si>
  <si>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</si>
  <si>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</si>
  <si>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</si>
  <si>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</si>
  <si>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</si>
  <si>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</si>
  <si>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</si>
  <si>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</si>
  <si>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</si>
  <si>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</si>
  <si>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</si>
  <si>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</si>
  <si>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</si>
  <si>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</si>
  <si>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</si>
  <si>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</si>
  <si>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</si>
  <si>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</si>
  <si>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</si>
  <si>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</si>
  <si>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</si>
  <si>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</si>
  <si>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</si>
  <si>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</si>
  <si>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</si>
  <si>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</si>
  <si>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</si>
  <si>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</si>
  <si>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</si>
  <si>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</si>
  <si>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</si>
  <si>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</si>
  <si>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</si>
  <si>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</si>
  <si>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</si>
  <si>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</si>
  <si>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</si>
  <si>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</si>
  <si>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</si>
  <si>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</si>
  <si>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</si>
  <si>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</si>
  <si>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</si>
  <si>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</si>
  <si>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</si>
  <si>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</si>
  <si>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</si>
  <si>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</si>
  <si>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</si>
  <si>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</si>
  <si>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</si>
  <si>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</si>
  <si>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</si>
  <si>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</si>
  <si>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</si>
  <si>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</si>
  <si>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</si>
  <si>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</si>
  <si>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</si>
  <si>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</si>
  <si>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</si>
  <si>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</si>
  <si>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</si>
  <si>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</si>
  <si>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</si>
  <si>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</si>
  <si>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</si>
  <si>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</si>
  <si>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</si>
  <si>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</si>
  <si>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</si>
  <si>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</si>
  <si>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</si>
  <si>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</si>
  <si>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</si>
  <si>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</si>
  <si>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</si>
  <si>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</si>
  <si>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</si>
  <si>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</si>
  <si>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</si>
  <si>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</si>
  <si>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</si>
  <si>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</si>
  <si>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</si>
  <si>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</si>
  <si>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</si>
  <si>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</si>
  <si>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</si>
  <si>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</si>
  <si>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</si>
  <si>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</si>
  <si>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</si>
  <si>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</si>
  <si>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</si>
  <si>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</si>
  <si>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</si>
  <si>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</si>
  <si>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</si>
  <si>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</si>
  <si>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</si>
  <si>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</si>
  <si>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</si>
  <si>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</si>
  <si>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</si>
  <si>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</si>
  <si>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</si>
  <si>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</si>
  <si>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</si>
  <si>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</si>
  <si>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</si>
  <si>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</si>
  <si>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</si>
  <si>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</si>
  <si>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</si>
  <si>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</si>
  <si>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</si>
  <si>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</si>
  <si>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</si>
  <si>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</si>
  <si>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</si>
  <si>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</si>
  <si>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</si>
  <si>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</si>
  <si>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</si>
  <si>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</si>
  <si>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</si>
  <si>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</si>
  <si>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</si>
  <si>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</si>
  <si>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</si>
  <si>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</si>
  <si>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</si>
  <si>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</si>
  <si>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</si>
  <si>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</si>
  <si>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</si>
  <si>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</si>
  <si>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</si>
  <si>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</si>
  <si>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</si>
  <si>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</si>
  <si>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</si>
  <si>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</si>
  <si>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</si>
  <si>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</si>
  <si>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</si>
  <si>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</si>
  <si>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</si>
  <si>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</si>
  <si>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</si>
  <si>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</si>
  <si>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</si>
  <si>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</si>
  <si>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</si>
  <si>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</si>
  <si>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</si>
  <si>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</si>
  <si>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</si>
  <si>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</si>
  <si>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</si>
  <si>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</si>
  <si>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</si>
  <si>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</si>
  <si>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</si>
  <si>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</si>
  <si>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</si>
  <si>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</si>
  <si>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</si>
  <si>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</si>
  <si>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</si>
  <si>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</si>
  <si>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</si>
  <si>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</si>
  <si>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</si>
  <si>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</si>
  <si>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</si>
  <si>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</si>
  <si>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</si>
  <si>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</si>
  <si>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</si>
  <si>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</si>
  <si>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</si>
  <si>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</si>
  <si>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</si>
  <si>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</si>
  <si>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</si>
  <si>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</si>
  <si>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</si>
  <si>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</si>
  <si>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</si>
  <si>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</si>
  <si>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</si>
  <si>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</si>
  <si>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</si>
  <si>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</si>
  <si>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</si>
  <si>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</si>
  <si>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</si>
  <si>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</si>
  <si>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</si>
  <si>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</si>
  <si>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</si>
  <si>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</si>
  <si>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</si>
  <si>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</si>
  <si>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</si>
  <si>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</si>
  <si>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</si>
  <si>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</si>
  <si>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</si>
  <si>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</si>
  <si>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</si>
  <si>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</si>
  <si>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</si>
  <si>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</si>
  <si>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</si>
  <si>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</si>
  <si>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</si>
  <si>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</si>
  <si>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</si>
  <si>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</si>
  <si>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</si>
  <si>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</si>
  <si>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</si>
  <si>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</si>
  <si>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</si>
  <si>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</si>
  <si>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</si>
  <si>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</si>
  <si>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</si>
  <si>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</si>
  <si>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</si>
  <si>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</si>
  <si>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</si>
  <si>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</si>
  <si>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</si>
  <si>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</si>
  <si>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</si>
  <si>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</si>
  <si>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</si>
  <si>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</si>
  <si>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</si>
  <si>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</si>
  <si>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</si>
  <si>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</si>
  <si>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</si>
  <si>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</si>
  <si>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</si>
  <si>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</si>
  <si>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</si>
  <si>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</si>
  <si>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</si>
  <si>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</si>
  <si>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</si>
  <si>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</si>
  <si>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</si>
  <si>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</si>
  <si>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</si>
  <si>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</si>
  <si>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</si>
  <si>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</si>
  <si>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</si>
  <si>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</si>
  <si>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</si>
  <si>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</si>
  <si>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</si>
  <si>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</si>
  <si>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</si>
  <si>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</si>
  <si>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</si>
  <si>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</si>
  <si>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</si>
  <si>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</si>
  <si>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</si>
  <si>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</si>
  <si>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</si>
  <si>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</si>
  <si>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</si>
  <si>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</si>
  <si>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</si>
  <si>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</si>
  <si>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</si>
  <si>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</si>
  <si>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</si>
  <si>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</si>
  <si>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</si>
  <si>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</si>
  <si>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</si>
  <si>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</si>
  <si>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</si>
  <si>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</si>
  <si>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</si>
  <si>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</si>
  <si>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</si>
  <si>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</si>
  <si>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</si>
  <si>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</si>
  <si>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</si>
  <si>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</si>
  <si>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</si>
  <si>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</si>
  <si>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</si>
  <si>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</si>
  <si>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</si>
  <si>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</si>
  <si>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</si>
  <si>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</si>
  <si>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</si>
  <si>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</si>
  <si>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</si>
  <si>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</si>
  <si>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</si>
  <si>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</si>
  <si>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</si>
  <si>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</si>
  <si>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</si>
  <si>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</si>
  <si>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</si>
  <si>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</si>
  <si>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</si>
  <si>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</si>
  <si>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</si>
  <si>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</si>
  <si>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</si>
  <si>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</si>
  <si>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</si>
  <si>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</si>
  <si>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</si>
  <si>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</si>
  <si>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</si>
  <si>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</si>
  <si>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</si>
  <si>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</si>
  <si>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</si>
  <si>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</si>
  <si>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</si>
  <si>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</si>
  <si>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</si>
  <si>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</si>
  <si>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</si>
  <si>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</si>
  <si>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</si>
  <si>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</si>
  <si>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</si>
  <si>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</si>
  <si>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</si>
  <si>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</si>
  <si>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</si>
  <si>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</si>
  <si>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</si>
  <si>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</si>
  <si>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</si>
  <si>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</si>
  <si>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</si>
  <si>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</si>
  <si>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</si>
  <si>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</si>
  <si>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</si>
  <si>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</si>
  <si>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</si>
  <si>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</si>
  <si>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</si>
  <si>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</si>
  <si>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</si>
  <si>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</si>
  <si>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</si>
  <si>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</si>
  <si>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</si>
  <si>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</si>
  <si>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</si>
  <si>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</si>
  <si>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</si>
  <si>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</si>
  <si>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</si>
  <si>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</si>
  <si>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</si>
  <si>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</si>
  <si>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</si>
  <si>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</si>
  <si>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</si>
  <si>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</si>
  <si>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</si>
  <si>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</si>
  <si>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</si>
  <si>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</si>
  <si>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</si>
  <si>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</si>
  <si>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</si>
  <si>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</si>
  <si>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</si>
  <si>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</si>
  <si>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</si>
  <si>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</si>
  <si>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</si>
  <si>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</si>
  <si>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</si>
  <si>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</si>
  <si>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</si>
  <si>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</si>
  <si>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</si>
  <si>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</si>
  <si>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</si>
  <si>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</si>
  <si>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</si>
  <si>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</si>
  <si>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</si>
  <si>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</si>
  <si>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</si>
  <si>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</si>
  <si>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</si>
  <si>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</si>
  <si>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</si>
  <si>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</si>
  <si>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</si>
  <si>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</si>
  <si>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</si>
  <si>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</si>
  <si>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</si>
  <si>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</si>
  <si>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</si>
  <si>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</si>
  <si>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</si>
  <si>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</si>
  <si>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</si>
  <si>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</si>
  <si>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</si>
  <si>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</si>
  <si>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</si>
  <si>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</si>
  <si>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</si>
  <si>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</si>
  <si>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</si>
  <si>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</si>
  <si>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</si>
  <si>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</si>
  <si>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</si>
  <si>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</si>
  <si>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</si>
  <si>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</si>
  <si>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</si>
  <si>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</si>
  <si>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</si>
  <si>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</si>
  <si>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</si>
  <si>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</si>
  <si>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</si>
  <si>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</si>
  <si>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</si>
  <si>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</si>
  <si>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</si>
  <si>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</si>
  <si>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</si>
  <si>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</si>
  <si>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</si>
  <si>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</si>
  <si>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</si>
  <si>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</si>
  <si>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</si>
  <si>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</si>
  <si>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</si>
  <si>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</si>
  <si>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</si>
  <si>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</si>
  <si>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</si>
  <si>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</si>
  <si>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</si>
  <si>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</si>
  <si>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</si>
  <si>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</si>
  <si>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</si>
  <si>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</si>
  <si>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</si>
  <si>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</si>
  <si>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</si>
  <si>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</si>
  <si>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</si>
  <si>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</si>
  <si>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</si>
  <si>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</si>
  <si>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</si>
  <si>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</si>
  <si>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</si>
  <si>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</si>
  <si>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</si>
  <si>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</si>
  <si>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</si>
  <si>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</si>
  <si>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</si>
  <si>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</si>
  <si>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</si>
  <si>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</si>
  <si>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</si>
  <si>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</si>
  <si>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</si>
  <si>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</si>
  <si>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</si>
  <si>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</si>
  <si>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</si>
  <si>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</si>
  <si>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</si>
  <si>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</si>
  <si>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</si>
  <si>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</si>
  <si>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</si>
  <si>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</si>
  <si>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</si>
  <si>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</si>
  <si>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</si>
  <si>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</si>
  <si>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</si>
  <si>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</si>
  <si>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</si>
  <si>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</si>
  <si>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</si>
  <si>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</si>
  <si>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</si>
  <si>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</si>
  <si>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</si>
  <si>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</si>
  <si>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</si>
  <si>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</si>
  <si>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</si>
  <si>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</si>
  <si>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</si>
  <si>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</si>
  <si>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</si>
  <si>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</si>
  <si>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</si>
  <si>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</si>
  <si>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</si>
  <si>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</si>
  <si>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</si>
  <si>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</si>
  <si>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</si>
  <si>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</si>
  <si>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</si>
  <si>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</si>
  <si>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</si>
  <si>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</si>
  <si>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</si>
  <si>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</si>
  <si>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</si>
  <si>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</si>
  <si>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</si>
  <si>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</si>
  <si>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</si>
  <si>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</si>
  <si>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</si>
  <si>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</si>
  <si>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</si>
  <si>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</si>
  <si>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</si>
  <si>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</si>
  <si>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</si>
  <si>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</si>
  <si>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</si>
  <si>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</si>
  <si>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</si>
  <si>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</si>
  <si>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</si>
  <si>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</si>
  <si>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</si>
  <si>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</si>
  <si>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</si>
  <si>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</si>
  <si>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</si>
  <si>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</si>
  <si>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</si>
  <si>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</si>
  <si>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</si>
  <si>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</si>
  <si>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</si>
  <si>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</si>
  <si>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</si>
  <si>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</si>
  <si>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</si>
  <si>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</si>
  <si>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</si>
  <si>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</si>
  <si>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</si>
  <si>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</si>
  <si>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</si>
  <si>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</si>
  <si>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</si>
  <si>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</si>
  <si>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</si>
  <si>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</si>
  <si>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</si>
  <si>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</si>
  <si>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</si>
  <si>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</si>
  <si>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</si>
  <si>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</si>
  <si>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</si>
  <si>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</si>
  <si>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</si>
  <si>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</si>
  <si>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</si>
  <si>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</si>
  <si>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</si>
  <si>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</si>
  <si>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</si>
  <si>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</si>
  <si>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</si>
  <si>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</si>
  <si>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</si>
  <si>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</si>
  <si>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</si>
  <si>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</si>
  <si>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</si>
  <si>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</si>
  <si>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</si>
  <si>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</si>
  <si>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</si>
  <si>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</si>
  <si>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</si>
  <si>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</si>
  <si>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</si>
  <si>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</si>
  <si>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</si>
  <si>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</si>
  <si>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</si>
  <si>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</si>
  <si>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</si>
  <si>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</si>
  <si>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</si>
  <si>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</si>
  <si>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</si>
  <si>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</si>
  <si>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</si>
  <si>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</si>
  <si>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</si>
  <si>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</si>
  <si>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</si>
  <si>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</si>
  <si>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</si>
  <si>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</si>
  <si>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</si>
  <si>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</si>
  <si>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</si>
  <si>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</si>
  <si>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</si>
  <si>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</si>
  <si>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</si>
  <si>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</si>
  <si>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</si>
  <si>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</si>
  <si>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</si>
  <si>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</si>
  <si>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</si>
  <si>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</si>
  <si>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</si>
  <si>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</si>
  <si>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</si>
  <si>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</si>
  <si>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</si>
  <si>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</si>
  <si>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</si>
  <si>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</si>
  <si>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</si>
  <si>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</si>
  <si>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</si>
  <si>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</si>
  <si>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</si>
  <si>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</si>
  <si>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</si>
  <si>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</si>
  <si>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</si>
  <si>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</si>
  <si>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</si>
  <si>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</si>
  <si>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</si>
  <si>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</si>
  <si>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</si>
  <si>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</si>
  <si>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</si>
  <si>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</si>
  <si>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</si>
  <si>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</si>
  <si>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</si>
  <si>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</si>
  <si>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</si>
  <si>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</si>
  <si>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</si>
  <si>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</si>
  <si>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</si>
  <si>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</si>
  <si>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</si>
  <si>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</si>
  <si>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</si>
  <si>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</si>
  <si>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</si>
  <si>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</si>
  <si>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</si>
  <si>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</si>
  <si>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</si>
  <si>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</si>
  <si>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</si>
  <si>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</si>
  <si>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</si>
  <si>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</si>
  <si>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</si>
  <si>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</si>
  <si>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</si>
  <si>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</si>
  <si>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</si>
  <si>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</si>
  <si>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</si>
  <si>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</si>
  <si>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</si>
  <si>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</si>
  <si>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</si>
  <si>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</si>
  <si>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</si>
  <si>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</si>
  <si>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</si>
  <si>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</si>
  <si>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</si>
  <si>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</si>
  <si>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</si>
  <si>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</si>
  <si>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</si>
  <si>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</si>
  <si>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</si>
  <si>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</si>
  <si>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</si>
  <si>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</si>
  <si>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</si>
  <si>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</si>
  <si>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</si>
  <si>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</si>
  <si>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</si>
  <si>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</si>
  <si>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</si>
  <si>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</si>
  <si>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</si>
  <si>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</si>
  <si>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</si>
  <si>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</si>
  <si>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</si>
  <si>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</si>
  <si>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</si>
  <si>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</si>
  <si>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</si>
  <si>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</si>
  <si>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</si>
  <si>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</si>
  <si>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</si>
  <si>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</si>
  <si>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</si>
  <si>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</si>
  <si>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</si>
  <si>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</si>
  <si>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</si>
  <si>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</si>
  <si>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</si>
  <si>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</si>
  <si>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</si>
  <si>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</si>
  <si>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</si>
  <si>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</si>
  <si>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</si>
  <si>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</si>
  <si>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</si>
  <si>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</si>
  <si>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</si>
  <si>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</si>
  <si>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</si>
  <si>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</si>
  <si>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</si>
  <si>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</si>
  <si>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</si>
  <si>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</si>
  <si>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</si>
  <si>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</si>
  <si>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</si>
  <si>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</si>
  <si>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</si>
  <si>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</si>
  <si>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</si>
  <si>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</si>
  <si>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</si>
  <si>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</si>
  <si>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</si>
  <si>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</si>
  <si>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</si>
  <si>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</si>
  <si>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</si>
  <si>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</si>
  <si>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</si>
  <si>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</si>
  <si>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</si>
  <si>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</si>
  <si>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</si>
  <si>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</si>
  <si>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</si>
  <si>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</si>
  <si>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</si>
  <si>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</si>
  <si>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</si>
  <si>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</si>
  <si>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</si>
  <si>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</si>
  <si>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</si>
  <si>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</si>
  <si>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</si>
  <si>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</si>
  <si>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</si>
  <si>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</si>
  <si>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</si>
  <si>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</si>
  <si>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</si>
  <si>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</si>
  <si>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</si>
  <si>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</si>
  <si>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</si>
  <si>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</si>
  <si>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</si>
  <si>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</si>
  <si>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</si>
  <si>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</si>
  <si>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</si>
  <si>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</si>
  <si>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</si>
  <si>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</si>
  <si>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</si>
  <si>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</si>
  <si>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</si>
  <si>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</si>
  <si>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</si>
  <si>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versie: 2013_06</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</si>
  <si>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</si>
  <si>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</si>
  <si>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</si>
  <si>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37007</t>
  </si>
  <si>
    <t>MEULEBEKE</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</si>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</sst>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 #,##0.00_ ;_ * \-#,##0.00_ ;_ * &quot;-&quot;??_ ;_ @_ "/>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0.00\ _€_-;\-* #,##0.00\ _€_-;_-* &quot;-&quot;??\ _€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9"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4"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4"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4"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85">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4" fillId="12" borderId="28" xfId="0" applyNumberFormat="1" applyFont="1" applyFill="1" applyBorder="1" applyAlignment="1">
      <alignment horizontal="center" vertical="center" wrapText="1"/>
    </xf>
    <xf numFmtId="3" fontId="25" fillId="0" borderId="0" xfId="0" applyNumberFormat="1" applyFont="1"/>
    <xf numFmtId="3" fontId="124" fillId="12" borderId="195" xfId="0" applyNumberFormat="1" applyFont="1" applyFill="1" applyBorder="1" applyAlignment="1">
      <alignment horizontal="center" vertical="center" wrapText="1"/>
    </xf>
    <xf numFmtId="3" fontId="25" fillId="0" borderId="199" xfId="0" applyNumberFormat="1" applyFont="1" applyBorder="1" applyAlignment="1">
      <alignment horizontal="left" vertical="top"/>
    </xf>
    <xf numFmtId="3" fontId="26" fillId="60" borderId="200" xfId="0" applyNumberFormat="1" applyFont="1" applyFill="1" applyBorder="1" applyAlignment="1">
      <alignment horizontal="left" vertical="top" wrapText="1"/>
    </xf>
    <xf numFmtId="3" fontId="0" fillId="0" borderId="200" xfId="0" applyNumberFormat="1" applyFill="1" applyBorder="1" applyAlignment="1">
      <alignment horizontal="left" vertical="top" wrapText="1"/>
    </xf>
    <xf numFmtId="3" fontId="0" fillId="61" borderId="200" xfId="0" applyNumberFormat="1" applyFill="1" applyBorder="1" applyAlignment="1">
      <alignment horizontal="left" vertical="top" wrapText="1"/>
    </xf>
    <xf numFmtId="3" fontId="26" fillId="62" borderId="200" xfId="0" applyNumberFormat="1" applyFont="1" applyFill="1" applyBorder="1" applyAlignment="1">
      <alignment horizontal="left" vertical="top" wrapText="1"/>
    </xf>
    <xf numFmtId="3" fontId="26" fillId="0" borderId="200" xfId="0" applyNumberFormat="1" applyFont="1" applyFill="1" applyBorder="1" applyAlignment="1">
      <alignment horizontal="left" vertical="top" wrapText="1"/>
    </xf>
    <xf numFmtId="172" fontId="0" fillId="60" borderId="200" xfId="0" applyFill="1" applyBorder="1" applyAlignment="1">
      <alignment horizontal="left" vertical="top" wrapText="1"/>
    </xf>
    <xf numFmtId="172" fontId="0" fillId="60" borderId="201" xfId="0" applyFill="1" applyBorder="1" applyAlignment="1">
      <alignment horizontal="left" vertical="top" wrapText="1"/>
    </xf>
    <xf numFmtId="3" fontId="0" fillId="60" borderId="202" xfId="0" applyNumberFormat="1" applyFill="1" applyBorder="1" applyAlignment="1">
      <alignment horizontal="left" vertical="top" wrapText="1"/>
    </xf>
    <xf numFmtId="3" fontId="25" fillId="0" borderId="196" xfId="0" applyNumberFormat="1" applyFont="1" applyBorder="1" applyAlignment="1">
      <alignment horizontal="left" vertical="top"/>
    </xf>
    <xf numFmtId="3" fontId="26" fillId="60" borderId="197" xfId="0" applyNumberFormat="1" applyFont="1" applyFill="1" applyBorder="1" applyAlignment="1">
      <alignment horizontal="left" vertical="top" wrapText="1"/>
    </xf>
    <xf numFmtId="3" fontId="0" fillId="60" borderId="197" xfId="0" applyNumberFormat="1" applyFill="1" applyBorder="1" applyAlignment="1">
      <alignment horizontal="left" vertical="top" wrapText="1"/>
    </xf>
    <xf numFmtId="3" fontId="26" fillId="62" borderId="197" xfId="0" applyNumberFormat="1" applyFont="1" applyFill="1" applyBorder="1" applyAlignment="1">
      <alignment horizontal="left" vertical="top" wrapText="1"/>
    </xf>
    <xf numFmtId="3" fontId="26" fillId="0" borderId="197" xfId="0" applyNumberFormat="1" applyFont="1" applyFill="1" applyBorder="1" applyAlignment="1">
      <alignment horizontal="left" vertical="top" wrapText="1"/>
    </xf>
    <xf numFmtId="172" fontId="0" fillId="60" borderId="197" xfId="0" applyFill="1" applyBorder="1" applyAlignment="1">
      <alignment horizontal="left" vertical="top" wrapText="1"/>
    </xf>
    <xf numFmtId="172" fontId="0" fillId="60" borderId="198" xfId="0" applyFill="1" applyBorder="1" applyAlignment="1">
      <alignment horizontal="left" vertical="top" wrapText="1"/>
    </xf>
    <xf numFmtId="3" fontId="0" fillId="60" borderId="203" xfId="0" applyNumberFormat="1" applyFill="1" applyBorder="1" applyAlignment="1">
      <alignment horizontal="left" vertical="top" wrapText="1"/>
    </xf>
    <xf numFmtId="3" fontId="26" fillId="61" borderId="197" xfId="0" applyNumberFormat="1" applyFont="1" applyFill="1" applyBorder="1" applyAlignment="1">
      <alignment horizontal="left" vertical="top" wrapText="1"/>
    </xf>
    <xf numFmtId="3" fontId="0" fillId="0" borderId="197" xfId="0" applyNumberFormat="1" applyFill="1" applyBorder="1" applyAlignment="1">
      <alignment horizontal="left" vertical="top" wrapText="1"/>
    </xf>
    <xf numFmtId="3" fontId="26" fillId="0" borderId="197" xfId="0" applyNumberFormat="1" applyFont="1" applyBorder="1" applyAlignment="1">
      <alignment horizontal="left" vertical="top" wrapText="1"/>
    </xf>
    <xf numFmtId="3" fontId="26" fillId="0" borderId="198" xfId="0" applyNumberFormat="1" applyFont="1" applyBorder="1" applyAlignment="1">
      <alignment horizontal="left" vertical="top" wrapText="1"/>
    </xf>
    <xf numFmtId="3" fontId="0" fillId="61" borderId="203" xfId="0" applyNumberFormat="1" applyFill="1" applyBorder="1" applyAlignment="1">
      <alignment horizontal="left" vertical="top" wrapText="1"/>
    </xf>
    <xf numFmtId="3" fontId="0" fillId="0" borderId="197" xfId="0" applyNumberFormat="1" applyBorder="1" applyAlignment="1">
      <alignment horizontal="left" vertical="top" wrapText="1"/>
    </xf>
    <xf numFmtId="3" fontId="0" fillId="0" borderId="198" xfId="0" applyNumberFormat="1" applyFill="1" applyBorder="1" applyAlignment="1">
      <alignment horizontal="left" vertical="top" wrapText="1"/>
    </xf>
    <xf numFmtId="3" fontId="125" fillId="0" borderId="196" xfId="0" applyNumberFormat="1" applyFont="1" applyBorder="1" applyAlignment="1">
      <alignment horizontal="left" vertical="top"/>
    </xf>
    <xf numFmtId="3" fontId="26" fillId="0" borderId="198"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97" xfId="0" applyNumberFormat="1" applyBorder="1"/>
    <xf numFmtId="3" fontId="0" fillId="0" borderId="198" xfId="0" applyNumberFormat="1" applyBorder="1"/>
    <xf numFmtId="3" fontId="25" fillId="0" borderId="10" xfId="0" applyNumberFormat="1" applyFont="1" applyBorder="1" applyAlignment="1">
      <alignment horizontal="left" vertical="top"/>
    </xf>
    <xf numFmtId="3" fontId="0" fillId="0" borderId="204" xfId="0" applyNumberFormat="1" applyBorder="1"/>
    <xf numFmtId="3" fontId="0" fillId="0" borderId="205" xfId="0" applyNumberFormat="1" applyBorder="1"/>
    <xf numFmtId="3" fontId="126" fillId="0" borderId="27" xfId="0" applyNumberFormat="1" applyFont="1" applyBorder="1"/>
    <xf numFmtId="3" fontId="9" fillId="0" borderId="206" xfId="0" applyNumberFormat="1" applyFont="1" applyBorder="1"/>
    <xf numFmtId="3" fontId="9" fillId="0" borderId="195" xfId="0" applyNumberFormat="1" applyFont="1" applyBorder="1"/>
    <xf numFmtId="3" fontId="0" fillId="0" borderId="207"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6" fillId="0" borderId="0" xfId="0" applyNumberFormat="1" applyFont="1" applyAlignment="1">
      <alignment vertical="top"/>
    </xf>
    <xf numFmtId="3" fontId="0" fillId="61" borderId="0" xfId="0" applyNumberFormat="1" applyFont="1" applyFill="1" applyAlignment="1">
      <alignment horizontal="left" vertical="top" wrapText="1"/>
    </xf>
    <xf numFmtId="3" fontId="127"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209" xfId="0" applyNumberFormat="1" applyBorder="1"/>
    <xf numFmtId="3" fontId="0" fillId="0" borderId="208"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1" fontId="60" fillId="0" borderId="0" xfId="0" applyNumberFormat="1" applyFont="1" applyFill="1" applyBorder="1" applyAlignment="1">
      <alignment horizontal="left" vertical="center" wrapText="1"/>
    </xf>
    <xf numFmtId="1" fontId="61" fillId="12" borderId="42" xfId="0" applyNumberFormat="1" applyFont="1" applyFill="1" applyBorder="1" applyAlignment="1">
      <alignment horizontal="center" vertical="center" wrapText="1"/>
    </xf>
    <xf numFmtId="1" fontId="61" fillId="12" borderId="31"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2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64"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4" fillId="12" borderId="195" xfId="0" applyNumberFormat="1" applyFont="1" applyFill="1" applyBorder="1" applyAlignment="1">
      <alignment horizontal="center" vertical="center" wrapText="1"/>
    </xf>
    <xf numFmtId="3" fontId="124" fillId="12" borderId="14" xfId="0" applyNumberFormat="1" applyFont="1" applyFill="1" applyBorder="1" applyAlignment="1">
      <alignment horizontal="center" vertical="top" wrapText="1"/>
    </xf>
    <xf numFmtId="3" fontId="124" fillId="12" borderId="28" xfId="0" applyNumberFormat="1" applyFont="1" applyFill="1" applyBorder="1" applyAlignment="1">
      <alignment horizontal="center" vertical="top" wrapText="1"/>
    </xf>
    <xf numFmtId="3" fontId="124" fillId="12" borderId="8" xfId="0" applyNumberFormat="1" applyFont="1" applyFill="1" applyBorder="1" applyAlignment="1">
      <alignment horizontal="center" vertical="center" wrapText="1"/>
    </xf>
    <xf numFmtId="3" fontId="124" fillId="12" borderId="11" xfId="0" applyNumberFormat="1" applyFont="1" applyFill="1" applyBorder="1" applyAlignment="1">
      <alignment horizontal="center" vertical="center" wrapText="1"/>
    </xf>
    <xf numFmtId="3" fontId="124" fillId="12" borderId="9" xfId="0" applyNumberFormat="1" applyFont="1" applyFill="1" applyBorder="1" applyAlignment="1">
      <alignment horizontal="center" vertical="center" wrapText="1"/>
    </xf>
    <xf numFmtId="3" fontId="124" fillId="12" borderId="13" xfId="0" applyNumberFormat="1" applyFont="1" applyFill="1" applyBorder="1" applyAlignment="1">
      <alignment horizontal="center" vertical="center" wrapText="1"/>
    </xf>
    <xf numFmtId="3" fontId="124" fillId="12" borderId="10" xfId="0" applyNumberFormat="1" applyFont="1" applyFill="1" applyBorder="1" applyAlignment="1">
      <alignment horizontal="center" vertical="center" wrapText="1"/>
    </xf>
    <xf numFmtId="3" fontId="124"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0" borderId="0" xfId="0"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64"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77" xfId="0" applyNumberFormat="1" applyFont="1" applyFill="1" applyBorder="1" applyAlignment="1" applyProtection="1">
      <alignment horizontal="center" vertical="center" wrapText="1"/>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210" xfId="225" applyFont="1" applyBorder="1"/>
    <xf numFmtId="0" fontId="0" fillId="0" borderId="210"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102879.50971303003</c:v>
                </c:pt>
                <c:pt idx="1">
                  <c:v>30624.88784219739</c:v>
                </c:pt>
                <c:pt idx="2">
                  <c:v>834.32100000000003</c:v>
                </c:pt>
                <c:pt idx="3">
                  <c:v>18691.491998108584</c:v>
                </c:pt>
                <c:pt idx="4">
                  <c:v>63573.534312174816</c:v>
                </c:pt>
                <c:pt idx="5">
                  <c:v>44585.285361961134</c:v>
                </c:pt>
                <c:pt idx="6">
                  <c:v>411.41198365318917</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axId val="182291840"/>
        <c:axId val="182293632"/>
      </c:barChart>
      <c:catAx>
        <c:axId val="182291840"/>
        <c:scaling>
          <c:orientation val="minMax"/>
        </c:scaling>
        <c:axPos val="b"/>
        <c:numFmt formatCode="General" sourceLinked="0"/>
        <c:tickLblPos val="nextTo"/>
        <c:crossAx val="182293632"/>
        <c:crosses val="autoZero"/>
        <c:auto val="1"/>
        <c:lblAlgn val="ctr"/>
        <c:lblOffset val="100"/>
      </c:catAx>
      <c:valAx>
        <c:axId val="182293632"/>
        <c:scaling>
          <c:orientation val="minMax"/>
        </c:scaling>
        <c:axPos val="l"/>
        <c:majorGridlines/>
        <c:numFmt formatCode="#,##0" sourceLinked="1"/>
        <c:tickLblPos val="nextTo"/>
        <c:crossAx val="18229184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102879.50971303003</c:v>
                </c:pt>
                <c:pt idx="1">
                  <c:v>30624.88784219739</c:v>
                </c:pt>
                <c:pt idx="2">
                  <c:v>834.32100000000003</c:v>
                </c:pt>
                <c:pt idx="3">
                  <c:v>18691.491998108584</c:v>
                </c:pt>
                <c:pt idx="4">
                  <c:v>63573.534312174816</c:v>
                </c:pt>
                <c:pt idx="5">
                  <c:v>44585.285361961134</c:v>
                </c:pt>
                <c:pt idx="6">
                  <c:v>411.41198365318917</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20100.920489982</c:v>
                </c:pt>
                <c:pt idx="1">
                  <c:v>6097.1042821709352</c:v>
                </c:pt>
                <c:pt idx="2">
                  <c:v>167.44881897822523</c:v>
                </c:pt>
                <c:pt idx="3">
                  <c:v>4701.7610585617858</c:v>
                </c:pt>
                <c:pt idx="4">
                  <c:v>12585.998848452457</c:v>
                </c:pt>
                <c:pt idx="5">
                  <c:v>11267.916289111123</c:v>
                </c:pt>
                <c:pt idx="6">
                  <c:v>105.16983963040417</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axId val="182388992"/>
        <c:axId val="182419456"/>
      </c:barChart>
      <c:catAx>
        <c:axId val="182388992"/>
        <c:scaling>
          <c:orientation val="minMax"/>
        </c:scaling>
        <c:axPos val="b"/>
        <c:numFmt formatCode="General" sourceLinked="0"/>
        <c:tickLblPos val="nextTo"/>
        <c:crossAx val="182419456"/>
        <c:crosses val="autoZero"/>
        <c:auto val="1"/>
        <c:lblAlgn val="ctr"/>
        <c:lblOffset val="100"/>
      </c:catAx>
      <c:valAx>
        <c:axId val="182419456"/>
        <c:scaling>
          <c:orientation val="minMax"/>
        </c:scaling>
        <c:axPos val="l"/>
        <c:majorGridlines/>
        <c:numFmt formatCode="#,##0" sourceLinked="1"/>
        <c:tickLblPos val="nextTo"/>
        <c:crossAx val="18238899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20100.920489982</c:v>
                </c:pt>
                <c:pt idx="1">
                  <c:v>6097.1042821709352</c:v>
                </c:pt>
                <c:pt idx="2">
                  <c:v>167.44881897822523</c:v>
                </c:pt>
                <c:pt idx="3">
                  <c:v>4701.7610585617858</c:v>
                </c:pt>
                <c:pt idx="4">
                  <c:v>12585.998848452457</c:v>
                </c:pt>
                <c:pt idx="5">
                  <c:v>11267.916289111123</c:v>
                </c:pt>
                <c:pt idx="6">
                  <c:v>105.16983963040417</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C7" sqref="C7"/>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867</v>
      </c>
      <c r="B4" s="106"/>
      <c r="C4" s="107"/>
    </row>
    <row r="5" spans="1:7" s="396" customFormat="1" ht="15.75" customHeight="1">
      <c r="A5" s="393" t="s">
        <v>0</v>
      </c>
      <c r="B5" s="394"/>
      <c r="C5" s="395"/>
    </row>
    <row r="6" spans="1:7" s="396" customFormat="1" ht="15" customHeight="1">
      <c r="A6" s="397" t="str">
        <f>txtNIS</f>
        <v>37007</v>
      </c>
      <c r="B6" s="398"/>
      <c r="C6" s="399"/>
    </row>
    <row r="7" spans="1:7" s="396" customFormat="1" ht="15.75" customHeight="1">
      <c r="A7" s="400" t="str">
        <f>txtMunicipality</f>
        <v>MEULEBEKE</v>
      </c>
      <c r="B7" s="398"/>
      <c r="C7" s="399"/>
    </row>
    <row r="8" spans="1:7" ht="15.75" thickBot="1">
      <c r="A8" s="45"/>
      <c r="B8" s="108"/>
      <c r="C8" s="109"/>
    </row>
    <row r="9" spans="1:7" s="389" customFormat="1" ht="15.75" thickBot="1">
      <c r="A9" s="413" t="s">
        <v>357</v>
      </c>
      <c r="B9" s="416"/>
      <c r="C9" s="417"/>
    </row>
    <row r="10" spans="1:7" s="15" customFormat="1" ht="57.75" customHeight="1" thickBot="1">
      <c r="A10" s="1053" t="s">
        <v>675</v>
      </c>
      <c r="B10" s="1054"/>
      <c r="C10" s="1055"/>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56" t="s">
        <v>533</v>
      </c>
      <c r="C16" s="1057"/>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62"/>
      <c r="K10" s="58"/>
    </row>
    <row r="11" spans="1:11" s="43" customFormat="1">
      <c r="A11" s="44" t="s">
        <v>578</v>
      </c>
      <c r="B11" s="47"/>
      <c r="D11" s="143" t="s">
        <v>393</v>
      </c>
      <c r="I11" s="1162"/>
      <c r="K11" s="58"/>
    </row>
    <row r="12" spans="1:11" s="43" customFormat="1">
      <c r="A12" s="44" t="s">
        <v>579</v>
      </c>
      <c r="B12" s="47"/>
      <c r="D12" s="143" t="s">
        <v>393</v>
      </c>
      <c r="I12" s="1162"/>
      <c r="K12" s="58"/>
    </row>
    <row r="13" spans="1:11" s="43" customFormat="1">
      <c r="A13" s="44"/>
      <c r="B13" s="463"/>
      <c r="D13" s="96"/>
      <c r="I13" s="1162"/>
    </row>
    <row r="14" spans="1:11" s="43" customFormat="1">
      <c r="A14" s="306" t="s">
        <v>576</v>
      </c>
      <c r="B14" s="516"/>
      <c r="C14" s="142" t="s">
        <v>182</v>
      </c>
      <c r="D14" s="145" t="s">
        <v>392</v>
      </c>
      <c r="I14" s="1162"/>
    </row>
    <row r="15" spans="1:11" s="43" customFormat="1">
      <c r="A15" s="44" t="s">
        <v>71</v>
      </c>
      <c r="B15" s="47"/>
      <c r="D15" s="143" t="s">
        <v>393</v>
      </c>
      <c r="I15" s="1162"/>
      <c r="J15" s="1162"/>
    </row>
    <row r="16" spans="1:11" s="43" customFormat="1">
      <c r="A16" s="44" t="s">
        <v>540</v>
      </c>
      <c r="B16" s="47"/>
      <c r="D16" s="143" t="s">
        <v>393</v>
      </c>
      <c r="I16" s="1162"/>
      <c r="J16" s="1162"/>
    </row>
    <row r="17" spans="1:11" s="43" customFormat="1">
      <c r="A17" s="44" t="s">
        <v>78</v>
      </c>
      <c r="B17" s="47"/>
      <c r="D17" s="143" t="s">
        <v>393</v>
      </c>
      <c r="I17" s="1162"/>
      <c r="J17" s="1162"/>
    </row>
    <row r="18" spans="1:11" s="43" customFormat="1">
      <c r="A18" s="44" t="s">
        <v>541</v>
      </c>
      <c r="B18" s="47"/>
      <c r="D18" s="143" t="s">
        <v>393</v>
      </c>
      <c r="I18" s="1162"/>
      <c r="J18" s="1162"/>
      <c r="K18" s="58"/>
    </row>
    <row r="19" spans="1:11" s="43" customFormat="1">
      <c r="A19" s="44" t="s">
        <v>77</v>
      </c>
      <c r="B19" s="47"/>
      <c r="D19" s="143" t="s">
        <v>393</v>
      </c>
      <c r="I19" s="1162"/>
      <c r="J19" s="1163"/>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62"/>
      <c r="J35" s="1162"/>
    </row>
    <row r="36" spans="1:11" s="43" customFormat="1">
      <c r="A36" s="451" t="s">
        <v>540</v>
      </c>
      <c r="B36" s="47"/>
      <c r="D36" s="143" t="s">
        <v>393</v>
      </c>
      <c r="I36" s="1162"/>
      <c r="J36" s="1162"/>
    </row>
    <row r="37" spans="1:11" s="43" customFormat="1">
      <c r="A37" s="451" t="s">
        <v>78</v>
      </c>
      <c r="B37" s="47"/>
      <c r="D37" s="143" t="s">
        <v>393</v>
      </c>
      <c r="I37" s="1162"/>
      <c r="J37" s="1162"/>
    </row>
    <row r="38" spans="1:11" s="43" customFormat="1">
      <c r="A38" s="451" t="s">
        <v>541</v>
      </c>
      <c r="B38" s="47"/>
      <c r="D38" s="143" t="s">
        <v>393</v>
      </c>
      <c r="I38" s="1162"/>
      <c r="J38" s="1162"/>
      <c r="K38" s="58"/>
    </row>
    <row r="39" spans="1:11" s="43" customFormat="1">
      <c r="A39" s="451" t="s">
        <v>77</v>
      </c>
      <c r="B39" s="47"/>
      <c r="D39" s="143" t="s">
        <v>393</v>
      </c>
      <c r="I39" s="1162"/>
      <c r="J39" s="1163"/>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37007</v>
      </c>
      <c r="B1" s="1258"/>
      <c r="C1" s="1258"/>
      <c r="D1" s="1258"/>
      <c r="E1" s="1258"/>
      <c r="F1" s="1259"/>
    </row>
    <row r="3" spans="1:6" ht="19.5">
      <c r="A3" s="1260" t="s">
        <v>0</v>
      </c>
    </row>
    <row r="4" spans="1:6" ht="22.5">
      <c r="A4" s="1261" t="s">
        <v>871</v>
      </c>
    </row>
    <row r="5" spans="1:6" ht="22.5">
      <c r="A5" s="1261" t="s">
        <v>872</v>
      </c>
    </row>
    <row r="6" spans="1:6" ht="15.75" thickBot="1"/>
    <row r="7" spans="1:6" ht="20.25" thickBot="1">
      <c r="A7" s="1262" t="s">
        <v>1</v>
      </c>
      <c r="B7" s="336" t="s">
        <v>395</v>
      </c>
      <c r="C7" s="336" t="s">
        <v>651</v>
      </c>
      <c r="D7" s="336"/>
      <c r="E7" s="336"/>
      <c r="F7" s="337"/>
    </row>
    <row r="8" spans="1:6" ht="16.5" thickTop="1" thickBot="1">
      <c r="A8" s="1263" t="s">
        <v>4</v>
      </c>
      <c r="B8" s="1264">
        <v>2013</v>
      </c>
      <c r="C8" s="1264">
        <v>2020</v>
      </c>
      <c r="D8" s="1258"/>
      <c r="E8" s="1258"/>
      <c r="F8" s="1259"/>
    </row>
    <row r="9" spans="1:6">
      <c r="A9" s="1265" t="s">
        <v>2</v>
      </c>
      <c r="B9" s="338">
        <v>4512</v>
      </c>
      <c r="C9" s="338">
        <v>4782</v>
      </c>
      <c r="D9" s="338"/>
      <c r="E9" s="338"/>
      <c r="F9" s="338"/>
    </row>
    <row r="10" spans="1:6">
      <c r="A10" s="339"/>
    </row>
    <row r="11" spans="1:6" ht="15.75" thickBot="1">
      <c r="A11" s="339"/>
    </row>
    <row r="12" spans="1:6" ht="20.25" thickBot="1">
      <c r="A12" s="1262" t="s">
        <v>3</v>
      </c>
      <c r="B12" s="336" t="s">
        <v>395</v>
      </c>
      <c r="C12" s="336" t="s">
        <v>683</v>
      </c>
      <c r="D12" s="336"/>
      <c r="E12" s="336"/>
      <c r="F12" s="340"/>
    </row>
    <row r="13" spans="1:6" ht="16.5" thickTop="1" thickBot="1">
      <c r="A13" s="1266" t="s">
        <v>4</v>
      </c>
      <c r="B13" s="1267" t="s">
        <v>5</v>
      </c>
      <c r="C13" s="1267"/>
      <c r="D13" s="1267"/>
      <c r="E13" s="1267"/>
      <c r="F13" s="1268"/>
    </row>
    <row r="14" spans="1:6">
      <c r="A14" s="1269" t="s">
        <v>873</v>
      </c>
      <c r="B14" s="335">
        <v>1926</v>
      </c>
    </row>
    <row r="15" spans="1:6">
      <c r="A15" s="1269" t="s">
        <v>184</v>
      </c>
      <c r="B15" s="335">
        <v>14</v>
      </c>
    </row>
    <row r="16" spans="1:6">
      <c r="A16" s="1269" t="s">
        <v>6</v>
      </c>
      <c r="B16" s="335">
        <v>353</v>
      </c>
    </row>
    <row r="17" spans="1:6">
      <c r="A17" s="1269" t="s">
        <v>7</v>
      </c>
      <c r="B17" s="335">
        <v>892</v>
      </c>
    </row>
    <row r="18" spans="1:6">
      <c r="A18" s="1269" t="s">
        <v>8</v>
      </c>
      <c r="B18" s="335">
        <v>833</v>
      </c>
    </row>
    <row r="19" spans="1:6">
      <c r="A19" s="1269" t="s">
        <v>9</v>
      </c>
      <c r="B19" s="335">
        <v>822</v>
      </c>
    </row>
    <row r="20" spans="1:6">
      <c r="A20" s="1269" t="s">
        <v>10</v>
      </c>
      <c r="B20" s="335">
        <v>622</v>
      </c>
    </row>
    <row r="21" spans="1:6">
      <c r="A21" s="1269" t="s">
        <v>11</v>
      </c>
      <c r="B21" s="335">
        <v>12910</v>
      </c>
    </row>
    <row r="22" spans="1:6">
      <c r="A22" s="1269" t="s">
        <v>12</v>
      </c>
      <c r="B22" s="335">
        <v>40989</v>
      </c>
    </row>
    <row r="23" spans="1:6">
      <c r="A23" s="1269" t="s">
        <v>13</v>
      </c>
      <c r="B23" s="335">
        <v>428</v>
      </c>
    </row>
    <row r="24" spans="1:6">
      <c r="A24" s="1269" t="s">
        <v>14</v>
      </c>
      <c r="B24" s="335">
        <v>17</v>
      </c>
    </row>
    <row r="25" spans="1:6">
      <c r="A25" s="1269" t="s">
        <v>15</v>
      </c>
      <c r="B25" s="335">
        <v>3248</v>
      </c>
    </row>
    <row r="26" spans="1:6">
      <c r="A26" s="1269" t="s">
        <v>16</v>
      </c>
      <c r="B26" s="335">
        <v>20</v>
      </c>
    </row>
    <row r="27" spans="1:6">
      <c r="A27" s="1269" t="s">
        <v>17</v>
      </c>
      <c r="B27" s="335">
        <v>0</v>
      </c>
    </row>
    <row r="28" spans="1:6" s="341" customFormat="1">
      <c r="A28" s="1270" t="s">
        <v>18</v>
      </c>
      <c r="B28" s="1270">
        <v>116212</v>
      </c>
    </row>
    <row r="29" spans="1:6">
      <c r="A29" s="1270" t="s">
        <v>874</v>
      </c>
      <c r="B29" s="1270">
        <v>36</v>
      </c>
      <c r="C29" s="341"/>
      <c r="D29" s="341"/>
      <c r="E29" s="341"/>
      <c r="F29" s="341"/>
    </row>
    <row r="30" spans="1:6">
      <c r="A30" s="1265" t="s">
        <v>875</v>
      </c>
      <c r="B30" s="1265">
        <v>8</v>
      </c>
      <c r="C30" s="338"/>
      <c r="D30" s="338"/>
      <c r="E30" s="338"/>
      <c r="F30" s="338"/>
    </row>
    <row r="31" spans="1:6" ht="15.75" thickBot="1">
      <c r="A31" s="339"/>
    </row>
    <row r="32" spans="1:6" ht="20.25" thickBot="1">
      <c r="A32" s="1262" t="s">
        <v>19</v>
      </c>
      <c r="B32" s="336" t="s">
        <v>395</v>
      </c>
      <c r="C32" s="336" t="s">
        <v>684</v>
      </c>
      <c r="D32" s="336"/>
      <c r="E32" s="336"/>
      <c r="F32" s="340"/>
    </row>
    <row r="33" spans="1:6" ht="16.5" thickTop="1" thickBot="1">
      <c r="A33" s="1271"/>
      <c r="B33" s="1272"/>
      <c r="C33" s="1272" t="s">
        <v>20</v>
      </c>
      <c r="D33" s="1272"/>
      <c r="E33" s="1272" t="s">
        <v>21</v>
      </c>
      <c r="F33" s="1273"/>
    </row>
    <row r="34" spans="1:6" ht="16.5" thickTop="1" thickBot="1">
      <c r="A34" s="1274" t="s">
        <v>22</v>
      </c>
      <c r="B34" s="1275" t="s">
        <v>23</v>
      </c>
      <c r="C34" s="1275" t="s">
        <v>5</v>
      </c>
      <c r="D34" s="1275" t="s">
        <v>24</v>
      </c>
      <c r="E34" s="1275" t="s">
        <v>5</v>
      </c>
      <c r="F34" s="1276" t="s">
        <v>24</v>
      </c>
    </row>
    <row r="35" spans="1:6">
      <c r="A35" s="1269" t="s">
        <v>25</v>
      </c>
      <c r="B35" s="1269" t="s">
        <v>26</v>
      </c>
      <c r="C35" s="335">
        <v>0</v>
      </c>
      <c r="D35" s="335">
        <v>0</v>
      </c>
      <c r="E35" s="335">
        <v>0</v>
      </c>
      <c r="F35" s="335">
        <v>0</v>
      </c>
    </row>
    <row r="36" spans="1:6">
      <c r="A36" s="1269" t="s">
        <v>25</v>
      </c>
      <c r="B36" s="1269" t="s">
        <v>27</v>
      </c>
      <c r="C36" s="335">
        <v>0</v>
      </c>
      <c r="D36" s="335">
        <v>0</v>
      </c>
      <c r="E36" s="335">
        <v>0</v>
      </c>
      <c r="F36" s="335">
        <v>0</v>
      </c>
    </row>
    <row r="37" spans="1:6">
      <c r="A37" s="1269" t="s">
        <v>25</v>
      </c>
      <c r="B37" s="1269" t="s">
        <v>28</v>
      </c>
      <c r="C37" s="335">
        <v>0</v>
      </c>
      <c r="D37" s="335">
        <v>0</v>
      </c>
      <c r="E37" s="335">
        <v>0</v>
      </c>
      <c r="F37" s="335">
        <v>0</v>
      </c>
    </row>
    <row r="38" spans="1:6">
      <c r="A38" s="1269" t="s">
        <v>25</v>
      </c>
      <c r="B38" s="1269" t="s">
        <v>29</v>
      </c>
      <c r="C38" s="335">
        <v>1</v>
      </c>
      <c r="D38" s="335">
        <v>0</v>
      </c>
      <c r="E38" s="335">
        <v>1</v>
      </c>
      <c r="F38" s="335">
        <v>1784.9875036129999</v>
      </c>
    </row>
    <row r="39" spans="1:6">
      <c r="A39" s="1269" t="s">
        <v>30</v>
      </c>
      <c r="B39" s="1269" t="s">
        <v>31</v>
      </c>
      <c r="C39" s="335">
        <v>2618</v>
      </c>
      <c r="D39" s="335">
        <v>45846099.446749598</v>
      </c>
      <c r="E39" s="335">
        <v>4159</v>
      </c>
      <c r="F39" s="335">
        <v>17436951.4041242</v>
      </c>
    </row>
    <row r="40" spans="1:6">
      <c r="A40" s="1269" t="s">
        <v>30</v>
      </c>
      <c r="B40" s="1269" t="s">
        <v>29</v>
      </c>
      <c r="C40" s="335">
        <v>0</v>
      </c>
      <c r="D40" s="335">
        <v>0</v>
      </c>
      <c r="E40" s="335">
        <v>0</v>
      </c>
      <c r="F40" s="335">
        <v>0</v>
      </c>
    </row>
    <row r="41" spans="1:6">
      <c r="A41" s="1269" t="s">
        <v>32</v>
      </c>
      <c r="B41" s="1269" t="s">
        <v>33</v>
      </c>
      <c r="C41" s="335">
        <v>51</v>
      </c>
      <c r="D41" s="335">
        <v>2259609.8055641898</v>
      </c>
      <c r="E41" s="335">
        <v>148</v>
      </c>
      <c r="F41" s="335">
        <v>3118028.17837705</v>
      </c>
    </row>
    <row r="42" spans="1:6">
      <c r="A42" s="1269" t="s">
        <v>32</v>
      </c>
      <c r="B42" s="1269" t="s">
        <v>34</v>
      </c>
      <c r="C42" s="335">
        <v>0</v>
      </c>
      <c r="D42" s="335">
        <v>0</v>
      </c>
      <c r="E42" s="335">
        <v>0</v>
      </c>
      <c r="F42" s="335">
        <v>0</v>
      </c>
    </row>
    <row r="43" spans="1:6">
      <c r="A43" s="1269" t="s">
        <v>32</v>
      </c>
      <c r="B43" s="1269" t="s">
        <v>35</v>
      </c>
      <c r="C43" s="335">
        <v>0</v>
      </c>
      <c r="D43" s="335">
        <v>0</v>
      </c>
      <c r="E43" s="335">
        <v>0</v>
      </c>
      <c r="F43" s="335">
        <v>0</v>
      </c>
    </row>
    <row r="44" spans="1:6">
      <c r="A44" s="1269" t="s">
        <v>32</v>
      </c>
      <c r="B44" s="1269" t="s">
        <v>36</v>
      </c>
      <c r="C44" s="335">
        <v>0</v>
      </c>
      <c r="D44" s="335">
        <v>0</v>
      </c>
      <c r="E44" s="335">
        <v>10</v>
      </c>
      <c r="F44" s="335">
        <v>160885.68163476299</v>
      </c>
    </row>
    <row r="45" spans="1:6">
      <c r="A45" s="1269" t="s">
        <v>32</v>
      </c>
      <c r="B45" s="1269" t="s">
        <v>37</v>
      </c>
      <c r="C45" s="335">
        <v>0</v>
      </c>
      <c r="D45" s="335">
        <v>0</v>
      </c>
      <c r="E45" s="335">
        <v>0</v>
      </c>
      <c r="F45" s="335">
        <v>0</v>
      </c>
    </row>
    <row r="46" spans="1:6">
      <c r="A46" s="1269" t="s">
        <v>32</v>
      </c>
      <c r="B46" s="1269" t="s">
        <v>38</v>
      </c>
      <c r="C46" s="335">
        <v>0</v>
      </c>
      <c r="D46" s="335">
        <v>0</v>
      </c>
      <c r="E46" s="335">
        <v>0</v>
      </c>
      <c r="F46" s="335">
        <v>0</v>
      </c>
    </row>
    <row r="47" spans="1:6">
      <c r="A47" s="1269" t="s">
        <v>32</v>
      </c>
      <c r="B47" s="1269" t="s">
        <v>39</v>
      </c>
      <c r="C47" s="335">
        <v>3</v>
      </c>
      <c r="D47" s="335">
        <v>38335.785176215999</v>
      </c>
      <c r="E47" s="335">
        <v>7</v>
      </c>
      <c r="F47" s="335">
        <v>30479.8716757496</v>
      </c>
    </row>
    <row r="48" spans="1:6">
      <c r="A48" s="1269" t="s">
        <v>32</v>
      </c>
      <c r="B48" s="1269" t="s">
        <v>29</v>
      </c>
      <c r="C48" s="335">
        <v>27</v>
      </c>
      <c r="D48" s="335">
        <v>28651991.251449</v>
      </c>
      <c r="E48" s="335">
        <v>44</v>
      </c>
      <c r="F48" s="335">
        <v>9199892.8136240393</v>
      </c>
    </row>
    <row r="49" spans="1:6">
      <c r="A49" s="1269" t="s">
        <v>32</v>
      </c>
      <c r="B49" s="1269" t="s">
        <v>40</v>
      </c>
      <c r="C49" s="335">
        <v>0</v>
      </c>
      <c r="D49" s="335">
        <v>0</v>
      </c>
      <c r="E49" s="335">
        <v>5</v>
      </c>
      <c r="F49" s="335">
        <v>11471342.354883401</v>
      </c>
    </row>
    <row r="50" spans="1:6">
      <c r="A50" s="1269" t="s">
        <v>32</v>
      </c>
      <c r="B50" s="1269" t="s">
        <v>41</v>
      </c>
      <c r="C50" s="335">
        <v>8</v>
      </c>
      <c r="D50" s="335">
        <v>691721.72323475301</v>
      </c>
      <c r="E50" s="335">
        <v>18</v>
      </c>
      <c r="F50" s="335">
        <v>701947.31197239296</v>
      </c>
    </row>
    <row r="51" spans="1:6">
      <c r="A51" s="1269" t="s">
        <v>42</v>
      </c>
      <c r="B51" s="1269" t="s">
        <v>43</v>
      </c>
      <c r="C51" s="335">
        <v>3</v>
      </c>
      <c r="D51" s="335">
        <v>29009.1479468863</v>
      </c>
      <c r="E51" s="335">
        <v>134</v>
      </c>
      <c r="F51" s="335">
        <v>3518186.85815557</v>
      </c>
    </row>
    <row r="52" spans="1:6">
      <c r="A52" s="1269" t="s">
        <v>42</v>
      </c>
      <c r="B52" s="1269" t="s">
        <v>29</v>
      </c>
      <c r="C52" s="335">
        <v>4</v>
      </c>
      <c r="D52" s="335">
        <v>47566.5657496192</v>
      </c>
      <c r="E52" s="335">
        <v>9</v>
      </c>
      <c r="F52" s="335">
        <v>244206.641302818</v>
      </c>
    </row>
    <row r="53" spans="1:6">
      <c r="A53" s="1269" t="s">
        <v>44</v>
      </c>
      <c r="B53" s="1269" t="s">
        <v>45</v>
      </c>
      <c r="C53" s="335">
        <v>67</v>
      </c>
      <c r="D53" s="335">
        <v>1403098.53425041</v>
      </c>
      <c r="E53" s="335">
        <v>131</v>
      </c>
      <c r="F53" s="335">
        <v>720944.51118202403</v>
      </c>
    </row>
    <row r="54" spans="1:6">
      <c r="A54" s="1269" t="s">
        <v>46</v>
      </c>
      <c r="B54" s="1269" t="s">
        <v>47</v>
      </c>
      <c r="C54" s="335">
        <v>0</v>
      </c>
      <c r="D54" s="335">
        <v>0</v>
      </c>
      <c r="E54" s="335">
        <v>1</v>
      </c>
      <c r="F54" s="335">
        <v>834321</v>
      </c>
    </row>
    <row r="55" spans="1:6">
      <c r="A55" s="1269" t="s">
        <v>46</v>
      </c>
      <c r="B55" s="1269" t="s">
        <v>29</v>
      </c>
      <c r="C55" s="335">
        <v>0</v>
      </c>
      <c r="D55" s="335">
        <v>0</v>
      </c>
      <c r="E55" s="335">
        <v>0</v>
      </c>
      <c r="F55" s="335">
        <v>0</v>
      </c>
    </row>
    <row r="56" spans="1:6">
      <c r="A56" s="1269" t="s">
        <v>48</v>
      </c>
      <c r="B56" s="1269" t="s">
        <v>29</v>
      </c>
      <c r="C56" s="335">
        <v>0</v>
      </c>
      <c r="D56" s="335">
        <v>0</v>
      </c>
      <c r="E56" s="335">
        <v>0</v>
      </c>
      <c r="F56" s="335">
        <v>0</v>
      </c>
    </row>
    <row r="57" spans="1:6">
      <c r="A57" s="1269" t="s">
        <v>49</v>
      </c>
      <c r="B57" s="1269" t="s">
        <v>50</v>
      </c>
      <c r="C57" s="335">
        <v>25</v>
      </c>
      <c r="D57" s="335">
        <v>564257.33919364796</v>
      </c>
      <c r="E57" s="335">
        <v>70</v>
      </c>
      <c r="F57" s="335">
        <v>1110427.8990042501</v>
      </c>
    </row>
    <row r="58" spans="1:6">
      <c r="A58" s="1269" t="s">
        <v>49</v>
      </c>
      <c r="B58" s="1269" t="s">
        <v>51</v>
      </c>
      <c r="C58" s="335">
        <v>4</v>
      </c>
      <c r="D58" s="335">
        <v>193087.297780402</v>
      </c>
      <c r="E58" s="335">
        <v>18</v>
      </c>
      <c r="F58" s="335">
        <v>141388.04847886399</v>
      </c>
    </row>
    <row r="59" spans="1:6">
      <c r="A59" s="1269" t="s">
        <v>49</v>
      </c>
      <c r="B59" s="1269" t="s">
        <v>52</v>
      </c>
      <c r="C59" s="335">
        <v>42</v>
      </c>
      <c r="D59" s="335">
        <v>1405986.43123343</v>
      </c>
      <c r="E59" s="335">
        <v>147</v>
      </c>
      <c r="F59" s="335">
        <v>3381252.5277449</v>
      </c>
    </row>
    <row r="60" spans="1:6">
      <c r="A60" s="1269" t="s">
        <v>49</v>
      </c>
      <c r="B60" s="1269" t="s">
        <v>53</v>
      </c>
      <c r="C60" s="335">
        <v>27</v>
      </c>
      <c r="D60" s="335">
        <v>849009.83546974405</v>
      </c>
      <c r="E60" s="335">
        <v>48</v>
      </c>
      <c r="F60" s="335">
        <v>792311.00478388299</v>
      </c>
    </row>
    <row r="61" spans="1:6">
      <c r="A61" s="1269" t="s">
        <v>49</v>
      </c>
      <c r="B61" s="1269" t="s">
        <v>54</v>
      </c>
      <c r="C61" s="335">
        <v>58</v>
      </c>
      <c r="D61" s="335">
        <v>3323362.5561720901</v>
      </c>
      <c r="E61" s="335">
        <v>161</v>
      </c>
      <c r="F61" s="335">
        <v>1983314.31082613</v>
      </c>
    </row>
    <row r="62" spans="1:6">
      <c r="A62" s="1269" t="s">
        <v>49</v>
      </c>
      <c r="B62" s="1269" t="s">
        <v>55</v>
      </c>
      <c r="C62" s="335">
        <v>7</v>
      </c>
      <c r="D62" s="335">
        <v>691002.34370186494</v>
      </c>
      <c r="E62" s="335">
        <v>9</v>
      </c>
      <c r="F62" s="335">
        <v>110161.02576242499</v>
      </c>
    </row>
    <row r="63" spans="1:6">
      <c r="A63" s="1269" t="s">
        <v>49</v>
      </c>
      <c r="B63" s="1269" t="s">
        <v>29</v>
      </c>
      <c r="C63" s="335">
        <v>84</v>
      </c>
      <c r="D63" s="335">
        <v>8529697.9085071404</v>
      </c>
      <c r="E63" s="335">
        <v>85</v>
      </c>
      <c r="F63" s="335">
        <v>5172831.2096744804</v>
      </c>
    </row>
    <row r="64" spans="1:6">
      <c r="A64" s="1269" t="s">
        <v>56</v>
      </c>
      <c r="B64" s="1269" t="s">
        <v>57</v>
      </c>
      <c r="C64" s="335">
        <v>0</v>
      </c>
      <c r="D64" s="335">
        <v>0</v>
      </c>
      <c r="E64" s="335">
        <v>0</v>
      </c>
      <c r="F64" s="335">
        <v>0</v>
      </c>
    </row>
    <row r="65" spans="1:6">
      <c r="A65" s="1269" t="s">
        <v>56</v>
      </c>
      <c r="B65" s="1269" t="s">
        <v>29</v>
      </c>
      <c r="C65" s="335">
        <v>1</v>
      </c>
      <c r="D65" s="335">
        <v>14858.2644636308</v>
      </c>
      <c r="E65" s="335">
        <v>1</v>
      </c>
      <c r="F65" s="335">
        <v>1970.0522780992001</v>
      </c>
    </row>
    <row r="66" spans="1:6">
      <c r="A66" s="1269" t="s">
        <v>56</v>
      </c>
      <c r="B66" s="1269" t="s">
        <v>58</v>
      </c>
      <c r="C66" s="335">
        <v>0</v>
      </c>
      <c r="D66" s="335">
        <v>0</v>
      </c>
      <c r="E66" s="335">
        <v>0</v>
      </c>
      <c r="F66" s="335">
        <v>0</v>
      </c>
    </row>
    <row r="67" spans="1:6">
      <c r="A67" s="1270" t="s">
        <v>56</v>
      </c>
      <c r="B67" s="1270" t="s">
        <v>59</v>
      </c>
      <c r="C67" s="335">
        <v>0</v>
      </c>
      <c r="D67" s="335">
        <v>0</v>
      </c>
      <c r="E67" s="335">
        <v>0</v>
      </c>
      <c r="F67" s="335">
        <v>0</v>
      </c>
    </row>
    <row r="68" spans="1:6">
      <c r="A68" s="1265" t="s">
        <v>56</v>
      </c>
      <c r="B68" s="1265" t="s">
        <v>60</v>
      </c>
      <c r="C68" s="335">
        <v>3</v>
      </c>
      <c r="D68" s="335">
        <v>90632.876453525707</v>
      </c>
      <c r="E68" s="335">
        <v>13</v>
      </c>
      <c r="F68" s="335">
        <v>136779.687161321</v>
      </c>
    </row>
    <row r="69" spans="1:6" ht="15.75" thickBot="1">
      <c r="A69" s="339"/>
    </row>
    <row r="70" spans="1:6" ht="19.5">
      <c r="A70" s="1262" t="s">
        <v>61</v>
      </c>
      <c r="B70" s="336"/>
      <c r="C70" s="336" t="s">
        <v>410</v>
      </c>
      <c r="D70" s="336" t="s">
        <v>768</v>
      </c>
      <c r="E70" s="336"/>
      <c r="F70" s="340"/>
    </row>
    <row r="71" spans="1:6" ht="20.25" thickBot="1">
      <c r="A71" s="1277"/>
      <c r="B71" s="342"/>
      <c r="C71" s="342"/>
      <c r="D71" s="343" t="s">
        <v>451</v>
      </c>
      <c r="E71" s="342"/>
      <c r="F71" s="344"/>
    </row>
    <row r="72" spans="1:6" ht="16.5" thickTop="1" thickBot="1">
      <c r="A72" s="1266" t="s">
        <v>62</v>
      </c>
      <c r="B72" s="1267" t="s">
        <v>63</v>
      </c>
      <c r="C72" s="1267" t="s">
        <v>724</v>
      </c>
      <c r="D72" s="1278">
        <v>2013</v>
      </c>
      <c r="E72" s="1278">
        <v>2020</v>
      </c>
      <c r="F72" s="1268"/>
    </row>
    <row r="73" spans="1:6">
      <c r="A73" s="1269" t="s">
        <v>64</v>
      </c>
      <c r="B73" s="1269" t="s">
        <v>725</v>
      </c>
      <c r="C73" s="1269" t="s">
        <v>726</v>
      </c>
      <c r="D73" s="335">
        <v>24908435</v>
      </c>
      <c r="E73" s="335">
        <v>21198987.585584331</v>
      </c>
    </row>
    <row r="74" spans="1:6">
      <c r="A74" s="1269" t="s">
        <v>64</v>
      </c>
      <c r="B74" s="1269" t="s">
        <v>727</v>
      </c>
      <c r="C74" s="1269" t="s">
        <v>728</v>
      </c>
      <c r="D74" s="335">
        <v>2775211.9299788452</v>
      </c>
      <c r="E74" s="335">
        <v>2415558.6118514398</v>
      </c>
    </row>
    <row r="75" spans="1:6">
      <c r="A75" s="1269" t="s">
        <v>65</v>
      </c>
      <c r="B75" s="1269" t="s">
        <v>725</v>
      </c>
      <c r="C75" s="1269" t="s">
        <v>729</v>
      </c>
      <c r="D75" s="335">
        <v>17916010</v>
      </c>
      <c r="E75" s="335">
        <v>14768743.286150454</v>
      </c>
    </row>
    <row r="76" spans="1:6">
      <c r="A76" s="1269" t="s">
        <v>65</v>
      </c>
      <c r="B76" s="1269" t="s">
        <v>727</v>
      </c>
      <c r="C76" s="1269" t="s">
        <v>730</v>
      </c>
      <c r="D76" s="335">
        <v>1719565.9299788452</v>
      </c>
      <c r="E76" s="335">
        <v>1555160.1359437404</v>
      </c>
    </row>
    <row r="77" spans="1:6">
      <c r="A77" s="1269" t="s">
        <v>66</v>
      </c>
      <c r="B77" s="1269" t="s">
        <v>725</v>
      </c>
      <c r="C77" s="1269" t="s">
        <v>731</v>
      </c>
      <c r="D77" s="335">
        <v>0</v>
      </c>
      <c r="E77" s="335">
        <v>0</v>
      </c>
    </row>
    <row r="78" spans="1:6">
      <c r="A78" s="1265" t="s">
        <v>66</v>
      </c>
      <c r="B78" s="1265" t="s">
        <v>727</v>
      </c>
      <c r="C78" s="1265" t="s">
        <v>732</v>
      </c>
      <c r="D78" s="1265">
        <v>0</v>
      </c>
      <c r="E78" s="1265">
        <v>0</v>
      </c>
      <c r="F78" s="338"/>
    </row>
    <row r="79" spans="1:6">
      <c r="A79" s="1279"/>
      <c r="B79" s="1279"/>
    </row>
    <row r="80" spans="1:6" ht="15.75" thickBot="1">
      <c r="A80" s="1279"/>
      <c r="B80" s="1279"/>
    </row>
    <row r="81" spans="1:6" ht="20.25" thickBot="1">
      <c r="A81" s="1262" t="s">
        <v>334</v>
      </c>
      <c r="B81" s="1280" t="s">
        <v>395</v>
      </c>
      <c r="C81" s="336" t="s">
        <v>769</v>
      </c>
      <c r="D81" s="336"/>
      <c r="E81" s="336"/>
      <c r="F81" s="340"/>
    </row>
    <row r="82" spans="1:6" ht="16.5" thickTop="1" thickBot="1">
      <c r="A82" s="1266" t="s">
        <v>335</v>
      </c>
      <c r="B82" s="1278">
        <v>2013</v>
      </c>
      <c r="C82" s="1278">
        <v>2020</v>
      </c>
      <c r="D82" s="1267"/>
      <c r="E82" s="1267"/>
      <c r="F82" s="1268"/>
    </row>
    <row r="83" spans="1:6">
      <c r="A83" s="1269" t="s">
        <v>336</v>
      </c>
      <c r="B83" s="335">
        <v>108690.14004230985</v>
      </c>
      <c r="C83" s="335">
        <v>109338.58690011784</v>
      </c>
    </row>
    <row r="84" spans="1:6">
      <c r="A84" s="1265" t="s">
        <v>337</v>
      </c>
      <c r="B84" s="338">
        <v>0</v>
      </c>
      <c r="C84" s="338">
        <v>0</v>
      </c>
      <c r="D84" s="338"/>
      <c r="E84" s="338"/>
      <c r="F84" s="338"/>
    </row>
    <row r="85" spans="1:6">
      <c r="A85" s="1279"/>
      <c r="B85" s="1281"/>
    </row>
    <row r="86" spans="1:6" ht="15.75" thickBot="1">
      <c r="A86" s="339"/>
    </row>
    <row r="87" spans="1:6" ht="20.25" thickBot="1">
      <c r="A87" s="1262" t="s">
        <v>67</v>
      </c>
      <c r="B87" s="336" t="s">
        <v>395</v>
      </c>
      <c r="C87" s="336" t="s">
        <v>876</v>
      </c>
      <c r="D87" s="336"/>
      <c r="E87" s="336"/>
      <c r="F87" s="340"/>
    </row>
    <row r="88" spans="1:6" ht="16.5" thickTop="1" thickBot="1">
      <c r="A88" s="1266" t="s">
        <v>4</v>
      </c>
      <c r="B88" s="1267" t="s">
        <v>170</v>
      </c>
      <c r="C88" s="1267"/>
      <c r="D88" s="1267"/>
      <c r="E88" s="1267"/>
      <c r="F88" s="1268"/>
    </row>
    <row r="89" spans="1:6">
      <c r="A89" s="1269" t="s">
        <v>561</v>
      </c>
      <c r="B89" s="335">
        <v>0</v>
      </c>
    </row>
    <row r="90" spans="1:6">
      <c r="A90" s="1269" t="s">
        <v>562</v>
      </c>
      <c r="B90" s="1282">
        <v>0</v>
      </c>
    </row>
    <row r="91" spans="1:6">
      <c r="A91" s="1269" t="s">
        <v>68</v>
      </c>
      <c r="B91" s="335">
        <v>2575.0760645193586</v>
      </c>
    </row>
    <row r="92" spans="1:6">
      <c r="A92" s="1265" t="s">
        <v>69</v>
      </c>
      <c r="B92" s="338">
        <v>3118.400419927294</v>
      </c>
      <c r="C92" s="338"/>
      <c r="D92" s="338"/>
      <c r="E92" s="338"/>
      <c r="F92" s="338"/>
    </row>
    <row r="93" spans="1:6">
      <c r="A93" s="339"/>
    </row>
    <row r="94" spans="1:6" ht="15.75" thickBot="1">
      <c r="A94" s="339"/>
    </row>
    <row r="95" spans="1:6" ht="20.25" thickBot="1">
      <c r="A95" s="1262" t="s">
        <v>70</v>
      </c>
      <c r="B95" s="336" t="s">
        <v>395</v>
      </c>
      <c r="C95" s="336" t="s">
        <v>414</v>
      </c>
      <c r="D95" s="336"/>
      <c r="E95" s="336"/>
      <c r="F95" s="340"/>
    </row>
    <row r="96" spans="1:6" ht="16.5" thickTop="1" thickBot="1">
      <c r="A96" s="1266" t="s">
        <v>4</v>
      </c>
      <c r="B96" s="1267" t="s">
        <v>5</v>
      </c>
      <c r="C96" s="1267"/>
      <c r="D96" s="1267"/>
      <c r="E96" s="1267"/>
      <c r="F96" s="1268"/>
    </row>
    <row r="97" spans="1:6">
      <c r="A97" s="1269" t="s">
        <v>71</v>
      </c>
      <c r="B97" s="335">
        <v>1778</v>
      </c>
    </row>
    <row r="98" spans="1:6">
      <c r="A98" s="1269" t="s">
        <v>72</v>
      </c>
      <c r="B98" s="335">
        <v>0</v>
      </c>
    </row>
    <row r="99" spans="1:6">
      <c r="A99" s="1269" t="s">
        <v>73</v>
      </c>
      <c r="B99" s="335">
        <v>118</v>
      </c>
    </row>
    <row r="100" spans="1:6">
      <c r="A100" s="1269" t="s">
        <v>74</v>
      </c>
      <c r="B100" s="335">
        <v>322</v>
      </c>
    </row>
    <row r="101" spans="1:6">
      <c r="A101" s="1269" t="s">
        <v>75</v>
      </c>
      <c r="B101" s="335">
        <v>87</v>
      </c>
    </row>
    <row r="102" spans="1:6">
      <c r="A102" s="1269" t="s">
        <v>76</v>
      </c>
      <c r="B102" s="335">
        <v>79</v>
      </c>
    </row>
    <row r="103" spans="1:6">
      <c r="A103" s="1269" t="s">
        <v>77</v>
      </c>
      <c r="B103" s="335">
        <v>155</v>
      </c>
    </row>
    <row r="104" spans="1:6">
      <c r="A104" s="1269" t="s">
        <v>78</v>
      </c>
      <c r="B104" s="335">
        <v>1597</v>
      </c>
    </row>
    <row r="105" spans="1:6">
      <c r="A105" s="1265" t="s">
        <v>79</v>
      </c>
      <c r="B105" s="1265">
        <v>0</v>
      </c>
      <c r="C105" s="338"/>
      <c r="D105" s="338"/>
      <c r="E105" s="338"/>
      <c r="F105" s="338"/>
    </row>
    <row r="106" spans="1:6">
      <c r="A106" s="339"/>
    </row>
    <row r="107" spans="1:6" ht="15.75" thickBot="1">
      <c r="A107" s="339"/>
    </row>
    <row r="108" spans="1:6" ht="20.25" thickBot="1">
      <c r="A108" s="1262" t="s">
        <v>669</v>
      </c>
      <c r="B108" s="336" t="s">
        <v>395</v>
      </c>
      <c r="C108" s="336" t="s">
        <v>679</v>
      </c>
      <c r="D108" s="336"/>
      <c r="E108" s="336"/>
      <c r="F108" s="340"/>
    </row>
    <row r="109" spans="1:6" ht="16.5" thickTop="1" thickBot="1">
      <c r="A109" s="1266" t="s">
        <v>4</v>
      </c>
      <c r="B109" s="1267" t="s">
        <v>5</v>
      </c>
      <c r="C109" s="1267"/>
      <c r="D109" s="1267"/>
      <c r="E109" s="1267"/>
      <c r="F109" s="1268"/>
    </row>
    <row r="110" spans="1:6">
      <c r="A110" s="1269" t="s">
        <v>670</v>
      </c>
      <c r="B110" s="335">
        <v>0</v>
      </c>
    </row>
    <row r="111" spans="1:6">
      <c r="A111" s="1283" t="s">
        <v>671</v>
      </c>
      <c r="B111" s="1284">
        <v>1</v>
      </c>
      <c r="C111" s="1284"/>
      <c r="D111" s="1284"/>
      <c r="E111" s="1284"/>
      <c r="F111" s="1284"/>
    </row>
    <row r="112" spans="1:6">
      <c r="A112" s="1269"/>
    </row>
    <row r="113" spans="1:6" ht="15.75" thickBot="1">
      <c r="A113" s="1265"/>
      <c r="B113" s="338"/>
      <c r="C113" s="338"/>
      <c r="D113" s="338"/>
      <c r="E113" s="338"/>
      <c r="F113" s="338"/>
    </row>
    <row r="114" spans="1:6" ht="20.25" thickBot="1">
      <c r="A114" s="1262" t="s">
        <v>80</v>
      </c>
      <c r="B114" s="336" t="s">
        <v>395</v>
      </c>
      <c r="C114" s="336" t="s">
        <v>877</v>
      </c>
      <c r="D114" s="336"/>
      <c r="E114" s="336"/>
      <c r="F114" s="340"/>
    </row>
    <row r="115" spans="1:6" ht="16.5" thickTop="1" thickBot="1">
      <c r="A115" s="345"/>
      <c r="B115" s="346" t="s">
        <v>81</v>
      </c>
      <c r="C115" s="346" t="s">
        <v>82</v>
      </c>
      <c r="D115" s="346"/>
      <c r="E115" s="346"/>
      <c r="F115" s="347"/>
    </row>
    <row r="116" spans="1:6" ht="16.5" thickTop="1" thickBot="1">
      <c r="A116" s="1266" t="s">
        <v>4</v>
      </c>
      <c r="B116" s="1267" t="s">
        <v>5</v>
      </c>
      <c r="C116" s="1267" t="s">
        <v>5</v>
      </c>
      <c r="D116" s="1267"/>
      <c r="E116" s="1267"/>
      <c r="F116" s="1268"/>
    </row>
    <row r="117" spans="1:6">
      <c r="A117" s="1269" t="s">
        <v>83</v>
      </c>
      <c r="B117" s="335">
        <v>0</v>
      </c>
      <c r="C117" s="335">
        <v>0</v>
      </c>
    </row>
    <row r="118" spans="1:6">
      <c r="A118" s="1269" t="s">
        <v>84</v>
      </c>
      <c r="B118" s="335">
        <v>0</v>
      </c>
      <c r="C118" s="335">
        <v>0</v>
      </c>
    </row>
    <row r="119" spans="1:6">
      <c r="A119" s="1269" t="s">
        <v>32</v>
      </c>
      <c r="B119" s="335">
        <v>0</v>
      </c>
      <c r="C119" s="335">
        <v>0</v>
      </c>
    </row>
    <row r="120" spans="1:6">
      <c r="A120" s="1269" t="s">
        <v>85</v>
      </c>
      <c r="B120" s="335">
        <v>0</v>
      </c>
      <c r="C120" s="335">
        <v>0</v>
      </c>
    </row>
    <row r="121" spans="1:6">
      <c r="A121" s="1269" t="s">
        <v>86</v>
      </c>
      <c r="B121" s="335">
        <v>0</v>
      </c>
      <c r="C121" s="335">
        <v>0</v>
      </c>
    </row>
    <row r="122" spans="1:6">
      <c r="A122" s="1269" t="s">
        <v>87</v>
      </c>
      <c r="B122" s="335">
        <v>0</v>
      </c>
      <c r="C122" s="335">
        <v>0</v>
      </c>
    </row>
    <row r="123" spans="1:6">
      <c r="A123" s="1269" t="s">
        <v>88</v>
      </c>
      <c r="B123" s="335">
        <v>6</v>
      </c>
      <c r="C123" s="335">
        <v>6</v>
      </c>
    </row>
    <row r="124" spans="1:6">
      <c r="A124" s="1265" t="s">
        <v>89</v>
      </c>
      <c r="B124" s="335">
        <v>0</v>
      </c>
      <c r="C124" s="335">
        <v>0</v>
      </c>
      <c r="D124" s="338"/>
      <c r="E124" s="338"/>
      <c r="F124" s="338"/>
    </row>
    <row r="125" spans="1:6">
      <c r="A125" s="1279"/>
    </row>
    <row r="126" spans="1:6" ht="15.75" thickBot="1">
      <c r="A126" s="1279"/>
    </row>
    <row r="127" spans="1:6" ht="20.25" thickBot="1">
      <c r="A127" s="1262" t="s">
        <v>293</v>
      </c>
      <c r="B127" s="336" t="s">
        <v>395</v>
      </c>
      <c r="C127" s="336" t="s">
        <v>679</v>
      </c>
      <c r="D127" s="336"/>
      <c r="E127" s="336"/>
      <c r="F127" s="340"/>
    </row>
    <row r="128" spans="1:6" ht="16.5" thickTop="1" thickBot="1">
      <c r="A128" s="1266" t="s">
        <v>4</v>
      </c>
      <c r="B128" s="1267" t="s">
        <v>5</v>
      </c>
      <c r="C128" s="1267"/>
      <c r="D128" s="1267"/>
      <c r="E128" s="1267"/>
      <c r="F128" s="1268"/>
    </row>
    <row r="129" spans="1:6">
      <c r="A129" s="1269" t="s">
        <v>294</v>
      </c>
      <c r="B129" s="335">
        <v>58</v>
      </c>
    </row>
    <row r="130" spans="1:6">
      <c r="A130" s="1269" t="s">
        <v>295</v>
      </c>
      <c r="B130" s="335">
        <v>0</v>
      </c>
    </row>
    <row r="131" spans="1:6">
      <c r="A131" s="1269" t="s">
        <v>296</v>
      </c>
      <c r="B131" s="335">
        <v>0</v>
      </c>
    </row>
    <row r="132" spans="1:6">
      <c r="A132" s="1265" t="s">
        <v>297</v>
      </c>
      <c r="B132" s="338">
        <v>3</v>
      </c>
      <c r="C132" s="338"/>
      <c r="D132" s="338"/>
      <c r="E132" s="338"/>
      <c r="F132" s="338"/>
    </row>
    <row r="134" spans="1:6">
      <c r="A134" s="1281"/>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61985.342590226268</v>
      </c>
      <c r="C3" s="43" t="s">
        <v>170</v>
      </c>
      <c r="D3" s="43"/>
      <c r="E3" s="156"/>
      <c r="F3" s="43"/>
      <c r="G3" s="43"/>
      <c r="H3" s="43"/>
      <c r="I3" s="43"/>
      <c r="J3" s="43"/>
      <c r="K3" s="96"/>
    </row>
    <row r="4" spans="1:11">
      <c r="A4" s="366" t="s">
        <v>171</v>
      </c>
      <c r="B4" s="49">
        <f>IF(ISERROR('SEAP template'!B69),0,'SEAP template'!B69)</f>
        <v>5693.4764844466526</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802</v>
      </c>
      <c r="G6" s="43" t="s">
        <v>805</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0.20070071228966457</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0</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64">
        <v>2013</v>
      </c>
      <c r="B1" s="116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66"/>
      <c r="B2" s="116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66"/>
      <c r="B3" s="116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68"/>
      <c r="B4" s="116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70" t="s">
        <v>480</v>
      </c>
      <c r="B2" s="1171"/>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72" t="s">
        <v>194</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834.32100000000003</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834.32100000000003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0.20070071228966457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167.44881897822523</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72" t="s">
        <v>155</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17436.9514041242</v>
      </c>
      <c r="C5" s="17">
        <f>IF(ISERROR('Eigen informatie GS &amp; warmtenet'!B57),0,'Eigen informatie GS &amp; warmtenet'!B57)</f>
        <v>0</v>
      </c>
      <c r="D5" s="30">
        <f>(SUM(HH_hh_gas_kWh,HH_rest_gas_kWh)/1000)*0.902</f>
        <v>41353.18170096814</v>
      </c>
      <c r="E5" s="17">
        <f>B46*B57</f>
        <v>4539.7723983695532</v>
      </c>
      <c r="F5" s="17">
        <f>B51*B62</f>
        <v>21266.265501592516</v>
      </c>
      <c r="G5" s="18"/>
      <c r="H5" s="17"/>
      <c r="I5" s="17"/>
      <c r="J5" s="17">
        <f>B50*B61+C50*C61</f>
        <v>2888.4982929781008</v>
      </c>
      <c r="K5" s="17"/>
      <c r="L5" s="17"/>
      <c r="M5" s="17"/>
      <c r="N5" s="17">
        <f>B48*B59+C48*C59</f>
        <v>12548.111017144833</v>
      </c>
      <c r="O5" s="17">
        <f>B69*B70*B71</f>
        <v>100.05333333333334</v>
      </c>
      <c r="P5" s="17">
        <f>B77*B78*B79/1000-B77*B78*B79/1000/B80</f>
        <v>171.6</v>
      </c>
    </row>
    <row r="6" spans="1:16">
      <c r="A6" s="16" t="s">
        <v>634</v>
      </c>
      <c r="B6" s="831">
        <f>kWh_PV_kleiner_dan_10kW</f>
        <v>2575.0760645193586</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20012.027468643559</v>
      </c>
      <c r="C8" s="21">
        <f>C5</f>
        <v>0</v>
      </c>
      <c r="D8" s="21">
        <f>D5</f>
        <v>41353.18170096814</v>
      </c>
      <c r="E8" s="21">
        <f>E5</f>
        <v>4539.7723983695532</v>
      </c>
      <c r="F8" s="21">
        <f>F5</f>
        <v>21266.265501592516</v>
      </c>
      <c r="G8" s="21"/>
      <c r="H8" s="21"/>
      <c r="I8" s="21"/>
      <c r="J8" s="21">
        <f>J5</f>
        <v>2888.4982929781008</v>
      </c>
      <c r="K8" s="21"/>
      <c r="L8" s="21">
        <f>L5</f>
        <v>0</v>
      </c>
      <c r="M8" s="21">
        <f>M5</f>
        <v>0</v>
      </c>
      <c r="N8" s="21">
        <f>N5</f>
        <v>12548.111017144833</v>
      </c>
      <c r="O8" s="21">
        <f>O5</f>
        <v>100.05333333333334</v>
      </c>
      <c r="P8" s="21">
        <f>P5</f>
        <v>171.6</v>
      </c>
    </row>
    <row r="9" spans="1:16">
      <c r="B9" s="19"/>
      <c r="C9" s="19"/>
      <c r="D9" s="261"/>
      <c r="E9" s="19"/>
      <c r="F9" s="19"/>
      <c r="G9" s="19"/>
      <c r="H9" s="19"/>
      <c r="I9" s="19"/>
      <c r="J9" s="19"/>
      <c r="K9" s="19"/>
      <c r="L9" s="19"/>
      <c r="M9" s="19"/>
      <c r="N9" s="19"/>
      <c r="O9" s="19"/>
      <c r="P9" s="19"/>
    </row>
    <row r="10" spans="1:16">
      <c r="A10" s="24" t="s">
        <v>214</v>
      </c>
      <c r="B10" s="25">
        <f ca="1">'EF ele_warmte'!B12</f>
        <v>0.20070071228966457</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4016.4281673170954</v>
      </c>
      <c r="C12" s="23">
        <f ca="1">C10*C8</f>
        <v>0</v>
      </c>
      <c r="D12" s="23">
        <f>D8*D10</f>
        <v>8353.3427035955647</v>
      </c>
      <c r="E12" s="23">
        <f>E10*E8</f>
        <v>1030.5283344298887</v>
      </c>
      <c r="F12" s="23">
        <f>F10*F8</f>
        <v>5678.0928889252018</v>
      </c>
      <c r="G12" s="23"/>
      <c r="H12" s="23"/>
      <c r="I12" s="23"/>
      <c r="J12" s="23">
        <f>J10*J8</f>
        <v>1022.5283957142476</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1778</v>
      </c>
      <c r="C18" s="168" t="s">
        <v>111</v>
      </c>
      <c r="D18" s="230"/>
      <c r="E18" s="15"/>
    </row>
    <row r="19" spans="1:7">
      <c r="A19" s="173" t="s">
        <v>72</v>
      </c>
      <c r="B19" s="37">
        <f>aantalw2001_ander</f>
        <v>0</v>
      </c>
      <c r="C19" s="168" t="s">
        <v>111</v>
      </c>
      <c r="D19" s="231"/>
      <c r="E19" s="15"/>
    </row>
    <row r="20" spans="1:7">
      <c r="A20" s="173" t="s">
        <v>73</v>
      </c>
      <c r="B20" s="37">
        <f>aantalw2001_propaan</f>
        <v>118</v>
      </c>
      <c r="C20" s="169">
        <f>IF(ISERROR(B20/SUM($B$20,$B$21,$B$22)*100),0,B20/SUM($B$20,$B$21,$B$22)*100)</f>
        <v>22.39089184060721</v>
      </c>
      <c r="D20" s="231"/>
      <c r="E20" s="15"/>
    </row>
    <row r="21" spans="1:7">
      <c r="A21" s="173" t="s">
        <v>74</v>
      </c>
      <c r="B21" s="37">
        <f>aantalw2001_elektriciteit</f>
        <v>322</v>
      </c>
      <c r="C21" s="169">
        <f>IF(ISERROR(B21/SUM($B$20,$B$21,$B$22)*100),0,B21/SUM($B$20,$B$21,$B$22)*100)</f>
        <v>61.100569259962043</v>
      </c>
      <c r="D21" s="231"/>
      <c r="E21" s="15"/>
    </row>
    <row r="22" spans="1:7">
      <c r="A22" s="173" t="s">
        <v>75</v>
      </c>
      <c r="B22" s="37">
        <f>aantalw2001_hout</f>
        <v>87</v>
      </c>
      <c r="C22" s="169">
        <f>IF(ISERROR(B22/SUM($B$20,$B$21,$B$22)*100),0,B22/SUM($B$20,$B$21,$B$22)*100)</f>
        <v>16.508538899430743</v>
      </c>
      <c r="D22" s="231"/>
      <c r="E22" s="15"/>
    </row>
    <row r="23" spans="1:7">
      <c r="A23" s="173" t="s">
        <v>76</v>
      </c>
      <c r="B23" s="37">
        <f>aantalw2001_niet_gespec</f>
        <v>79</v>
      </c>
      <c r="C23" s="168" t="s">
        <v>111</v>
      </c>
      <c r="D23" s="230"/>
      <c r="E23" s="15"/>
    </row>
    <row r="24" spans="1:7">
      <c r="A24" s="173" t="s">
        <v>77</v>
      </c>
      <c r="B24" s="37">
        <f>aantalw2001_steenkool</f>
        <v>155</v>
      </c>
      <c r="C24" s="168" t="s">
        <v>111</v>
      </c>
      <c r="D24" s="231"/>
      <c r="E24" s="15"/>
    </row>
    <row r="25" spans="1:7">
      <c r="A25" s="173" t="s">
        <v>78</v>
      </c>
      <c r="B25" s="37">
        <f>aantalw2001_stookolie</f>
        <v>1597</v>
      </c>
      <c r="C25" s="168" t="s">
        <v>111</v>
      </c>
      <c r="D25" s="230"/>
      <c r="E25" s="52"/>
    </row>
    <row r="26" spans="1:7">
      <c r="A26" s="173" t="s">
        <v>79</v>
      </c>
      <c r="B26" s="37">
        <f>aantalw2001_WP</f>
        <v>0</v>
      </c>
      <c r="C26" s="168" t="s">
        <v>111</v>
      </c>
      <c r="D26" s="230"/>
      <c r="E26" s="15"/>
    </row>
    <row r="27" spans="1:7" s="15" customFormat="1">
      <c r="A27" s="173"/>
      <c r="B27" s="29"/>
      <c r="C27" s="36"/>
      <c r="D27" s="230"/>
    </row>
    <row r="28" spans="1:7" s="15" customFormat="1">
      <c r="A28" s="232" t="s">
        <v>745</v>
      </c>
      <c r="B28" s="37">
        <f>aantalHuishoudens2011</f>
        <v>4512</v>
      </c>
      <c r="C28" s="36"/>
      <c r="D28" s="230"/>
    </row>
    <row r="29" spans="1:7" s="15" customFormat="1">
      <c r="A29" s="232" t="s">
        <v>746</v>
      </c>
      <c r="B29" s="37">
        <f>SUM(HH_hh_gas_aantal,HH_rest_gas_aantal)</f>
        <v>2618</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2618</v>
      </c>
      <c r="C32" s="169">
        <f>IF(ISERROR(B32/SUM($B$32,$B$34,$B$35,$B$36,$B$38,$B$39)*100),0,B32/SUM($B$32,$B$34,$B$35,$B$36,$B$38,$B$39)*100)</f>
        <v>58.139018432156341</v>
      </c>
      <c r="D32" s="235"/>
      <c r="G32" s="15"/>
    </row>
    <row r="33" spans="1:7">
      <c r="A33" s="173" t="s">
        <v>72</v>
      </c>
      <c r="B33" s="34" t="s">
        <v>111</v>
      </c>
      <c r="C33" s="169"/>
      <c r="D33" s="235"/>
      <c r="G33" s="15"/>
    </row>
    <row r="34" spans="1:7">
      <c r="A34" s="173" t="s">
        <v>73</v>
      </c>
      <c r="B34" s="33">
        <f>IF((($B$28-$B$32-$B$39-$B$77-$B$38)*C20/100)&lt;0,0,($B$28-$B$32-$B$39-$B$77-$B$38)*C20/100)</f>
        <v>217.86337760910817</v>
      </c>
      <c r="C34" s="169">
        <f>IF(ISERROR(B34/SUM($B$32,$B$34,$B$35,$B$36,$B$38,$B$39)*100),0,B34/SUM($B$32,$B$34,$B$35,$B$36,$B$38,$B$39)*100)</f>
        <v>4.8381829360228323</v>
      </c>
      <c r="D34" s="235"/>
      <c r="G34" s="15"/>
    </row>
    <row r="35" spans="1:7">
      <c r="A35" s="173" t="s">
        <v>74</v>
      </c>
      <c r="B35" s="33">
        <f>IF((($B$28-$B$32-$B$39-$B$77-$B$38)*C21/100)&lt;0,0,($B$28-$B$32-$B$39-$B$77-$B$38)*C21/100)</f>
        <v>594.50853889943073</v>
      </c>
      <c r="C35" s="169">
        <f>IF(ISERROR(B35/SUM($B$32,$B$34,$B$35,$B$36,$B$38,$B$39)*100),0,B35/SUM($B$32,$B$34,$B$35,$B$36,$B$38,$B$39)*100)</f>
        <v>13.202499198299595</v>
      </c>
      <c r="D35" s="235"/>
      <c r="G35" s="15"/>
    </row>
    <row r="36" spans="1:7">
      <c r="A36" s="173" t="s">
        <v>75</v>
      </c>
      <c r="B36" s="33">
        <f>IF((($B$28-$B$32-$B$39-$B$77-$B$38)*C22/100)&lt;0,0,($B$28-$B$32-$B$39-$B$77-$B$38)*C22/100)</f>
        <v>160.62808349146113</v>
      </c>
      <c r="C36" s="169">
        <f>IF(ISERROR(B36/SUM($B$32,$B$34,$B$35,$B$36,$B$38,$B$39)*100),0,B36/SUM($B$32,$B$34,$B$35,$B$36,$B$38,$B$39)*100)</f>
        <v>3.5671348765592072</v>
      </c>
      <c r="D36" s="235"/>
      <c r="G36" s="15"/>
    </row>
    <row r="37" spans="1:7">
      <c r="A37" s="173" t="s">
        <v>76</v>
      </c>
      <c r="B37" s="34" t="s">
        <v>111</v>
      </c>
      <c r="C37" s="169"/>
      <c r="D37" s="175"/>
      <c r="G37" s="15"/>
    </row>
    <row r="38" spans="1:7">
      <c r="A38" s="173" t="s">
        <v>77</v>
      </c>
      <c r="B38" s="33">
        <f>IF((B24-(B29-B18)*0.1)&lt;0,0,B24-(B29-B18)*0.1)</f>
        <v>71</v>
      </c>
      <c r="C38" s="169">
        <f>IF(ISERROR(B38/SUM($B$32,$B$34,$B$35,$B$36,$B$38,$B$39)*100),0,B38/SUM($B$32,$B$34,$B$35,$B$36,$B$38,$B$39)*100)</f>
        <v>1.5767266266933155</v>
      </c>
      <c r="D38" s="236"/>
      <c r="G38" s="15"/>
    </row>
    <row r="39" spans="1:7">
      <c r="A39" s="173" t="s">
        <v>78</v>
      </c>
      <c r="B39" s="33">
        <f>IF((B25-(B29-B18))&lt;0,0,B25-(B29-B18)*0.9)</f>
        <v>841</v>
      </c>
      <c r="C39" s="169">
        <f>IF(ISERROR(B39/SUM($B$32,$B$34,$B$35,$B$36,$B$38,$B$39)*100),0,B39/SUM($B$32,$B$34,$B$35,$B$36,$B$38,$B$39)*100)</f>
        <v>18.676437930268712</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2618</v>
      </c>
      <c r="C44" s="34" t="s">
        <v>111</v>
      </c>
      <c r="D44" s="176"/>
    </row>
    <row r="45" spans="1:7">
      <c r="A45" s="173" t="s">
        <v>72</v>
      </c>
      <c r="B45" s="33" t="str">
        <f t="shared" si="0"/>
        <v>-</v>
      </c>
      <c r="C45" s="34" t="s">
        <v>111</v>
      </c>
      <c r="D45" s="176"/>
    </row>
    <row r="46" spans="1:7">
      <c r="A46" s="173" t="s">
        <v>73</v>
      </c>
      <c r="B46" s="33">
        <f t="shared" si="0"/>
        <v>217.86337760910817</v>
      </c>
      <c r="C46" s="34" t="s">
        <v>111</v>
      </c>
      <c r="D46" s="176"/>
    </row>
    <row r="47" spans="1:7">
      <c r="A47" s="173" t="s">
        <v>74</v>
      </c>
      <c r="B47" s="33">
        <f t="shared" si="0"/>
        <v>594.50853889943073</v>
      </c>
      <c r="C47" s="34" t="s">
        <v>111</v>
      </c>
      <c r="D47" s="176"/>
    </row>
    <row r="48" spans="1:7">
      <c r="A48" s="173" t="s">
        <v>75</v>
      </c>
      <c r="B48" s="33">
        <f t="shared" si="0"/>
        <v>160.62808349146113</v>
      </c>
      <c r="C48" s="33">
        <f>B48*10</f>
        <v>1606.2808349146112</v>
      </c>
      <c r="D48" s="236"/>
    </row>
    <row r="49" spans="1:6">
      <c r="A49" s="173" t="s">
        <v>76</v>
      </c>
      <c r="B49" s="33" t="str">
        <f t="shared" si="0"/>
        <v>-</v>
      </c>
      <c r="C49" s="34" t="s">
        <v>111</v>
      </c>
      <c r="D49" s="236"/>
    </row>
    <row r="50" spans="1:6">
      <c r="A50" s="173" t="s">
        <v>77</v>
      </c>
      <c r="B50" s="33">
        <f t="shared" si="0"/>
        <v>71</v>
      </c>
      <c r="C50" s="33">
        <f>B50*2</f>
        <v>142</v>
      </c>
      <c r="D50" s="236"/>
    </row>
    <row r="51" spans="1:6">
      <c r="A51" s="173" t="s">
        <v>78</v>
      </c>
      <c r="B51" s="33">
        <f t="shared" si="0"/>
        <v>841</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64</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9</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156</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12691.686026274932</v>
      </c>
      <c r="C5" s="17">
        <f>IF(ISERROR('Eigen informatie GS &amp; warmtenet'!B58),0,'Eigen informatie GS &amp; warmtenet'!B58)</f>
        <v>0</v>
      </c>
      <c r="D5" s="30">
        <f>SUM(D6:D12)</f>
        <v>14031.876148276604</v>
      </c>
      <c r="E5" s="17">
        <f>SUM(E6:E12)</f>
        <v>169.1757949363512</v>
      </c>
      <c r="F5" s="17">
        <f>SUM(F6:F12)</f>
        <v>2535.7002589451222</v>
      </c>
      <c r="G5" s="18"/>
      <c r="H5" s="17"/>
      <c r="I5" s="17"/>
      <c r="J5" s="17">
        <f>SUM(J6:J12)</f>
        <v>0</v>
      </c>
      <c r="K5" s="17"/>
      <c r="L5" s="17"/>
      <c r="M5" s="17"/>
      <c r="N5" s="17">
        <f>SUM(N6:N12)</f>
        <v>1196.449613764375</v>
      </c>
      <c r="O5" s="17">
        <f>B38*B39*B40</f>
        <v>0</v>
      </c>
      <c r="P5" s="17">
        <f>B46*B47*B48/1000-B46*B47*B48/1000/B49</f>
        <v>0</v>
      </c>
      <c r="R5" s="32"/>
    </row>
    <row r="6" spans="1:18">
      <c r="A6" s="32" t="s">
        <v>54</v>
      </c>
      <c r="B6" s="37">
        <f>B26</f>
        <v>1983.3143108261299</v>
      </c>
      <c r="C6" s="33"/>
      <c r="D6" s="37">
        <f>IF(ISERROR(TER_kantoor_gas_kWh/1000),0,TER_kantoor_gas_kWh/1000)*0.902</f>
        <v>2997.6730256672254</v>
      </c>
      <c r="E6" s="33">
        <f>$C$26*'E Balans VL '!I12/100/3.6*1000000</f>
        <v>7.7055959896640625</v>
      </c>
      <c r="F6" s="33">
        <f>$C$26*('E Balans VL '!L12+'E Balans VL '!N12)/100/3.6*1000000</f>
        <v>301.64405995523526</v>
      </c>
      <c r="G6" s="34"/>
      <c r="H6" s="33"/>
      <c r="I6" s="33"/>
      <c r="J6" s="33">
        <f>$C$26*('E Balans VL '!D12+'E Balans VL '!E12)/100/3.6*1000000</f>
        <v>0</v>
      </c>
      <c r="K6" s="33"/>
      <c r="L6" s="33"/>
      <c r="M6" s="33"/>
      <c r="N6" s="33">
        <f>$C$26*'E Balans VL '!Y12/100/3.6*1000000</f>
        <v>1.0930437804683908</v>
      </c>
      <c r="O6" s="33"/>
      <c r="P6" s="33"/>
      <c r="R6" s="32"/>
    </row>
    <row r="7" spans="1:18">
      <c r="A7" s="32" t="s">
        <v>53</v>
      </c>
      <c r="B7" s="37">
        <f t="shared" ref="B7:B12" si="0">B27</f>
        <v>792.31100478388294</v>
      </c>
      <c r="C7" s="33"/>
      <c r="D7" s="37">
        <f>IF(ISERROR(TER_horeca_gas_kWh/1000),0,TER_horeca_gas_kWh/1000)*0.902</f>
        <v>765.80687159370916</v>
      </c>
      <c r="E7" s="33">
        <f>$C$27*'E Balans VL '!I9/100/3.6*1000000</f>
        <v>44.631090728342478</v>
      </c>
      <c r="F7" s="33">
        <f>$C$27*('E Balans VL '!L9+'E Balans VL '!N9)/100/3.6*1000000</f>
        <v>228.45505908814707</v>
      </c>
      <c r="G7" s="34"/>
      <c r="H7" s="33"/>
      <c r="I7" s="33"/>
      <c r="J7" s="33">
        <f>$C$27*('E Balans VL '!D9+'E Balans VL '!E9)/100/3.6*1000000</f>
        <v>0</v>
      </c>
      <c r="K7" s="33"/>
      <c r="L7" s="33"/>
      <c r="M7" s="33"/>
      <c r="N7" s="33">
        <f>$C$27*'E Balans VL '!Y9/100/3.6*1000000</f>
        <v>0.21875295118547119</v>
      </c>
      <c r="O7" s="33"/>
      <c r="P7" s="33"/>
      <c r="R7" s="32"/>
    </row>
    <row r="8" spans="1:18">
      <c r="A8" s="6" t="s">
        <v>52</v>
      </c>
      <c r="B8" s="37">
        <f t="shared" si="0"/>
        <v>3381.2525277448999</v>
      </c>
      <c r="C8" s="33"/>
      <c r="D8" s="37">
        <f>IF(ISERROR(TER_handel_gas_kWh/1000),0,TER_handel_gas_kWh/1000)*0.902</f>
        <v>1268.199760972554</v>
      </c>
      <c r="E8" s="33">
        <f>$C$28*'E Balans VL '!I13/100/3.6*1000000</f>
        <v>48.735320373500528</v>
      </c>
      <c r="F8" s="33">
        <f>$C$28*('E Balans VL '!L13+'E Balans VL '!N13)/100/3.6*1000000</f>
        <v>587.40230812710161</v>
      </c>
      <c r="G8" s="34"/>
      <c r="H8" s="33"/>
      <c r="I8" s="33"/>
      <c r="J8" s="33">
        <f>$C$28*('E Balans VL '!D13+'E Balans VL '!E13)/100/3.6*1000000</f>
        <v>0</v>
      </c>
      <c r="K8" s="33"/>
      <c r="L8" s="33"/>
      <c r="M8" s="33"/>
      <c r="N8" s="33">
        <f>$C$28*'E Balans VL '!Y13/100/3.6*1000000</f>
        <v>10.130608981909186</v>
      </c>
      <c r="O8" s="33"/>
      <c r="P8" s="33"/>
      <c r="R8" s="32"/>
    </row>
    <row r="9" spans="1:18">
      <c r="A9" s="32" t="s">
        <v>51</v>
      </c>
      <c r="B9" s="37">
        <f t="shared" si="0"/>
        <v>141.38804847886399</v>
      </c>
      <c r="C9" s="33"/>
      <c r="D9" s="37">
        <f>IF(ISERROR(TER_gezond_gas_kWh/1000),0,TER_gezond_gas_kWh/1000)*0.902</f>
        <v>174.16474259792261</v>
      </c>
      <c r="E9" s="33">
        <f>$C$29*'E Balans VL '!I10/100/3.6*1000000</f>
        <v>0.15103908221179474</v>
      </c>
      <c r="F9" s="33">
        <f>$C$29*('E Balans VL '!L10+'E Balans VL '!N10)/100/3.6*1000000</f>
        <v>23.064687650939845</v>
      </c>
      <c r="G9" s="34"/>
      <c r="H9" s="33"/>
      <c r="I9" s="33"/>
      <c r="J9" s="33">
        <f>$C$29*('E Balans VL '!D10+'E Balans VL '!E10)/100/3.6*1000000</f>
        <v>0</v>
      </c>
      <c r="K9" s="33"/>
      <c r="L9" s="33"/>
      <c r="M9" s="33"/>
      <c r="N9" s="33">
        <f>$C$29*'E Balans VL '!Y10/100/3.6*1000000</f>
        <v>1.4555092846789222</v>
      </c>
      <c r="O9" s="33"/>
      <c r="P9" s="33"/>
      <c r="R9" s="32"/>
    </row>
    <row r="10" spans="1:18">
      <c r="A10" s="32" t="s">
        <v>50</v>
      </c>
      <c r="B10" s="37">
        <f t="shared" si="0"/>
        <v>1110.4278990042501</v>
      </c>
      <c r="C10" s="33"/>
      <c r="D10" s="37">
        <f>IF(ISERROR(TER_ander_gas_kWh/1000),0,TER_ander_gas_kWh/1000)*0.902</f>
        <v>508.96011995267042</v>
      </c>
      <c r="E10" s="33">
        <f>$C$30*'E Balans VL '!I14/100/3.6*1000000</f>
        <v>5.1066889988984059</v>
      </c>
      <c r="F10" s="33">
        <f>$C$30*('E Balans VL '!L14+'E Balans VL '!N14)/100/3.6*1000000</f>
        <v>332.83026737558953</v>
      </c>
      <c r="G10" s="34"/>
      <c r="H10" s="33"/>
      <c r="I10" s="33"/>
      <c r="J10" s="33">
        <f>$C$30*('E Balans VL '!D14+'E Balans VL '!E14)/100/3.6*1000000</f>
        <v>0</v>
      </c>
      <c r="K10" s="33"/>
      <c r="L10" s="33"/>
      <c r="M10" s="33"/>
      <c r="N10" s="33">
        <f>$C$30*'E Balans VL '!Y14/100/3.6*1000000</f>
        <v>772.93111790614114</v>
      </c>
      <c r="O10" s="33"/>
      <c r="P10" s="33"/>
      <c r="R10" s="32"/>
    </row>
    <row r="11" spans="1:18">
      <c r="A11" s="32" t="s">
        <v>55</v>
      </c>
      <c r="B11" s="37">
        <f t="shared" si="0"/>
        <v>110.161025762425</v>
      </c>
      <c r="C11" s="33"/>
      <c r="D11" s="37">
        <f>IF(ISERROR(TER_onderwijs_gas_kWh/1000),0,TER_onderwijs_gas_kWh/1000)*0.902</f>
        <v>623.28411401908215</v>
      </c>
      <c r="E11" s="33">
        <f>$C$31*'E Balans VL '!I11/100/3.6*1000000</f>
        <v>0.10218883853655507</v>
      </c>
      <c r="F11" s="33">
        <f>$C$31*('E Balans VL '!L11+'E Balans VL '!N11)/100/3.6*1000000</f>
        <v>38.697036481194552</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5172.8312096744803</v>
      </c>
      <c r="C12" s="33"/>
      <c r="D12" s="37">
        <f>IF(ISERROR(TER_rest_gas_kWh/1000),0,TER_rest_gas_kWh/1000)*0.902</f>
        <v>7693.7875134734404</v>
      </c>
      <c r="E12" s="33">
        <f>$C$32*'E Balans VL '!I8/100/3.6*1000000</f>
        <v>62.743870925197392</v>
      </c>
      <c r="F12" s="33">
        <f>$C$32*('E Balans VL '!L8+'E Balans VL '!N8)/100/3.6*1000000</f>
        <v>1023.606840266914</v>
      </c>
      <c r="G12" s="34"/>
      <c r="H12" s="33"/>
      <c r="I12" s="33"/>
      <c r="J12" s="33">
        <f>$C$32*('E Balans VL '!D8+'E Balans VL '!E8)/100/3.6*1000000</f>
        <v>0</v>
      </c>
      <c r="K12" s="33"/>
      <c r="L12" s="33"/>
      <c r="M12" s="33"/>
      <c r="N12" s="33">
        <f>$C$32*'E Balans VL '!Y8/100/3.6*1000000</f>
        <v>410.62058085999189</v>
      </c>
      <c r="O12" s="33"/>
      <c r="P12" s="33"/>
      <c r="R12" s="32"/>
    </row>
    <row r="13" spans="1:18">
      <c r="A13" s="16" t="s">
        <v>497</v>
      </c>
      <c r="B13" s="249">
        <f ca="1">'lokale energieproductie'!N90+'lokale energieproductie'!N59</f>
        <v>0</v>
      </c>
      <c r="C13" s="249">
        <f ca="1">'lokale energieproductie'!O90+'lokale energieproductie'!O59</f>
        <v>0</v>
      </c>
      <c r="D13" s="312">
        <f ca="1">('lokale energieproductie'!P59+'lokale energieproductie'!P90)*(-1)</f>
        <v>0</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12691.686026274932</v>
      </c>
      <c r="C16" s="21">
        <f t="shared" ca="1" si="1"/>
        <v>0</v>
      </c>
      <c r="D16" s="21">
        <f t="shared" ca="1" si="1"/>
        <v>14031.876148276604</v>
      </c>
      <c r="E16" s="21">
        <f t="shared" si="1"/>
        <v>169.1757949363512</v>
      </c>
      <c r="F16" s="21">
        <f t="shared" ca="1" si="1"/>
        <v>2535.7002589451222</v>
      </c>
      <c r="G16" s="21">
        <f t="shared" si="1"/>
        <v>0</v>
      </c>
      <c r="H16" s="21">
        <f t="shared" si="1"/>
        <v>0</v>
      </c>
      <c r="I16" s="21">
        <f t="shared" si="1"/>
        <v>0</v>
      </c>
      <c r="J16" s="21">
        <f t="shared" si="1"/>
        <v>0</v>
      </c>
      <c r="K16" s="21">
        <f t="shared" si="1"/>
        <v>0</v>
      </c>
      <c r="L16" s="21">
        <f t="shared" ca="1" si="1"/>
        <v>0</v>
      </c>
      <c r="M16" s="21">
        <f t="shared" si="1"/>
        <v>0</v>
      </c>
      <c r="N16" s="21">
        <f t="shared" ca="1" si="1"/>
        <v>1196.449613764375</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0.20070071228966457</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2547.2304256301613</v>
      </c>
      <c r="C20" s="23">
        <f t="shared" ref="C20:P20" ca="1" si="2">C16*C18</f>
        <v>0</v>
      </c>
      <c r="D20" s="23">
        <f t="shared" ca="1" si="2"/>
        <v>2834.4389819518742</v>
      </c>
      <c r="E20" s="23">
        <f t="shared" si="2"/>
        <v>38.402905450551721</v>
      </c>
      <c r="F20" s="23">
        <f t="shared" ca="1" si="2"/>
        <v>677.03196913834768</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1983.3143108261299</v>
      </c>
      <c r="C26" s="39">
        <f>IF(ISERROR(B26*3.6/1000000/'E Balans VL '!Z12*100),0,B26*3.6/1000000/'E Balans VL '!Z12*100)</f>
        <v>4.2126578368145519E-2</v>
      </c>
      <c r="D26" s="239" t="s">
        <v>692</v>
      </c>
      <c r="F26" s="6"/>
    </row>
    <row r="27" spans="1:18">
      <c r="A27" s="233" t="s">
        <v>53</v>
      </c>
      <c r="B27" s="33">
        <f>IF(ISERROR(TER_horeca_ele_kWh/1000),0,TER_horeca_ele_kWh/1000)</f>
        <v>792.31100478388294</v>
      </c>
      <c r="C27" s="39">
        <f>IF(ISERROR(B27*3.6/1000000/'E Balans VL '!Z9*100),0,B27*3.6/1000000/'E Balans VL '!Z9*100)</f>
        <v>6.1607005858000642E-2</v>
      </c>
      <c r="D27" s="239" t="s">
        <v>692</v>
      </c>
      <c r="F27" s="6"/>
    </row>
    <row r="28" spans="1:18">
      <c r="A28" s="173" t="s">
        <v>52</v>
      </c>
      <c r="B28" s="33">
        <f>IF(ISERROR(TER_handel_ele_kWh/1000),0,TER_handel_ele_kWh/1000)</f>
        <v>3381.2525277448999</v>
      </c>
      <c r="C28" s="39">
        <f>IF(ISERROR(B28*3.6/1000000/'E Balans VL '!Z13*100),0,B28*3.6/1000000/'E Balans VL '!Z13*100)</f>
        <v>9.6741614154933528E-2</v>
      </c>
      <c r="D28" s="239" t="s">
        <v>692</v>
      </c>
      <c r="F28" s="6"/>
    </row>
    <row r="29" spans="1:18">
      <c r="A29" s="233" t="s">
        <v>51</v>
      </c>
      <c r="B29" s="33">
        <f>IF(ISERROR(TER_gezond_ele_kWh/1000),0,TER_gezond_ele_kWh/1000)</f>
        <v>141.38804847886399</v>
      </c>
      <c r="C29" s="39">
        <f>IF(ISERROR(B29*3.6/1000000/'E Balans VL '!Z10*100),0,B29*3.6/1000000/'E Balans VL '!Z10*100)</f>
        <v>1.5414582748411104E-2</v>
      </c>
      <c r="D29" s="239" t="s">
        <v>692</v>
      </c>
      <c r="F29" s="6"/>
    </row>
    <row r="30" spans="1:18">
      <c r="A30" s="233" t="s">
        <v>50</v>
      </c>
      <c r="B30" s="33">
        <f>IF(ISERROR(TER_ander_ele_kWh/1000),0,TER_ander_ele_kWh/1000)</f>
        <v>1110.4278990042501</v>
      </c>
      <c r="C30" s="39">
        <f>IF(ISERROR(B30*3.6/1000000/'E Balans VL '!Z14*100),0,B30*3.6/1000000/'E Balans VL '!Z14*100)</f>
        <v>8.1258594703154871E-2</v>
      </c>
      <c r="D30" s="239" t="s">
        <v>692</v>
      </c>
      <c r="F30" s="6"/>
    </row>
    <row r="31" spans="1:18">
      <c r="A31" s="233" t="s">
        <v>55</v>
      </c>
      <c r="B31" s="33">
        <f>IF(ISERROR(TER_onderwijs_ele_kWh/1000),0,TER_onderwijs_ele_kWh/1000)</f>
        <v>110.161025762425</v>
      </c>
      <c r="C31" s="39">
        <f>IF(ISERROR(B31*3.6/1000000/'E Balans VL '!Z11*100),0,B31*3.6/1000000/'E Balans VL '!Z11*100)</f>
        <v>2.2125923827705073E-2</v>
      </c>
      <c r="D31" s="239" t="s">
        <v>692</v>
      </c>
    </row>
    <row r="32" spans="1:18">
      <c r="A32" s="233" t="s">
        <v>260</v>
      </c>
      <c r="B32" s="33">
        <f>IF(ISERROR(TER_rest_ele_kWh/1000),0,TER_rest_ele_kWh/1000)</f>
        <v>5172.8312096744803</v>
      </c>
      <c r="C32" s="39">
        <f>IF(ISERROR(B32*3.6/1000000/'E Balans VL '!Z8*100),0,B32*3.6/1000000/'E Balans VL '!Z8*100)</f>
        <v>4.21554351270877E-2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0</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0</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163</v>
      </c>
      <c r="B1" s="1173" t="s">
        <v>195</v>
      </c>
      <c r="C1" s="1174"/>
      <c r="D1" s="1174"/>
      <c r="E1" s="1174"/>
      <c r="F1" s="1174"/>
      <c r="G1" s="1174"/>
      <c r="H1" s="1174"/>
      <c r="I1" s="1174"/>
      <c r="J1" s="1174"/>
      <c r="K1" s="1174"/>
      <c r="L1" s="1174"/>
      <c r="M1" s="1174"/>
      <c r="N1" s="1174"/>
      <c r="O1" s="1174"/>
      <c r="P1" s="1174"/>
      <c r="R1" s="811"/>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c r="R2" s="811"/>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24682.576212167398</v>
      </c>
      <c r="C5" s="17">
        <f>IF(ISERROR('Eigen informatie GS &amp; warmtenet'!B59),0,'Eigen informatie GS &amp; warmtenet'!B59)</f>
        <v>0</v>
      </c>
      <c r="D5" s="30">
        <f>SUM(D6:D15)</f>
        <v>28540.776026012591</v>
      </c>
      <c r="E5" s="17">
        <f>SUM(E6:E15)</f>
        <v>1421.685566990087</v>
      </c>
      <c r="F5" s="17">
        <f>SUM(F6:F15)</f>
        <v>5752.3530614146566</v>
      </c>
      <c r="G5" s="18"/>
      <c r="H5" s="17"/>
      <c r="I5" s="17"/>
      <c r="J5" s="17">
        <f>SUM(J6:J15)</f>
        <v>23.58918973876715</v>
      </c>
      <c r="K5" s="17"/>
      <c r="L5" s="17"/>
      <c r="M5" s="17"/>
      <c r="N5" s="17">
        <f>SUM(N6:N15)</f>
        <v>3152.5542558513198</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160.88568163476299</v>
      </c>
      <c r="C8" s="33"/>
      <c r="D8" s="37">
        <f>IF( ISERROR(IND_metaal_Gas_kWH/1000),0,IND_metaal_Gas_kWH/1000)*0.902</f>
        <v>0</v>
      </c>
      <c r="E8" s="33">
        <f>C30*'E Balans VL '!I18/100/3.6*1000000</f>
        <v>4.6212406673148028</v>
      </c>
      <c r="F8" s="33">
        <f>C30*'E Balans VL '!L18/100/3.6*1000000+C30*'E Balans VL '!N18/100/3.6*1000000</f>
        <v>41.264083062976447</v>
      </c>
      <c r="G8" s="34"/>
      <c r="H8" s="33"/>
      <c r="I8" s="33"/>
      <c r="J8" s="40">
        <f>C30*'E Balans VL '!D18/100/3.6*1000000+C30*'E Balans VL '!E18/100/3.6*1000000</f>
        <v>0</v>
      </c>
      <c r="K8" s="33"/>
      <c r="L8" s="33"/>
      <c r="M8" s="33"/>
      <c r="N8" s="33">
        <f>C30*'E Balans VL '!Y18/100/3.6*1000000</f>
        <v>4.3683746705890085</v>
      </c>
      <c r="O8" s="33"/>
      <c r="P8" s="33"/>
      <c r="R8" s="32"/>
    </row>
    <row r="9" spans="1:18">
      <c r="A9" s="6" t="s">
        <v>33</v>
      </c>
      <c r="B9" s="37">
        <f t="shared" si="0"/>
        <v>3118.0281783770502</v>
      </c>
      <c r="C9" s="33"/>
      <c r="D9" s="37">
        <f>IF( ISERROR(IND_andere_gas_kWh/1000),0,IND_andere_gas_kWh/1000)*0.902</f>
        <v>2038.1680446188991</v>
      </c>
      <c r="E9" s="33">
        <f>C31*'E Balans VL '!I19/100/3.6*1000000</f>
        <v>843.97356480173471</v>
      </c>
      <c r="F9" s="33">
        <f>C31*'E Balans VL '!L19/100/3.6*1000000+C31*'E Balans VL '!N19/100/3.6*1000000</f>
        <v>2076.9367231050428</v>
      </c>
      <c r="G9" s="34"/>
      <c r="H9" s="33"/>
      <c r="I9" s="33"/>
      <c r="J9" s="40">
        <f>C31*'E Balans VL '!D19/100/3.6*1000000+C31*'E Balans VL '!E19/100/3.6*1000000</f>
        <v>0</v>
      </c>
      <c r="K9" s="33"/>
      <c r="L9" s="33"/>
      <c r="M9" s="33"/>
      <c r="N9" s="33">
        <f>C31*'E Balans VL '!Y19/100/3.6*1000000</f>
        <v>1017.9844053578521</v>
      </c>
      <c r="O9" s="33"/>
      <c r="P9" s="33"/>
      <c r="R9" s="32"/>
    </row>
    <row r="10" spans="1:18">
      <c r="A10" s="6" t="s">
        <v>41</v>
      </c>
      <c r="B10" s="37">
        <f t="shared" si="0"/>
        <v>701.94731197239298</v>
      </c>
      <c r="C10" s="33"/>
      <c r="D10" s="37">
        <f>IF( ISERROR(IND_voed_gas_kWh/1000),0,IND_voed_gas_kWh/1000)*0.902</f>
        <v>623.93299435774725</v>
      </c>
      <c r="E10" s="33">
        <f>C32*'E Balans VL '!I20/100/3.6*1000000</f>
        <v>57.252435446453461</v>
      </c>
      <c r="F10" s="33">
        <f>C32*'E Balans VL '!L20/100/3.6*1000000+C32*'E Balans VL '!N20/100/3.6*1000000</f>
        <v>1046.6671283912506</v>
      </c>
      <c r="G10" s="34"/>
      <c r="H10" s="33"/>
      <c r="I10" s="33"/>
      <c r="J10" s="40">
        <f>C32*'E Balans VL '!D20/100/3.6*1000000+C32*'E Balans VL '!E20/100/3.6*1000000</f>
        <v>9.2859108876610173E-3</v>
      </c>
      <c r="K10" s="33"/>
      <c r="L10" s="33"/>
      <c r="M10" s="33"/>
      <c r="N10" s="33">
        <f>C32*'E Balans VL '!Y20/100/3.6*1000000</f>
        <v>206.20735120764314</v>
      </c>
      <c r="O10" s="33"/>
      <c r="P10" s="33"/>
      <c r="R10" s="32"/>
    </row>
    <row r="11" spans="1:18">
      <c r="A11" s="6" t="s">
        <v>40</v>
      </c>
      <c r="B11" s="37">
        <f t="shared" si="0"/>
        <v>11471.3423548834</v>
      </c>
      <c r="C11" s="33"/>
      <c r="D11" s="37">
        <f>IF( ISERROR(IND_textiel_gas_kWh/1000),0,IND_textiel_gas_kWh/1000)*0.902</f>
        <v>0</v>
      </c>
      <c r="E11" s="33">
        <f>C33*'E Balans VL '!I21/100/3.6*1000000</f>
        <v>2.2738547550728767</v>
      </c>
      <c r="F11" s="33">
        <f>C33*'E Balans VL '!L21/100/3.6*1000000+C33*'E Balans VL '!N21/100/3.6*1000000</f>
        <v>422.50337914908908</v>
      </c>
      <c r="G11" s="34"/>
      <c r="H11" s="33"/>
      <c r="I11" s="33"/>
      <c r="J11" s="40">
        <f>C33*'E Balans VL '!D21/100/3.6*1000000+C33*'E Balans VL '!E21/100/3.6*1000000</f>
        <v>0</v>
      </c>
      <c r="K11" s="33"/>
      <c r="L11" s="33"/>
      <c r="M11" s="33"/>
      <c r="N11" s="33">
        <f>C33*'E Balans VL '!Y21/100/3.6*1000000</f>
        <v>53.338846103360041</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30.4798716757496</v>
      </c>
      <c r="C13" s="33"/>
      <c r="D13" s="37">
        <f>IF( ISERROR(IND_papier_gas_kWh/1000),0,IND_papier_gas_kWh/1000)*0.902</f>
        <v>34.578878228946834</v>
      </c>
      <c r="E13" s="33">
        <f>C35*'E Balans VL '!I23/100/3.6*1000000</f>
        <v>0.31933218335307401</v>
      </c>
      <c r="F13" s="33">
        <f>C35*'E Balans VL '!L23/100/3.6*1000000+C35*'E Balans VL '!N23/100/3.6*1000000</f>
        <v>2.2744134268807756</v>
      </c>
      <c r="G13" s="34"/>
      <c r="H13" s="33"/>
      <c r="I13" s="33"/>
      <c r="J13" s="40">
        <f>C35*'E Balans VL '!D23/100/3.6*1000000+C35*'E Balans VL '!E23/100/3.6*1000000</f>
        <v>0</v>
      </c>
      <c r="K13" s="33"/>
      <c r="L13" s="33"/>
      <c r="M13" s="33"/>
      <c r="N13" s="33">
        <f>C35*'E Balans VL '!Y23/100/3.6*1000000</f>
        <v>65.147544314572528</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9199.8928136240393</v>
      </c>
      <c r="C15" s="33"/>
      <c r="D15" s="37">
        <f>IF( ISERROR(IND_rest_gas_kWh/1000),0,IND_rest_gas_kWh/1000)*0.902</f>
        <v>25844.096108806996</v>
      </c>
      <c r="E15" s="33">
        <f>C37*'E Balans VL '!I15/100/3.6*1000000</f>
        <v>513.24513913615817</v>
      </c>
      <c r="F15" s="33">
        <f>C37*'E Balans VL '!L15/100/3.6*1000000+C37*'E Balans VL '!N15/100/3.6*1000000</f>
        <v>2162.707334279416</v>
      </c>
      <c r="G15" s="34"/>
      <c r="H15" s="33"/>
      <c r="I15" s="33"/>
      <c r="J15" s="40">
        <f>C37*'E Balans VL '!D15/100/3.6*1000000+C37*'E Balans VL '!E15/100/3.6*1000000</f>
        <v>23.579903827879487</v>
      </c>
      <c r="K15" s="33"/>
      <c r="L15" s="33"/>
      <c r="M15" s="33"/>
      <c r="N15" s="33">
        <f>C37*'E Balans VL '!Y15/100/3.6*1000000</f>
        <v>1805.5077341973026</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24682.576212167398</v>
      </c>
      <c r="C18" s="21">
        <f>C5+C16</f>
        <v>0</v>
      </c>
      <c r="D18" s="21">
        <f>MAX((D5+D16),0)</f>
        <v>28540.776026012591</v>
      </c>
      <c r="E18" s="21">
        <f>MAX((E5+E16),0)</f>
        <v>1421.685566990087</v>
      </c>
      <c r="F18" s="21">
        <f>MAX((F5+F16),0)</f>
        <v>5752.3530614146566</v>
      </c>
      <c r="G18" s="21"/>
      <c r="H18" s="21"/>
      <c r="I18" s="21"/>
      <c r="J18" s="21">
        <f>MAX((J5+J16),0)</f>
        <v>23.58918973876715</v>
      </c>
      <c r="K18" s="21"/>
      <c r="L18" s="21">
        <f>MAX((L5+L16),0)</f>
        <v>0</v>
      </c>
      <c r="M18" s="21"/>
      <c r="N18" s="21">
        <f>MAX((N5+N16),0)</f>
        <v>3152.5542558513198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0.20070071228966457</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4953.8106269259279</v>
      </c>
      <c r="C22" s="23">
        <f ca="1">C18*C20</f>
        <v>0</v>
      </c>
      <c r="D22" s="23">
        <f>D18*D20</f>
        <v>5765.2367572545436</v>
      </c>
      <c r="E22" s="23">
        <f>E18*E20</f>
        <v>322.72262370674974</v>
      </c>
      <c r="F22" s="23">
        <f>F18*F20</f>
        <v>1535.8782673977134</v>
      </c>
      <c r="G22" s="23"/>
      <c r="H22" s="23"/>
      <c r="I22" s="23"/>
      <c r="J22" s="23">
        <f>J18*J20</f>
        <v>8.3505731675235708</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160.88568163476299</v>
      </c>
      <c r="C30" s="39">
        <f>IF(ISERROR(B30*3.6/1000000/'E Balans VL '!Z18*100),0,B30*3.6/1000000/'E Balans VL '!Z18*100)</f>
        <v>1.583074037546503E-2</v>
      </c>
      <c r="D30" s="239" t="s">
        <v>692</v>
      </c>
    </row>
    <row r="31" spans="1:18">
      <c r="A31" s="6" t="s">
        <v>33</v>
      </c>
      <c r="B31" s="37">
        <f>IF( ISERROR(IND_ander_ele_kWh/1000),0,IND_ander_ele_kWh/1000)</f>
        <v>3118.0281783770502</v>
      </c>
      <c r="C31" s="39">
        <f>IF(ISERROR(B31*3.6/1000000/'E Balans VL '!Z19*100),0,B31*3.6/1000000/'E Balans VL '!Z19*100)</f>
        <v>0.13578763994174345</v>
      </c>
      <c r="D31" s="239" t="s">
        <v>692</v>
      </c>
    </row>
    <row r="32" spans="1:18">
      <c r="A32" s="173" t="s">
        <v>41</v>
      </c>
      <c r="B32" s="37">
        <f>IF( ISERROR(IND_voed_ele_kWh/1000),0,IND_voed_ele_kWh/1000)</f>
        <v>701.94731197239298</v>
      </c>
      <c r="C32" s="39">
        <f>IF(ISERROR(B32*3.6/1000000/'E Balans VL '!Z20*100),0,B32*3.6/1000000/'E Balans VL '!Z20*100)</f>
        <v>0.13318437926525237</v>
      </c>
      <c r="D32" s="239" t="s">
        <v>692</v>
      </c>
    </row>
    <row r="33" spans="1:5">
      <c r="A33" s="173" t="s">
        <v>40</v>
      </c>
      <c r="B33" s="37">
        <f>IF( ISERROR(IND_textiel_ele_kWh/1000),0,IND_textiel_ele_kWh/1000)</f>
        <v>11471.3423548834</v>
      </c>
      <c r="C33" s="39">
        <f>IF(ISERROR(B33*3.6/1000000/'E Balans VL '!Z21*100),0,B33*3.6/1000000/'E Balans VL '!Z21*100)</f>
        <v>0.65495547435737822</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30.4798716757496</v>
      </c>
      <c r="C35" s="39">
        <f>IF(ISERROR(B35*3.6/1000000/'E Balans VL '!Z22*100),0,B35*3.6/1000000/'E Balans VL '!Z22*100)</f>
        <v>4.2857760269416935E-3</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9199.8928136240393</v>
      </c>
      <c r="C37" s="39">
        <f>IF(ISERROR(B37*3.6/1000000/'E Balans VL '!Z15*100),0,B37*3.6/1000000/'E Balans VL '!Z15*100)</f>
        <v>7.0896473926559206E-2</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271</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3762.3934994583879</v>
      </c>
      <c r="C5" s="17">
        <f>'Eigen informatie GS &amp; warmtenet'!B60</f>
        <v>0</v>
      </c>
      <c r="D5" s="30">
        <f>IF(ISERROR(SUM(LB_lb_gas_kWh,LB_rest_gas_kWh,onbekend_gas_kWh)/1000),0,SUM(LB_lb_gas_kWh,LB_rest_gas_kWh,onbekend_gas_kWh)/1000)*0.902</f>
        <v>1334.6661716481178</v>
      </c>
      <c r="E5" s="17">
        <f>B17*'E Balans VL '!I25/3.6*1000000/100</f>
        <v>47.411005041487321</v>
      </c>
      <c r="F5" s="17">
        <f>B17*('E Balans VL '!L25/3.6*1000000+'E Balans VL '!N25/3.6*1000000)/100</f>
        <v>12981.200109021882</v>
      </c>
      <c r="G5" s="18"/>
      <c r="H5" s="17"/>
      <c r="I5" s="17"/>
      <c r="J5" s="17">
        <f>('E Balans VL '!D25+'E Balans VL '!E25)/3.6*1000000*landbouw!B17/100</f>
        <v>565.8212129387116</v>
      </c>
      <c r="K5" s="17"/>
      <c r="L5" s="17">
        <f>L6*(-1)</f>
        <v>0</v>
      </c>
      <c r="M5" s="17"/>
      <c r="N5" s="17">
        <f>N6*(-1)</f>
        <v>0</v>
      </c>
      <c r="O5" s="17"/>
      <c r="P5" s="17"/>
      <c r="R5" s="32"/>
    </row>
    <row r="6" spans="1:18">
      <c r="A6" s="16" t="s">
        <v>497</v>
      </c>
      <c r="B6" s="17" t="s">
        <v>211</v>
      </c>
      <c r="C6" s="17">
        <f>'lokale energieproductie'!O91+'lokale energieproductie'!O60</f>
        <v>0</v>
      </c>
      <c r="D6" s="312">
        <f>('lokale energieproductie'!P60+'lokale energieproductie'!P91)*(-1)</f>
        <v>0</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3762.3934994583879</v>
      </c>
      <c r="C8" s="21">
        <f>C5+C6</f>
        <v>0</v>
      </c>
      <c r="D8" s="21">
        <f>MAX((D5+D6),0)</f>
        <v>1334.6661716481178</v>
      </c>
      <c r="E8" s="21">
        <f>MAX((E5+E6),0)</f>
        <v>47.411005041487321</v>
      </c>
      <c r="F8" s="21">
        <f>MAX((F5+F6),0)</f>
        <v>12981.200109021882</v>
      </c>
      <c r="G8" s="21"/>
      <c r="H8" s="21"/>
      <c r="I8" s="21"/>
      <c r="J8" s="21">
        <f>MAX((J5+J6),0)</f>
        <v>565.8212129387116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0.20070071228966457</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755.1150552553022</v>
      </c>
      <c r="C12" s="23">
        <f ca="1">C8*C10</f>
        <v>0</v>
      </c>
      <c r="D12" s="23">
        <f>D8*D10</f>
        <v>269.60256667291981</v>
      </c>
      <c r="E12" s="23">
        <f>E8*E10</f>
        <v>10.762298144417622</v>
      </c>
      <c r="F12" s="23">
        <f>F8*F10</f>
        <v>3465.9804291088426</v>
      </c>
      <c r="G12" s="23"/>
      <c r="H12" s="23"/>
      <c r="I12" s="23"/>
      <c r="J12" s="23">
        <f>J8*J10</f>
        <v>200.30070938030389</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0.52473530941469071</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80" t="s">
        <v>303</v>
      </c>
      <c r="B22" s="1183" t="s">
        <v>304</v>
      </c>
      <c r="C22" s="1183" t="s">
        <v>502</v>
      </c>
    </row>
    <row r="23" spans="1:4">
      <c r="A23" s="1181"/>
      <c r="B23" s="1184"/>
      <c r="C23" s="1184"/>
    </row>
    <row r="24" spans="1:4" ht="15.75" thickBot="1">
      <c r="A24" s="1182"/>
      <c r="B24" s="1185"/>
      <c r="C24" s="1185"/>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315.13094129181559</v>
      </c>
      <c r="C26" s="249">
        <f>B26*'GWP N2O_CH4'!B5</f>
        <v>6617.7497671281271</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290.69828329388184</v>
      </c>
      <c r="C27" s="249">
        <f>B27*'GWP N2O_CH4'!B5</f>
        <v>6104.6639491715187</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5.2692345703480363</v>
      </c>
      <c r="C28" s="249">
        <f>B28*'GWP N2O_CH4'!B4</f>
        <v>1633.4627168078912</v>
      </c>
      <c r="D28" s="50"/>
    </row>
    <row r="29" spans="1:4">
      <c r="A29" s="41" t="s">
        <v>277</v>
      </c>
      <c r="B29" s="249">
        <f>B34*'ha_N2O bodem landbouw'!B4</f>
        <v>11.472458123836768</v>
      </c>
      <c r="C29" s="249">
        <f>B29*'GWP N2O_CH4'!B4</f>
        <v>3556.4620183893981</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2.8645581575209526E-3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2" sqref="C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72" t="s">
        <v>506</v>
      </c>
      <c r="B1" s="1173" t="s">
        <v>559</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8.4181812551445263E-6</v>
      </c>
      <c r="C5" s="448" t="s">
        <v>211</v>
      </c>
      <c r="D5" s="433">
        <f>SUM(D6:D11)</f>
        <v>1.5819680543510839E-5</v>
      </c>
      <c r="E5" s="433">
        <f>SUM(E6:E11)</f>
        <v>4.7481736096991606E-4</v>
      </c>
      <c r="F5" s="446" t="s">
        <v>211</v>
      </c>
      <c r="G5" s="433">
        <f>SUM(G6:G11)</f>
        <v>0.12961510635452464</v>
      </c>
      <c r="H5" s="433">
        <f>SUM(H6:H11)</f>
        <v>2.3472275472923323E-2</v>
      </c>
      <c r="I5" s="448" t="s">
        <v>211</v>
      </c>
      <c r="J5" s="448" t="s">
        <v>211</v>
      </c>
      <c r="K5" s="448" t="s">
        <v>211</v>
      </c>
      <c r="L5" s="448" t="s">
        <v>211</v>
      </c>
      <c r="M5" s="433">
        <f>SUM(M6:M11)</f>
        <v>6.9205902528435333E-3</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4.8963558222876171E-6</v>
      </c>
      <c r="C6" s="949"/>
      <c r="D6" s="949">
        <f>vkm_2011_GW_PW*SUMIFS(TableVerdeelsleutelVkm[CNG],TableVerdeelsleutelVkm[Voertuigtype],"Lichte voertuigen")*SUMIFS(TableECFTransport[EnergieConsumptieFactor (PJ per km)],TableECFTransport[Index],CONCATENATE($A6,"_CNG_CNG"))</f>
        <v>6.9341974766395363E-6</v>
      </c>
      <c r="E6" s="949">
        <f>vkm_2011_GW_PW*SUMIFS(TableVerdeelsleutelVkm[LPG],TableVerdeelsleutelVkm[Voertuigtype],"Lichte voertuigen")*SUMIFS(TableECFTransport[EnergieConsumptieFactor (PJ per km)],TableECFTransport[Index],CONCATENATE($A6,"_LPG_LPG"))</f>
        <v>2.1778031476049134E-4</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3.9141085831583954E-2</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1.0488168901332655E-2</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2.2453860632164983E-3</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2.6197302282974518E-2</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9.3076299199300933E-6</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1.1822013432874765E-3</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3.5218254328569087E-6</v>
      </c>
      <c r="C8" s="949"/>
      <c r="D8" s="436">
        <f>vkm_2011_NGW_PW*SUMIFS(TableVerdeelsleutelVkm[CNG],TableVerdeelsleutelVkm[Voertuigtype],"Lichte voertuigen")*SUMIFS(TableECFTransport[EnergieConsumptieFactor (PJ per km)],TableECFTransport[Index],CONCATENATE($A8,"_CNG_CNG"))</f>
        <v>8.8854830668713031E-6</v>
      </c>
      <c r="E8" s="436">
        <f>vkm_2011_NGW_PW*SUMIFS(TableVerdeelsleutelVkm[LPG],TableVerdeelsleutelVkm[Voertuigtype],"Lichte voertuigen")*SUMIFS(TableECFTransport[EnergieConsumptieFactor (PJ per km)],TableECFTransport[Index],CONCATENATE($A8,"_LPG_LPG"))</f>
        <v>2.5703704620942474E-4</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4.3570271819859847E-2</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1.29678372816492E-2</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2.5586045230784E-3</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2.0706446420106328E-2</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6.9616600215370607E-6</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9.3439832326115886E-4</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949"/>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2.3383836819845905</v>
      </c>
      <c r="C14" s="21"/>
      <c r="D14" s="21">
        <f t="shared" ref="D14:M14" si="0">((D5)*10^9/3600)+D12</f>
        <v>4.3943557065307886</v>
      </c>
      <c r="E14" s="21">
        <f t="shared" si="0"/>
        <v>131.89371138053224</v>
      </c>
      <c r="F14" s="21"/>
      <c r="G14" s="21">
        <f t="shared" si="0"/>
        <v>36004.196209590176</v>
      </c>
      <c r="H14" s="21">
        <f t="shared" si="0"/>
        <v>6520.0765202564789</v>
      </c>
      <c r="I14" s="21"/>
      <c r="J14" s="21"/>
      <c r="K14" s="21"/>
      <c r="L14" s="21"/>
      <c r="M14" s="21">
        <f t="shared" si="0"/>
        <v>1922.3861813454259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0.20070071228966457</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0.46931527058083577</v>
      </c>
      <c r="C18" s="23"/>
      <c r="D18" s="23">
        <f t="shared" ref="D18:M18" si="1">D14*D16</f>
        <v>0.88765985271921932</v>
      </c>
      <c r="E18" s="23">
        <f t="shared" si="1"/>
        <v>29.939872483380817</v>
      </c>
      <c r="F18" s="23"/>
      <c r="G18" s="23">
        <f t="shared" si="1"/>
        <v>9613.1203879605782</v>
      </c>
      <c r="H18" s="23">
        <f t="shared" si="1"/>
        <v>1623.4990535438633</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86" t="s">
        <v>507</v>
      </c>
      <c r="B46" s="1187" t="s">
        <v>558</v>
      </c>
      <c r="C46" s="1188"/>
      <c r="D46" s="1188"/>
      <c r="E46" s="1188"/>
      <c r="F46" s="1188"/>
      <c r="G46" s="1188"/>
      <c r="H46" s="1188"/>
      <c r="I46" s="1188"/>
      <c r="J46" s="1188"/>
      <c r="K46" s="1188"/>
      <c r="L46" s="1188"/>
      <c r="M46" s="1188"/>
      <c r="N46" s="1188"/>
      <c r="O46" s="1188"/>
      <c r="P46" s="1188"/>
    </row>
    <row r="47" spans="1:16" s="15" customFormat="1" ht="15.75" thickTop="1">
      <c r="A47" s="1186"/>
      <c r="B47" s="1189" t="s">
        <v>21</v>
      </c>
      <c r="C47" s="1189" t="s">
        <v>196</v>
      </c>
      <c r="D47" s="1191" t="s">
        <v>197</v>
      </c>
      <c r="E47" s="1192"/>
      <c r="F47" s="1192"/>
      <c r="G47" s="1192"/>
      <c r="H47" s="1192"/>
      <c r="I47" s="1192"/>
      <c r="J47" s="1192"/>
      <c r="K47" s="1193"/>
      <c r="L47" s="1191" t="s">
        <v>198</v>
      </c>
      <c r="M47" s="1192"/>
      <c r="N47" s="1192"/>
      <c r="O47" s="1192"/>
      <c r="P47" s="1193"/>
    </row>
    <row r="48" spans="1:16" s="15" customFormat="1" ht="45">
      <c r="A48" s="1186"/>
      <c r="B48" s="1190"/>
      <c r="C48" s="119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1.418020309623427E-3</v>
      </c>
      <c r="H50" s="323">
        <f t="shared" si="2"/>
        <v>0</v>
      </c>
      <c r="I50" s="323">
        <f t="shared" si="2"/>
        <v>0</v>
      </c>
      <c r="J50" s="323">
        <f t="shared" si="2"/>
        <v>0</v>
      </c>
      <c r="K50" s="323">
        <f t="shared" si="2"/>
        <v>0</v>
      </c>
      <c r="L50" s="323">
        <f t="shared" si="2"/>
        <v>0</v>
      </c>
      <c r="M50" s="323">
        <f t="shared" si="2"/>
        <v>6.3062831528053987E-5</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1.418020309623427E-3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6.3062831528053987E-5</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393.89453045095195</v>
      </c>
      <c r="H54" s="21">
        <f t="shared" si="3"/>
        <v>0</v>
      </c>
      <c r="I54" s="21">
        <f t="shared" si="3"/>
        <v>0</v>
      </c>
      <c r="J54" s="21">
        <f t="shared" si="3"/>
        <v>0</v>
      </c>
      <c r="K54" s="21">
        <f t="shared" si="3"/>
        <v>0</v>
      </c>
      <c r="L54" s="21">
        <f t="shared" si="3"/>
        <v>0</v>
      </c>
      <c r="M54" s="21">
        <f t="shared" si="3"/>
        <v>17.51745320223722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0.20070071228966457</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105.16983963040417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218" t="s">
        <v>241</v>
      </c>
      <c r="B1" s="1218" t="s">
        <v>242</v>
      </c>
      <c r="C1" s="1221" t="s">
        <v>243</v>
      </c>
      <c r="D1" s="1222"/>
      <c r="E1" s="1222"/>
      <c r="F1" s="1222"/>
      <c r="G1" s="1222"/>
      <c r="H1" s="1222"/>
      <c r="I1" s="1222"/>
      <c r="J1" s="1222"/>
      <c r="K1" s="1222"/>
      <c r="L1" s="1223"/>
      <c r="M1" s="1207" t="s">
        <v>244</v>
      </c>
      <c r="N1" s="1206" t="s">
        <v>560</v>
      </c>
      <c r="O1" s="1207"/>
      <c r="Q1" s="1205"/>
      <c r="R1" s="1205"/>
      <c r="S1" s="1205"/>
    </row>
    <row r="2" spans="1:19" s="549" customFormat="1" ht="15.75" thickBot="1">
      <c r="A2" s="1219"/>
      <c r="B2" s="1219"/>
      <c r="C2" s="1242" t="s">
        <v>197</v>
      </c>
      <c r="D2" s="1243"/>
      <c r="E2" s="1243"/>
      <c r="F2" s="1243"/>
      <c r="G2" s="1244"/>
      <c r="H2" s="1245" t="s">
        <v>245</v>
      </c>
      <c r="I2" s="1231" t="s">
        <v>246</v>
      </c>
      <c r="J2" s="1231" t="s">
        <v>234</v>
      </c>
      <c r="K2" s="1231" t="s">
        <v>247</v>
      </c>
      <c r="L2" s="1233" t="s">
        <v>127</v>
      </c>
      <c r="M2" s="1209"/>
      <c r="N2" s="1208"/>
      <c r="O2" s="1209"/>
      <c r="Q2" s="1205"/>
      <c r="R2" s="1205"/>
      <c r="S2" s="1205"/>
    </row>
    <row r="3" spans="1:19" s="549" customFormat="1" ht="53.45" customHeight="1" thickBot="1">
      <c r="A3" s="1220"/>
      <c r="B3" s="1210"/>
      <c r="C3" s="550" t="s">
        <v>199</v>
      </c>
      <c r="D3" s="551" t="s">
        <v>200</v>
      </c>
      <c r="E3" s="552" t="s">
        <v>201</v>
      </c>
      <c r="F3" s="553" t="s">
        <v>203</v>
      </c>
      <c r="G3" s="554" t="s">
        <v>204</v>
      </c>
      <c r="H3" s="1228"/>
      <c r="I3" s="1232"/>
      <c r="J3" s="1232"/>
      <c r="K3" s="1232"/>
      <c r="L3" s="1241"/>
      <c r="M3" s="1211"/>
      <c r="N3" s="1210"/>
      <c r="O3" s="1211"/>
      <c r="Q3" s="1205"/>
      <c r="R3" s="1205"/>
      <c r="S3" s="1205"/>
    </row>
    <row r="4" spans="1:19" s="549" customFormat="1" ht="15.75" thickTop="1">
      <c r="A4" s="555" t="s">
        <v>249</v>
      </c>
      <c r="B4" s="556">
        <f>IF(ISERROR(kWh_wind_land),0,kWh_wind_land)</f>
        <v>0</v>
      </c>
      <c r="C4" s="1249"/>
      <c r="D4" s="1237"/>
      <c r="E4" s="1237"/>
      <c r="F4" s="1252"/>
      <c r="G4" s="1255"/>
      <c r="H4" s="1246"/>
      <c r="I4" s="1237"/>
      <c r="J4" s="1237"/>
      <c r="K4" s="557"/>
      <c r="L4" s="1238"/>
      <c r="M4" s="558"/>
      <c r="N4" s="1212"/>
      <c r="O4" s="1213"/>
      <c r="Q4" s="559"/>
      <c r="R4" s="1202"/>
      <c r="S4" s="1202"/>
    </row>
    <row r="5" spans="1:19" s="549" customFormat="1">
      <c r="A5" s="560" t="s">
        <v>250</v>
      </c>
      <c r="B5" s="556">
        <f>IF(ISERROR(kWh_waterkracht),0,kWh_waterkracht)</f>
        <v>0</v>
      </c>
      <c r="C5" s="1250"/>
      <c r="D5" s="1235"/>
      <c r="E5" s="1235"/>
      <c r="F5" s="1253"/>
      <c r="G5" s="1256"/>
      <c r="H5" s="1247"/>
      <c r="I5" s="1235"/>
      <c r="J5" s="1235"/>
      <c r="K5" s="1235"/>
      <c r="L5" s="1239"/>
      <c r="M5" s="561"/>
      <c r="N5" s="1214"/>
      <c r="O5" s="1215"/>
      <c r="Q5" s="559"/>
      <c r="R5" s="1202"/>
      <c r="S5" s="1202"/>
    </row>
    <row r="6" spans="1:19" s="549" customFormat="1">
      <c r="A6" s="560" t="s">
        <v>251</v>
      </c>
      <c r="B6" s="556">
        <f>IF(ISERROR((kWh_PV_kleiner_dan_10kW+kWh_PV_groter_dan_10kW)),0,(kWh_PV_kleiner_dan_10kW+kWh_PV_groter_dan_10kW))</f>
        <v>5693.4764844466526</v>
      </c>
      <c r="C6" s="1251"/>
      <c r="D6" s="1236"/>
      <c r="E6" s="1236"/>
      <c r="F6" s="1254"/>
      <c r="G6" s="1257"/>
      <c r="H6" s="1248"/>
      <c r="I6" s="1236"/>
      <c r="J6" s="1236"/>
      <c r="K6" s="1236"/>
      <c r="L6" s="1240"/>
      <c r="M6" s="561"/>
      <c r="N6" s="1214"/>
      <c r="O6" s="1215"/>
      <c r="Q6" s="559"/>
      <c r="R6" s="1202"/>
      <c r="S6" s="1202"/>
    </row>
    <row r="7" spans="1:19" s="549" customFormat="1">
      <c r="A7" s="562" t="s">
        <v>252</v>
      </c>
      <c r="B7" s="563">
        <f>N57</f>
        <v>0</v>
      </c>
      <c r="C7" s="564">
        <f>B100</f>
        <v>0</v>
      </c>
      <c r="D7" s="565"/>
      <c r="E7" s="565">
        <f>E100</f>
        <v>0</v>
      </c>
      <c r="F7" s="566"/>
      <c r="G7" s="567"/>
      <c r="H7" s="565">
        <f>I100</f>
        <v>0</v>
      </c>
      <c r="I7" s="565">
        <f>G100+F100</f>
        <v>0</v>
      </c>
      <c r="J7" s="565">
        <f>H100+D100+C100</f>
        <v>0</v>
      </c>
      <c r="K7" s="565"/>
      <c r="L7" s="568"/>
      <c r="M7" s="569">
        <f>C7*$C$11+D7*$D$11+E7*$E$11+F7*$F$11+G7*$G$11+H7*$H$11+I7*$I$11+J7*$J$11</f>
        <v>0</v>
      </c>
      <c r="N7" s="1214"/>
      <c r="O7" s="1215"/>
      <c r="Q7" s="559"/>
      <c r="R7" s="1202"/>
      <c r="S7" s="120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216"/>
      <c r="O8" s="1217"/>
      <c r="P8" s="577"/>
      <c r="Q8" s="559"/>
      <c r="R8" s="1202"/>
      <c r="S8" s="1202"/>
    </row>
    <row r="9" spans="1:19" s="549" customFormat="1" ht="16.5" thickTop="1" thickBot="1">
      <c r="A9" s="578" t="s">
        <v>116</v>
      </c>
      <c r="B9" s="579">
        <f>SUM(B4:B8)</f>
        <v>5693.4764844466526</v>
      </c>
      <c r="C9" s="580">
        <f t="shared" ref="C9:L9" si="0">SUM(C7:C8)</f>
        <v>0</v>
      </c>
      <c r="D9" s="580">
        <f t="shared" si="0"/>
        <v>0</v>
      </c>
      <c r="E9" s="580">
        <f t="shared" si="0"/>
        <v>0</v>
      </c>
      <c r="F9" s="580">
        <f t="shared" si="0"/>
        <v>0</v>
      </c>
      <c r="G9" s="580">
        <f t="shared" si="0"/>
        <v>0</v>
      </c>
      <c r="H9" s="580">
        <f t="shared" si="0"/>
        <v>0</v>
      </c>
      <c r="I9" s="580">
        <f t="shared" si="0"/>
        <v>0</v>
      </c>
      <c r="J9" s="580">
        <f t="shared" si="0"/>
        <v>0</v>
      </c>
      <c r="K9" s="580">
        <f t="shared" si="0"/>
        <v>0</v>
      </c>
      <c r="L9" s="580">
        <f t="shared" si="0"/>
        <v>0</v>
      </c>
      <c r="M9" s="581">
        <f>SUM(M4:M8)</f>
        <v>0</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218" t="s">
        <v>253</v>
      </c>
      <c r="B13" s="1218" t="s">
        <v>254</v>
      </c>
      <c r="C13" s="1221" t="s">
        <v>255</v>
      </c>
      <c r="D13" s="1222"/>
      <c r="E13" s="1222"/>
      <c r="F13" s="1222"/>
      <c r="G13" s="1222"/>
      <c r="H13" s="1222"/>
      <c r="I13" s="1222"/>
      <c r="J13" s="1222"/>
      <c r="K13" s="1222"/>
      <c r="L13" s="1223"/>
      <c r="M13" s="1207" t="s">
        <v>244</v>
      </c>
      <c r="N13" s="1206" t="s">
        <v>256</v>
      </c>
      <c r="O13" s="1207"/>
      <c r="P13" s="1205"/>
      <c r="Q13" s="1205"/>
      <c r="R13" s="1205"/>
    </row>
    <row r="14" spans="1:19" s="549" customFormat="1" ht="15.75" thickBot="1">
      <c r="A14" s="1219"/>
      <c r="B14" s="1219"/>
      <c r="C14" s="1224" t="s">
        <v>197</v>
      </c>
      <c r="D14" s="1225"/>
      <c r="E14" s="1225"/>
      <c r="F14" s="1225"/>
      <c r="G14" s="1226"/>
      <c r="H14" s="1227" t="s">
        <v>245</v>
      </c>
      <c r="I14" s="1227" t="s">
        <v>246</v>
      </c>
      <c r="J14" s="1229" t="s">
        <v>234</v>
      </c>
      <c r="K14" s="1231" t="s">
        <v>257</v>
      </c>
      <c r="L14" s="1233" t="s">
        <v>127</v>
      </c>
      <c r="M14" s="1209"/>
      <c r="N14" s="1208"/>
      <c r="O14" s="1209"/>
      <c r="P14" s="1205"/>
      <c r="Q14" s="1205"/>
      <c r="R14" s="1205"/>
    </row>
    <row r="15" spans="1:19" s="549" customFormat="1" ht="40.700000000000003" customHeight="1" thickBot="1">
      <c r="A15" s="1220"/>
      <c r="B15" s="1220"/>
      <c r="C15" s="591" t="s">
        <v>199</v>
      </c>
      <c r="D15" s="551" t="s">
        <v>200</v>
      </c>
      <c r="E15" s="592" t="s">
        <v>201</v>
      </c>
      <c r="F15" s="551" t="s">
        <v>203</v>
      </c>
      <c r="G15" s="593" t="s">
        <v>204</v>
      </c>
      <c r="H15" s="1228"/>
      <c r="I15" s="1228"/>
      <c r="J15" s="1230"/>
      <c r="K15" s="1232"/>
      <c r="L15" s="1234"/>
      <c r="M15" s="1211"/>
      <c r="N15" s="1210"/>
      <c r="O15" s="1211"/>
      <c r="P15" s="1205"/>
      <c r="Q15" s="1205"/>
      <c r="R15" s="1205"/>
    </row>
    <row r="16" spans="1:19" s="549" customFormat="1" ht="15.75" thickTop="1">
      <c r="A16" s="594" t="s">
        <v>252</v>
      </c>
      <c r="B16" s="595">
        <f>O57</f>
        <v>0</v>
      </c>
      <c r="C16" s="596">
        <f>B101</f>
        <v>0</v>
      </c>
      <c r="D16" s="597"/>
      <c r="E16" s="597">
        <f>E101</f>
        <v>0</v>
      </c>
      <c r="F16" s="598"/>
      <c r="G16" s="599"/>
      <c r="H16" s="596">
        <f>I101</f>
        <v>0</v>
      </c>
      <c r="I16" s="597">
        <f>G101+F101</f>
        <v>0</v>
      </c>
      <c r="J16" s="597">
        <f>H101+D101+C101</f>
        <v>0</v>
      </c>
      <c r="K16" s="597"/>
      <c r="L16" s="600"/>
      <c r="M16" s="601">
        <f>C16*$C$21+E16*$E$21+H16*$H$21+I16*$I$21+J16*$J$21+D16*$D$21+F16*$F$21+G16*$G$21+K16*$K$21+L16*$L$21</f>
        <v>0</v>
      </c>
      <c r="N16" s="1197"/>
      <c r="O16" s="1198"/>
      <c r="P16" s="602"/>
      <c r="Q16" s="1199"/>
      <c r="R16" s="1199"/>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200"/>
      <c r="O17" s="1201"/>
      <c r="P17" s="559"/>
      <c r="Q17" s="1202"/>
      <c r="R17" s="120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203"/>
      <c r="O18" s="1204"/>
      <c r="P18" s="559"/>
      <c r="Q18" s="1202"/>
      <c r="R18" s="1202"/>
    </row>
    <row r="19" spans="1:26" s="549" customFormat="1" ht="16.5" thickTop="1" thickBot="1">
      <c r="A19" s="578" t="s">
        <v>116</v>
      </c>
      <c r="B19" s="579">
        <f>SUM(B16:B18)</f>
        <v>0</v>
      </c>
      <c r="C19" s="579">
        <f>SUM(C16:C18)</f>
        <v>0</v>
      </c>
      <c r="D19" s="579">
        <f t="shared" ref="D19:M19" si="1">SUM(D16:D18)</f>
        <v>0</v>
      </c>
      <c r="E19" s="579">
        <f t="shared" si="1"/>
        <v>0</v>
      </c>
      <c r="F19" s="579">
        <f t="shared" si="1"/>
        <v>0</v>
      </c>
      <c r="G19" s="579">
        <f t="shared" si="1"/>
        <v>0</v>
      </c>
      <c r="H19" s="579">
        <f t="shared" si="1"/>
        <v>0</v>
      </c>
      <c r="I19" s="579">
        <f t="shared" si="1"/>
        <v>0</v>
      </c>
      <c r="J19" s="579">
        <f t="shared" si="1"/>
        <v>0</v>
      </c>
      <c r="K19" s="579">
        <f t="shared" si="1"/>
        <v>0</v>
      </c>
      <c r="L19" s="579">
        <f t="shared" si="1"/>
        <v>0</v>
      </c>
      <c r="M19" s="606">
        <f t="shared" si="1"/>
        <v>0</v>
      </c>
      <c r="N19" s="1194"/>
      <c r="O19" s="1195"/>
      <c r="P19" s="559"/>
      <c r="Q19" s="1196"/>
      <c r="R19" s="1196"/>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12.75">
      <c r="A27" s="610"/>
      <c r="B27" s="839"/>
      <c r="C27" s="839"/>
      <c r="D27" s="658"/>
      <c r="E27" s="657"/>
      <c r="F27" s="657"/>
      <c r="G27" s="657"/>
      <c r="H27" s="657"/>
      <c r="I27" s="657"/>
      <c r="J27" s="838"/>
      <c r="K27" s="838"/>
      <c r="L27" s="657"/>
      <c r="M27" s="657"/>
      <c r="N27" s="657"/>
      <c r="O27" s="657"/>
      <c r="P27" s="657"/>
      <c r="Q27" s="657"/>
      <c r="R27" s="657"/>
      <c r="S27" s="657"/>
      <c r="T27" s="657"/>
      <c r="U27" s="657"/>
      <c r="V27" s="657"/>
      <c r="W27" s="657"/>
      <c r="X27" s="657"/>
      <c r="Y27" s="657"/>
      <c r="Z27" s="659"/>
    </row>
    <row r="28" spans="1:26" s="611" customFormat="1" ht="12.75">
      <c r="A28" s="610"/>
      <c r="B28" s="839"/>
      <c r="C28" s="839"/>
      <c r="D28" s="658"/>
      <c r="E28" s="657"/>
      <c r="F28" s="657"/>
      <c r="G28" s="657"/>
      <c r="H28" s="657"/>
      <c r="I28" s="657"/>
      <c r="J28" s="838"/>
      <c r="K28" s="838"/>
      <c r="L28" s="657"/>
      <c r="M28" s="657"/>
      <c r="N28" s="657"/>
      <c r="O28" s="657"/>
      <c r="P28" s="657"/>
      <c r="Q28" s="657"/>
      <c r="R28" s="657"/>
      <c r="S28" s="657"/>
      <c r="T28" s="657"/>
      <c r="U28" s="657"/>
      <c r="V28" s="657"/>
      <c r="W28" s="657"/>
      <c r="X28" s="657"/>
      <c r="Y28" s="657"/>
      <c r="Z28" s="659"/>
    </row>
    <row r="29" spans="1:26" s="611" customFormat="1" ht="12.75">
      <c r="A29" s="610"/>
      <c r="B29" s="839"/>
      <c r="C29" s="839"/>
      <c r="D29" s="658"/>
      <c r="E29" s="657"/>
      <c r="F29" s="657"/>
      <c r="G29" s="657"/>
      <c r="H29" s="657"/>
      <c r="I29" s="657"/>
      <c r="J29" s="838"/>
      <c r="K29" s="838"/>
      <c r="L29" s="657"/>
      <c r="M29" s="657"/>
      <c r="N29" s="657"/>
      <c r="O29" s="657"/>
      <c r="P29" s="657"/>
      <c r="Q29" s="657"/>
      <c r="R29" s="657"/>
      <c r="S29" s="657"/>
      <c r="T29" s="657"/>
      <c r="U29" s="657"/>
      <c r="V29" s="657"/>
      <c r="W29" s="657"/>
      <c r="X29" s="657"/>
      <c r="Y29" s="657"/>
      <c r="Z29" s="659"/>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0</v>
      </c>
      <c r="N57" s="615">
        <f>SUM(N27:N56)</f>
        <v>0</v>
      </c>
      <c r="O57" s="615">
        <f t="shared" ref="O57:W57" si="2">SUM(O27:O56)</f>
        <v>0</v>
      </c>
      <c r="P57" s="615">
        <f t="shared" si="2"/>
        <v>0</v>
      </c>
      <c r="Q57" s="615">
        <f t="shared" si="2"/>
        <v>0</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0</v>
      </c>
      <c r="N59" s="615">
        <f ca="1">SUMIF($Z$27:AB56,"tertiair",N27:N56)</f>
        <v>0</v>
      </c>
      <c r="O59" s="615">
        <f ca="1">SUMIF($Z$27:AC56,"tertiair",O27:O56)</f>
        <v>0</v>
      </c>
      <c r="P59" s="615">
        <f ca="1">SUMIF($Z$27:AD56,"tertiair",P27:P56)</f>
        <v>0</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0</v>
      </c>
      <c r="N60" s="620">
        <f t="shared" ref="N60:W60" si="4">SUMIF($Z$27:$Z$56,"landbouw",N27:N56)</f>
        <v>0</v>
      </c>
      <c r="O60" s="620">
        <f t="shared" si="4"/>
        <v>0</v>
      </c>
      <c r="P60" s="620">
        <f t="shared" si="4"/>
        <v>0</v>
      </c>
      <c r="Q60" s="620">
        <f t="shared" si="4"/>
        <v>0</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v>
      </c>
      <c r="C97" s="640">
        <f>IF(ISERROR(N57/(O57+N57)),0,N57/(N57+O57))</f>
        <v>0</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0</v>
      </c>
      <c r="C100" s="649">
        <f t="shared" si="9"/>
        <v>0</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0</v>
      </c>
      <c r="C101" s="652">
        <f t="shared" ref="C101:H101" si="10">$B$97*Q57</f>
        <v>0</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806</v>
      </c>
      <c r="B10" s="847" t="s">
        <v>807</v>
      </c>
      <c r="C10" s="355" t="s">
        <v>808</v>
      </c>
      <c r="D10" s="355" t="s">
        <v>804</v>
      </c>
      <c r="E10" s="358" t="s">
        <v>803</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812</v>
      </c>
      <c r="C18" s="958" t="s">
        <v>814</v>
      </c>
      <c r="D18" s="960" t="s">
        <v>815</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812</v>
      </c>
      <c r="C22" s="355" t="s">
        <v>413</v>
      </c>
      <c r="D22" s="355" t="s">
        <v>816</v>
      </c>
      <c r="E22" s="352"/>
      <c r="F22" s="353" t="s">
        <v>821</v>
      </c>
      <c r="G22" s="353" t="s">
        <v>822</v>
      </c>
      <c r="H22" s="354" t="s">
        <v>823</v>
      </c>
    </row>
    <row r="23" spans="1:8" s="946" customFormat="1">
      <c r="A23" s="355" t="s">
        <v>413</v>
      </c>
      <c r="B23" s="847"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953"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120" t="s">
        <v>221</v>
      </c>
      <c r="B2" s="1120"/>
      <c r="C2" s="1120"/>
      <c r="D2" s="59"/>
      <c r="E2" s="59"/>
      <c r="F2" s="59"/>
      <c r="G2" s="59"/>
      <c r="H2" s="60"/>
      <c r="I2" s="60"/>
      <c r="J2" s="61"/>
      <c r="K2" s="61"/>
      <c r="L2" s="60"/>
      <c r="M2" s="60"/>
      <c r="N2" s="60"/>
      <c r="O2" s="60"/>
      <c r="P2" s="60"/>
      <c r="Q2" s="60"/>
      <c r="R2" s="60"/>
    </row>
    <row r="3" spans="1:19">
      <c r="A3" s="1121"/>
      <c r="B3" s="1121"/>
      <c r="C3" s="1121"/>
      <c r="D3" s="1121"/>
      <c r="E3" s="1121"/>
      <c r="F3" s="1121"/>
      <c r="G3" s="1121"/>
      <c r="H3" s="1121"/>
      <c r="I3" s="1121"/>
      <c r="J3" s="1121"/>
      <c r="K3" s="1121"/>
      <c r="L3" s="1121"/>
      <c r="M3" s="1121"/>
      <c r="N3" s="1121"/>
      <c r="O3" s="1121"/>
      <c r="P3" s="1121"/>
      <c r="Q3" s="1121"/>
      <c r="R3" s="1121"/>
    </row>
    <row r="4" spans="1:19" ht="15.75" thickBot="1">
      <c r="A4" s="458"/>
      <c r="B4" s="458"/>
      <c r="C4" s="63"/>
      <c r="D4" s="63"/>
      <c r="E4" s="63"/>
      <c r="F4" s="63"/>
      <c r="G4" s="63"/>
      <c r="H4" s="63"/>
      <c r="I4" s="63"/>
      <c r="J4" s="63"/>
      <c r="K4" s="63"/>
      <c r="L4" s="63"/>
      <c r="M4" s="63"/>
      <c r="N4" s="63"/>
      <c r="O4" s="63"/>
      <c r="P4" s="63"/>
      <c r="Q4" s="63"/>
      <c r="R4" s="63"/>
    </row>
    <row r="5" spans="1:19" ht="16.5" thickBot="1">
      <c r="A5" s="1122" t="s">
        <v>222</v>
      </c>
      <c r="B5" s="848"/>
      <c r="C5" s="1125" t="s">
        <v>343</v>
      </c>
      <c r="D5" s="1126"/>
      <c r="E5" s="1126"/>
      <c r="F5" s="1126"/>
      <c r="G5" s="1126"/>
      <c r="H5" s="1126"/>
      <c r="I5" s="1126"/>
      <c r="J5" s="1126"/>
      <c r="K5" s="1126"/>
      <c r="L5" s="1126"/>
      <c r="M5" s="1126"/>
      <c r="N5" s="1126"/>
      <c r="O5" s="1126"/>
      <c r="P5" s="1126"/>
      <c r="Q5" s="1126"/>
      <c r="R5" s="1127"/>
    </row>
    <row r="6" spans="1:19" ht="16.5" thickTop="1">
      <c r="A6" s="1123"/>
      <c r="B6" s="849"/>
      <c r="C6" s="1128" t="s">
        <v>21</v>
      </c>
      <c r="D6" s="1130" t="s">
        <v>196</v>
      </c>
      <c r="E6" s="1132" t="s">
        <v>197</v>
      </c>
      <c r="F6" s="1133"/>
      <c r="G6" s="1133"/>
      <c r="H6" s="1133"/>
      <c r="I6" s="1133"/>
      <c r="J6" s="1133"/>
      <c r="K6" s="1133"/>
      <c r="L6" s="1134"/>
      <c r="M6" s="1132" t="s">
        <v>198</v>
      </c>
      <c r="N6" s="1133"/>
      <c r="O6" s="1133"/>
      <c r="P6" s="1133"/>
      <c r="Q6" s="1133"/>
      <c r="R6" s="1135" t="s">
        <v>116</v>
      </c>
    </row>
    <row r="7" spans="1:19" ht="45.75" thickBot="1">
      <c r="A7" s="1124"/>
      <c r="B7" s="850"/>
      <c r="C7" s="1129"/>
      <c r="D7" s="113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136"/>
    </row>
    <row r="8" spans="1:19" ht="18.75" customHeight="1" thickTop="1">
      <c r="A8" s="857" t="s">
        <v>344</v>
      </c>
      <c r="B8" s="862"/>
      <c r="C8" s="1107"/>
      <c r="D8" s="1107"/>
      <c r="E8" s="1107"/>
      <c r="F8" s="1107"/>
      <c r="G8" s="1107"/>
      <c r="H8" s="1107"/>
      <c r="I8" s="1107"/>
      <c r="J8" s="1107"/>
      <c r="K8" s="1107"/>
      <c r="L8" s="1107"/>
      <c r="M8" s="1107"/>
      <c r="N8" s="1107"/>
      <c r="O8" s="1107"/>
      <c r="P8" s="1107"/>
      <c r="Q8" s="110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13526.007026274932</v>
      </c>
      <c r="D10" s="704">
        <f ca="1">tertiair!C16</f>
        <v>0</v>
      </c>
      <c r="E10" s="704">
        <f ca="1">tertiair!D16</f>
        <v>14031.876148276604</v>
      </c>
      <c r="F10" s="704">
        <f>tertiair!E16</f>
        <v>169.1757949363512</v>
      </c>
      <c r="G10" s="704">
        <f ca="1">tertiair!F16</f>
        <v>2535.7002589451222</v>
      </c>
      <c r="H10" s="704">
        <f>tertiair!G16</f>
        <v>0</v>
      </c>
      <c r="I10" s="704">
        <f>tertiair!H16</f>
        <v>0</v>
      </c>
      <c r="J10" s="704">
        <f>tertiair!I16</f>
        <v>0</v>
      </c>
      <c r="K10" s="704">
        <f>tertiair!J16</f>
        <v>0</v>
      </c>
      <c r="L10" s="704">
        <f>tertiair!K16</f>
        <v>0</v>
      </c>
      <c r="M10" s="704">
        <f ca="1">tertiair!L16</f>
        <v>0</v>
      </c>
      <c r="N10" s="704">
        <f>tertiair!M16</f>
        <v>0</v>
      </c>
      <c r="O10" s="704">
        <f ca="1">tertiair!N16</f>
        <v>1196.449613764375</v>
      </c>
      <c r="P10" s="704">
        <f>tertiair!O16</f>
        <v>0</v>
      </c>
      <c r="Q10" s="705">
        <f>tertiair!P16</f>
        <v>0</v>
      </c>
      <c r="R10" s="707">
        <f ca="1">SUM(C10:Q10)</f>
        <v>31459.208842197386</v>
      </c>
      <c r="S10" s="67"/>
    </row>
    <row r="11" spans="1:19" s="459" customFormat="1">
      <c r="A11" s="858" t="s">
        <v>225</v>
      </c>
      <c r="B11" s="863"/>
      <c r="C11" s="704">
        <f>huishoudens!B8</f>
        <v>20012.027468643559</v>
      </c>
      <c r="D11" s="704">
        <f>huishoudens!C8</f>
        <v>0</v>
      </c>
      <c r="E11" s="704">
        <f>huishoudens!D8</f>
        <v>41353.18170096814</v>
      </c>
      <c r="F11" s="704">
        <f>huishoudens!E8</f>
        <v>4539.7723983695532</v>
      </c>
      <c r="G11" s="704">
        <f>huishoudens!F8</f>
        <v>21266.265501592516</v>
      </c>
      <c r="H11" s="704">
        <f>huishoudens!G8</f>
        <v>0</v>
      </c>
      <c r="I11" s="704">
        <f>huishoudens!H8</f>
        <v>0</v>
      </c>
      <c r="J11" s="704">
        <f>huishoudens!I8</f>
        <v>0</v>
      </c>
      <c r="K11" s="704">
        <f>huishoudens!J8</f>
        <v>2888.4982929781008</v>
      </c>
      <c r="L11" s="704">
        <f>huishoudens!K8</f>
        <v>0</v>
      </c>
      <c r="M11" s="704">
        <f>huishoudens!L8</f>
        <v>0</v>
      </c>
      <c r="N11" s="704">
        <f>huishoudens!M8</f>
        <v>0</v>
      </c>
      <c r="O11" s="704">
        <f>huishoudens!N8</f>
        <v>12548.111017144833</v>
      </c>
      <c r="P11" s="704">
        <f>huishoudens!O8</f>
        <v>100.05333333333334</v>
      </c>
      <c r="Q11" s="705">
        <f>huishoudens!P8</f>
        <v>171.6</v>
      </c>
      <c r="R11" s="707">
        <f>SUM(C11:Q11)</f>
        <v>102879.50971303003</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24682.576212167398</v>
      </c>
      <c r="D13" s="704">
        <f>industrie!C18</f>
        <v>0</v>
      </c>
      <c r="E13" s="704">
        <f>industrie!D18</f>
        <v>28540.776026012591</v>
      </c>
      <c r="F13" s="704">
        <f>industrie!E18</f>
        <v>1421.685566990087</v>
      </c>
      <c r="G13" s="704">
        <f>industrie!F18</f>
        <v>5752.3530614146566</v>
      </c>
      <c r="H13" s="704">
        <f>industrie!G18</f>
        <v>0</v>
      </c>
      <c r="I13" s="704">
        <f>industrie!H18</f>
        <v>0</v>
      </c>
      <c r="J13" s="704">
        <f>industrie!I18</f>
        <v>0</v>
      </c>
      <c r="K13" s="704">
        <f>industrie!J18</f>
        <v>23.58918973876715</v>
      </c>
      <c r="L13" s="704">
        <f>industrie!K18</f>
        <v>0</v>
      </c>
      <c r="M13" s="704">
        <f>industrie!L18</f>
        <v>0</v>
      </c>
      <c r="N13" s="704">
        <f>industrie!M18</f>
        <v>0</v>
      </c>
      <c r="O13" s="704">
        <f>industrie!N18</f>
        <v>3152.5542558513198</v>
      </c>
      <c r="P13" s="704">
        <f>industrie!O18</f>
        <v>0</v>
      </c>
      <c r="Q13" s="705">
        <f>industrie!P18</f>
        <v>0</v>
      </c>
      <c r="R13" s="707">
        <f>SUM(C13:Q13)</f>
        <v>63573.534312174816</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58220.610707085892</v>
      </c>
      <c r="D15" s="709">
        <f t="shared" ref="D15:Q15" ca="1" si="0">SUM(D9:D14)</f>
        <v>0</v>
      </c>
      <c r="E15" s="709">
        <f t="shared" ca="1" si="0"/>
        <v>83925.833875257333</v>
      </c>
      <c r="F15" s="709">
        <f t="shared" si="0"/>
        <v>6130.6337602959911</v>
      </c>
      <c r="G15" s="709">
        <f t="shared" ca="1" si="0"/>
        <v>29554.318821952293</v>
      </c>
      <c r="H15" s="709">
        <f t="shared" si="0"/>
        <v>0</v>
      </c>
      <c r="I15" s="709">
        <f t="shared" si="0"/>
        <v>0</v>
      </c>
      <c r="J15" s="709">
        <f t="shared" si="0"/>
        <v>0</v>
      </c>
      <c r="K15" s="709">
        <f t="shared" si="0"/>
        <v>2912.0874827168682</v>
      </c>
      <c r="L15" s="709">
        <f t="shared" si="0"/>
        <v>0</v>
      </c>
      <c r="M15" s="709">
        <f t="shared" ca="1" si="0"/>
        <v>0</v>
      </c>
      <c r="N15" s="709">
        <f t="shared" si="0"/>
        <v>0</v>
      </c>
      <c r="O15" s="709">
        <f t="shared" ca="1" si="0"/>
        <v>16897.114886760526</v>
      </c>
      <c r="P15" s="709">
        <f t="shared" si="0"/>
        <v>100.05333333333334</v>
      </c>
      <c r="Q15" s="710">
        <f t="shared" si="0"/>
        <v>171.6</v>
      </c>
      <c r="R15" s="711">
        <f ca="1">SUM(R9:R14)</f>
        <v>197912.25286740222</v>
      </c>
      <c r="S15" s="67"/>
    </row>
    <row r="16" spans="1:19" s="459" customFormat="1" ht="15.75">
      <c r="A16" s="860" t="s">
        <v>227</v>
      </c>
      <c r="B16" s="754"/>
      <c r="C16" s="1108"/>
      <c r="D16" s="1108"/>
      <c r="E16" s="1108"/>
      <c r="F16" s="1108"/>
      <c r="G16" s="1108"/>
      <c r="H16" s="1108"/>
      <c r="I16" s="1108"/>
      <c r="J16" s="1108"/>
      <c r="K16" s="1108"/>
      <c r="L16" s="1108"/>
      <c r="M16" s="1108"/>
      <c r="N16" s="1108"/>
      <c r="O16" s="1108"/>
      <c r="P16" s="1108"/>
      <c r="Q16" s="110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393.89453045095195</v>
      </c>
      <c r="I18" s="704">
        <f>transport!H54</f>
        <v>0</v>
      </c>
      <c r="J18" s="704">
        <f>transport!I54</f>
        <v>0</v>
      </c>
      <c r="K18" s="704">
        <f>transport!J54</f>
        <v>0</v>
      </c>
      <c r="L18" s="704">
        <f>transport!K54</f>
        <v>0</v>
      </c>
      <c r="M18" s="704">
        <f>transport!L54</f>
        <v>0</v>
      </c>
      <c r="N18" s="704">
        <f>transport!M54</f>
        <v>17.51745320223722</v>
      </c>
      <c r="O18" s="704">
        <f>transport!N54</f>
        <v>0</v>
      </c>
      <c r="P18" s="704">
        <f>transport!O54</f>
        <v>0</v>
      </c>
      <c r="Q18" s="705">
        <f>transport!P54</f>
        <v>0</v>
      </c>
      <c r="R18" s="707">
        <f>SUM(C18:Q18)</f>
        <v>411.41198365318917</v>
      </c>
      <c r="S18" s="67"/>
    </row>
    <row r="19" spans="1:19" s="459" customFormat="1" ht="15" thickBot="1">
      <c r="A19" s="858" t="s">
        <v>307</v>
      </c>
      <c r="B19" s="863"/>
      <c r="C19" s="713">
        <f>transport!B14</f>
        <v>2.3383836819845905</v>
      </c>
      <c r="D19" s="713">
        <f>transport!C14</f>
        <v>0</v>
      </c>
      <c r="E19" s="713">
        <f>transport!D14</f>
        <v>4.3943557065307886</v>
      </c>
      <c r="F19" s="713">
        <f>transport!E14</f>
        <v>131.89371138053224</v>
      </c>
      <c r="G19" s="713">
        <f>transport!F14</f>
        <v>0</v>
      </c>
      <c r="H19" s="713">
        <f>transport!G14</f>
        <v>36004.196209590176</v>
      </c>
      <c r="I19" s="713">
        <f>transport!H14</f>
        <v>6520.0765202564789</v>
      </c>
      <c r="J19" s="713">
        <f>transport!I14</f>
        <v>0</v>
      </c>
      <c r="K19" s="713">
        <f>transport!J14</f>
        <v>0</v>
      </c>
      <c r="L19" s="713">
        <f>transport!K14</f>
        <v>0</v>
      </c>
      <c r="M19" s="713">
        <f>transport!L14</f>
        <v>0</v>
      </c>
      <c r="N19" s="713">
        <f>transport!M14</f>
        <v>1922.3861813454259</v>
      </c>
      <c r="O19" s="713">
        <f>transport!N14</f>
        <v>0</v>
      </c>
      <c r="P19" s="713">
        <f>transport!O14</f>
        <v>0</v>
      </c>
      <c r="Q19" s="714">
        <f>transport!P14</f>
        <v>0</v>
      </c>
      <c r="R19" s="715">
        <f>SUM(C19:Q19)</f>
        <v>44585.285361961134</v>
      </c>
      <c r="S19" s="67"/>
    </row>
    <row r="20" spans="1:19" s="459" customFormat="1" ht="15.75" thickBot="1">
      <c r="A20" s="716" t="s">
        <v>230</v>
      </c>
      <c r="B20" s="866"/>
      <c r="C20" s="861">
        <f>SUM(C17:C19)</f>
        <v>2.3383836819845905</v>
      </c>
      <c r="D20" s="717">
        <f t="shared" ref="D20:R20" si="1">SUM(D17:D19)</f>
        <v>0</v>
      </c>
      <c r="E20" s="717">
        <f t="shared" si="1"/>
        <v>4.3943557065307886</v>
      </c>
      <c r="F20" s="717">
        <f t="shared" si="1"/>
        <v>131.89371138053224</v>
      </c>
      <c r="G20" s="717">
        <f t="shared" si="1"/>
        <v>0</v>
      </c>
      <c r="H20" s="717">
        <f t="shared" si="1"/>
        <v>36398.090740041131</v>
      </c>
      <c r="I20" s="717">
        <f t="shared" si="1"/>
        <v>6520.0765202564789</v>
      </c>
      <c r="J20" s="717">
        <f t="shared" si="1"/>
        <v>0</v>
      </c>
      <c r="K20" s="717">
        <f t="shared" si="1"/>
        <v>0</v>
      </c>
      <c r="L20" s="717">
        <f t="shared" si="1"/>
        <v>0</v>
      </c>
      <c r="M20" s="717">
        <f t="shared" si="1"/>
        <v>0</v>
      </c>
      <c r="N20" s="717">
        <f t="shared" si="1"/>
        <v>1939.9036345476632</v>
      </c>
      <c r="O20" s="717">
        <f t="shared" si="1"/>
        <v>0</v>
      </c>
      <c r="P20" s="717">
        <f t="shared" si="1"/>
        <v>0</v>
      </c>
      <c r="Q20" s="718">
        <f t="shared" si="1"/>
        <v>0</v>
      </c>
      <c r="R20" s="719">
        <f t="shared" si="1"/>
        <v>44996.697345614324</v>
      </c>
      <c r="S20" s="67"/>
    </row>
    <row r="21" spans="1:19" s="459" customFormat="1" ht="15.75">
      <c r="A21" s="860" t="s">
        <v>237</v>
      </c>
      <c r="B21" s="754"/>
      <c r="C21" s="1108"/>
      <c r="D21" s="1108"/>
      <c r="E21" s="1108"/>
      <c r="F21" s="1108"/>
      <c r="G21" s="1108"/>
      <c r="H21" s="1108"/>
      <c r="I21" s="1108"/>
      <c r="J21" s="1108"/>
      <c r="K21" s="1108"/>
      <c r="L21" s="1108"/>
      <c r="M21" s="1108"/>
      <c r="N21" s="1108"/>
      <c r="O21" s="1108"/>
      <c r="P21" s="1108"/>
      <c r="Q21" s="1108"/>
      <c r="R21" s="712"/>
      <c r="S21" s="67"/>
    </row>
    <row r="22" spans="1:19" s="459" customFormat="1" ht="15" thickBot="1">
      <c r="A22" s="858" t="s">
        <v>654</v>
      </c>
      <c r="B22" s="867"/>
      <c r="C22" s="713">
        <f>+landbouw!B8</f>
        <v>3762.3934994583879</v>
      </c>
      <c r="D22" s="713">
        <f>+landbouw!C8</f>
        <v>0</v>
      </c>
      <c r="E22" s="713">
        <f>+landbouw!D8</f>
        <v>1334.6661716481178</v>
      </c>
      <c r="F22" s="713">
        <f>+landbouw!E8</f>
        <v>47.411005041487321</v>
      </c>
      <c r="G22" s="713">
        <f>+landbouw!F8</f>
        <v>12981.200109021882</v>
      </c>
      <c r="H22" s="713">
        <f>+landbouw!G8</f>
        <v>0</v>
      </c>
      <c r="I22" s="713">
        <f>+landbouw!H8</f>
        <v>0</v>
      </c>
      <c r="J22" s="713">
        <f>+landbouw!I8</f>
        <v>0</v>
      </c>
      <c r="K22" s="713">
        <f>+landbouw!J8</f>
        <v>565.8212129387116</v>
      </c>
      <c r="L22" s="713">
        <f>+landbouw!K8</f>
        <v>0</v>
      </c>
      <c r="M22" s="713">
        <f>+landbouw!L8</f>
        <v>0</v>
      </c>
      <c r="N22" s="713">
        <f>+landbouw!M8</f>
        <v>0</v>
      </c>
      <c r="O22" s="713">
        <f>+landbouw!N8</f>
        <v>0</v>
      </c>
      <c r="P22" s="713">
        <f>+landbouw!O8</f>
        <v>0</v>
      </c>
      <c r="Q22" s="714">
        <f>+landbouw!P8</f>
        <v>0</v>
      </c>
      <c r="R22" s="715">
        <f>SUM(C22:Q22)</f>
        <v>18691.491998108584</v>
      </c>
      <c r="S22" s="67"/>
    </row>
    <row r="23" spans="1:19" s="459" customFormat="1" ht="17.25" thickTop="1" thickBot="1">
      <c r="A23" s="720" t="s">
        <v>116</v>
      </c>
      <c r="B23" s="852"/>
      <c r="C23" s="721">
        <f ca="1">C20+C15+C22</f>
        <v>61985.342590226268</v>
      </c>
      <c r="D23" s="721">
        <f t="shared" ref="D23:Q23" ca="1" si="2">D20+D15+D22</f>
        <v>0</v>
      </c>
      <c r="E23" s="721">
        <f t="shared" ca="1" si="2"/>
        <v>85264.894402611986</v>
      </c>
      <c r="F23" s="721">
        <f t="shared" si="2"/>
        <v>6309.9384767180109</v>
      </c>
      <c r="G23" s="721">
        <f t="shared" ca="1" si="2"/>
        <v>42535.518930974176</v>
      </c>
      <c r="H23" s="721">
        <f t="shared" si="2"/>
        <v>36398.090740041131</v>
      </c>
      <c r="I23" s="721">
        <f t="shared" si="2"/>
        <v>6520.0765202564789</v>
      </c>
      <c r="J23" s="721">
        <f t="shared" si="2"/>
        <v>0</v>
      </c>
      <c r="K23" s="721">
        <f t="shared" si="2"/>
        <v>3477.9086956555798</v>
      </c>
      <c r="L23" s="721">
        <f t="shared" si="2"/>
        <v>0</v>
      </c>
      <c r="M23" s="721">
        <f t="shared" ca="1" si="2"/>
        <v>0</v>
      </c>
      <c r="N23" s="721">
        <f t="shared" si="2"/>
        <v>1939.9036345476632</v>
      </c>
      <c r="O23" s="721">
        <f t="shared" ca="1" si="2"/>
        <v>16897.114886760526</v>
      </c>
      <c r="P23" s="721">
        <f t="shared" si="2"/>
        <v>100.05333333333334</v>
      </c>
      <c r="Q23" s="722">
        <f t="shared" si="2"/>
        <v>171.6</v>
      </c>
      <c r="R23" s="723">
        <f ca="1">R20+R15+R22</f>
        <v>261600.4422111251</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109"/>
      <c r="B27" s="1109"/>
      <c r="C27" s="110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58"/>
      <c r="B29" s="1058"/>
      <c r="C29" s="1058"/>
      <c r="D29" s="1058"/>
      <c r="E29" s="1058"/>
      <c r="F29" s="1058"/>
      <c r="G29" s="1058"/>
      <c r="H29" s="1058"/>
      <c r="I29" s="1058"/>
      <c r="J29" s="1058"/>
      <c r="K29" s="1058"/>
      <c r="L29" s="1058"/>
      <c r="M29" s="1058"/>
      <c r="N29" s="1058"/>
      <c r="O29" s="1058"/>
      <c r="P29" s="1058"/>
      <c r="Q29" s="1058"/>
      <c r="R29" s="1058"/>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110"/>
      <c r="B31" s="870"/>
      <c r="C31" s="1112" t="s">
        <v>347</v>
      </c>
      <c r="D31" s="1113"/>
      <c r="E31" s="1113"/>
      <c r="F31" s="1113"/>
      <c r="G31" s="1113"/>
      <c r="H31" s="1113"/>
      <c r="I31" s="1113"/>
      <c r="J31" s="1113"/>
      <c r="K31" s="1113"/>
      <c r="L31" s="1113"/>
      <c r="M31" s="1113"/>
      <c r="N31" s="1113"/>
      <c r="O31" s="1113"/>
      <c r="P31" s="1113"/>
      <c r="Q31" s="1113"/>
      <c r="R31" s="1114"/>
    </row>
    <row r="32" spans="1:19" ht="16.5" thickTop="1">
      <c r="A32" s="1111"/>
      <c r="B32" s="871"/>
      <c r="C32" s="1115" t="s">
        <v>21</v>
      </c>
      <c r="D32" s="1075" t="s">
        <v>232</v>
      </c>
      <c r="E32" s="1117" t="s">
        <v>197</v>
      </c>
      <c r="F32" s="1118"/>
      <c r="G32" s="1118"/>
      <c r="H32" s="1118"/>
      <c r="I32" s="1118"/>
      <c r="J32" s="1118"/>
      <c r="K32" s="1118"/>
      <c r="L32" s="1119"/>
      <c r="M32" s="1117" t="s">
        <v>198</v>
      </c>
      <c r="N32" s="1118"/>
      <c r="O32" s="1118"/>
      <c r="P32" s="1118"/>
      <c r="Q32" s="1118"/>
      <c r="R32" s="1059" t="s">
        <v>116</v>
      </c>
    </row>
    <row r="33" spans="1:18" ht="45.75" thickBot="1">
      <c r="A33" s="1111"/>
      <c r="B33" s="871"/>
      <c r="C33" s="1116"/>
      <c r="D33" s="1078"/>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61"/>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2714.6792446083864</v>
      </c>
      <c r="D36" s="704">
        <f ca="1">tertiair!C20</f>
        <v>0</v>
      </c>
      <c r="E36" s="704">
        <f ca="1">tertiair!D20</f>
        <v>2834.4389819518742</v>
      </c>
      <c r="F36" s="704">
        <f>tertiair!E20</f>
        <v>38.402905450551721</v>
      </c>
      <c r="G36" s="704">
        <f ca="1">tertiair!F20</f>
        <v>677.03196913834768</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6264.5531011491594</v>
      </c>
    </row>
    <row r="37" spans="1:18">
      <c r="A37" s="873" t="s">
        <v>225</v>
      </c>
      <c r="B37" s="880"/>
      <c r="C37" s="704">
        <f ca="1">huishoudens!B12</f>
        <v>4016.4281673170954</v>
      </c>
      <c r="D37" s="704">
        <f ca="1">huishoudens!C12</f>
        <v>0</v>
      </c>
      <c r="E37" s="704">
        <f>huishoudens!D12</f>
        <v>8353.3427035955647</v>
      </c>
      <c r="F37" s="704">
        <f>huishoudens!E12</f>
        <v>1030.5283344298887</v>
      </c>
      <c r="G37" s="704">
        <f>huishoudens!F12</f>
        <v>5678.0928889252018</v>
      </c>
      <c r="H37" s="704">
        <f>huishoudens!G12</f>
        <v>0</v>
      </c>
      <c r="I37" s="704">
        <f>huishoudens!H12</f>
        <v>0</v>
      </c>
      <c r="J37" s="704">
        <f>huishoudens!I12</f>
        <v>0</v>
      </c>
      <c r="K37" s="704">
        <f>huishoudens!J12</f>
        <v>1022.5283957142476</v>
      </c>
      <c r="L37" s="704">
        <f>huishoudens!K12</f>
        <v>0</v>
      </c>
      <c r="M37" s="704">
        <f>huishoudens!L12</f>
        <v>0</v>
      </c>
      <c r="N37" s="704">
        <f>huishoudens!M12</f>
        <v>0</v>
      </c>
      <c r="O37" s="704">
        <f>huishoudens!N12</f>
        <v>0</v>
      </c>
      <c r="P37" s="704">
        <f>huishoudens!O12</f>
        <v>0</v>
      </c>
      <c r="Q37" s="814">
        <f>huishoudens!P12</f>
        <v>0</v>
      </c>
      <c r="R37" s="905">
        <f ca="1">SUM(C37:Q37)</f>
        <v>20100.920489982</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4953.8106269259279</v>
      </c>
      <c r="D39" s="704">
        <f ca="1">industrie!C22</f>
        <v>0</v>
      </c>
      <c r="E39" s="704">
        <f>industrie!D22</f>
        <v>5765.2367572545436</v>
      </c>
      <c r="F39" s="704">
        <f>industrie!E22</f>
        <v>322.72262370674974</v>
      </c>
      <c r="G39" s="704">
        <f>industrie!F22</f>
        <v>1535.8782673977134</v>
      </c>
      <c r="H39" s="704">
        <f>industrie!G22</f>
        <v>0</v>
      </c>
      <c r="I39" s="704">
        <f>industrie!H22</f>
        <v>0</v>
      </c>
      <c r="J39" s="704">
        <f>industrie!I22</f>
        <v>0</v>
      </c>
      <c r="K39" s="704">
        <f>industrie!J22</f>
        <v>8.3505731675235708</v>
      </c>
      <c r="L39" s="704">
        <f>industrie!K22</f>
        <v>0</v>
      </c>
      <c r="M39" s="704">
        <f>industrie!L22</f>
        <v>0</v>
      </c>
      <c r="N39" s="704">
        <f>industrie!M22</f>
        <v>0</v>
      </c>
      <c r="O39" s="704">
        <f>industrie!N22</f>
        <v>0</v>
      </c>
      <c r="P39" s="704">
        <f>industrie!O22</f>
        <v>0</v>
      </c>
      <c r="Q39" s="814">
        <f>industrie!P22</f>
        <v>0</v>
      </c>
      <c r="R39" s="906">
        <f ca="1">SUM(C39:Q39)</f>
        <v>12585.998848452457</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11684.918038851411</v>
      </c>
      <c r="D41" s="749">
        <f t="shared" ref="D41:R41" ca="1" si="4">SUM(D35:D40)</f>
        <v>0</v>
      </c>
      <c r="E41" s="749">
        <f t="shared" ca="1" si="4"/>
        <v>16953.018442801982</v>
      </c>
      <c r="F41" s="749">
        <f t="shared" si="4"/>
        <v>1391.6538635871902</v>
      </c>
      <c r="G41" s="749">
        <f t="shared" ca="1" si="4"/>
        <v>7891.0031254612622</v>
      </c>
      <c r="H41" s="749">
        <f t="shared" si="4"/>
        <v>0</v>
      </c>
      <c r="I41" s="749">
        <f t="shared" si="4"/>
        <v>0</v>
      </c>
      <c r="J41" s="749">
        <f t="shared" si="4"/>
        <v>0</v>
      </c>
      <c r="K41" s="749">
        <f t="shared" si="4"/>
        <v>1030.8789688817712</v>
      </c>
      <c r="L41" s="749">
        <f t="shared" si="4"/>
        <v>0</v>
      </c>
      <c r="M41" s="749">
        <f t="shared" ca="1" si="4"/>
        <v>0</v>
      </c>
      <c r="N41" s="749">
        <f t="shared" si="4"/>
        <v>0</v>
      </c>
      <c r="O41" s="749">
        <f t="shared" ca="1" si="4"/>
        <v>0</v>
      </c>
      <c r="P41" s="749">
        <f t="shared" si="4"/>
        <v>0</v>
      </c>
      <c r="Q41" s="750">
        <f t="shared" si="4"/>
        <v>0</v>
      </c>
      <c r="R41" s="751">
        <f t="shared" ca="1" si="4"/>
        <v>38951.472439583617</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105.16983963040417</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105.16983963040417</v>
      </c>
    </row>
    <row r="45" spans="1:18" ht="15" thickBot="1">
      <c r="A45" s="876" t="s">
        <v>307</v>
      </c>
      <c r="B45" s="886"/>
      <c r="C45" s="713">
        <f ca="1">transport!B18</f>
        <v>0.46931527058083577</v>
      </c>
      <c r="D45" s="713">
        <f>transport!C18</f>
        <v>0</v>
      </c>
      <c r="E45" s="713">
        <f>transport!D18</f>
        <v>0.88765985271921932</v>
      </c>
      <c r="F45" s="713">
        <f>transport!E18</f>
        <v>29.939872483380817</v>
      </c>
      <c r="G45" s="713">
        <f>transport!F18</f>
        <v>0</v>
      </c>
      <c r="H45" s="713">
        <f>transport!G18</f>
        <v>9613.1203879605782</v>
      </c>
      <c r="I45" s="713">
        <f>transport!H18</f>
        <v>1623.4990535438633</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11267.916289111123</v>
      </c>
    </row>
    <row r="46" spans="1:18" ht="15.75" thickBot="1">
      <c r="A46" s="874" t="s">
        <v>230</v>
      </c>
      <c r="B46" s="887"/>
      <c r="C46" s="749">
        <f t="shared" ref="C46:R46" ca="1" si="5">SUM(C43:C45)</f>
        <v>0.46931527058083577</v>
      </c>
      <c r="D46" s="749">
        <f t="shared" ca="1" si="5"/>
        <v>0</v>
      </c>
      <c r="E46" s="749">
        <f t="shared" si="5"/>
        <v>0.88765985271921932</v>
      </c>
      <c r="F46" s="749">
        <f t="shared" si="5"/>
        <v>29.939872483380817</v>
      </c>
      <c r="G46" s="749">
        <f t="shared" si="5"/>
        <v>0</v>
      </c>
      <c r="H46" s="749">
        <f t="shared" si="5"/>
        <v>9718.2902275909819</v>
      </c>
      <c r="I46" s="749">
        <f t="shared" si="5"/>
        <v>1623.4990535438633</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11373.086128741526</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755.1150552553022</v>
      </c>
      <c r="D48" s="704">
        <f ca="1">+landbouw!C12</f>
        <v>0</v>
      </c>
      <c r="E48" s="704">
        <f>+landbouw!D12</f>
        <v>269.60256667291981</v>
      </c>
      <c r="F48" s="704">
        <f>+landbouw!E12</f>
        <v>10.762298144417622</v>
      </c>
      <c r="G48" s="704">
        <f>+landbouw!F12</f>
        <v>3465.9804291088426</v>
      </c>
      <c r="H48" s="704">
        <f>+landbouw!G12</f>
        <v>0</v>
      </c>
      <c r="I48" s="704">
        <f>+landbouw!H12</f>
        <v>0</v>
      </c>
      <c r="J48" s="704">
        <f>+landbouw!I12</f>
        <v>0</v>
      </c>
      <c r="K48" s="704">
        <f>+landbouw!J12</f>
        <v>200.30070938030389</v>
      </c>
      <c r="L48" s="704">
        <f>+landbouw!K12</f>
        <v>0</v>
      </c>
      <c r="M48" s="704">
        <f>+landbouw!L12</f>
        <v>0</v>
      </c>
      <c r="N48" s="704">
        <f>+landbouw!M12</f>
        <v>0</v>
      </c>
      <c r="O48" s="704">
        <f>+landbouw!N12</f>
        <v>0</v>
      </c>
      <c r="P48" s="704">
        <f>+landbouw!O12</f>
        <v>0</v>
      </c>
      <c r="Q48" s="705">
        <f>+landbouw!P12</f>
        <v>0</v>
      </c>
      <c r="R48" s="747">
        <f ca="1">SUM(C48:Q48)</f>
        <v>4701.7610585617858</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90"/>
      <c r="D50" s="1091"/>
      <c r="E50" s="1091"/>
      <c r="F50" s="1091"/>
      <c r="G50" s="1091"/>
      <c r="H50" s="1091"/>
      <c r="I50" s="1091"/>
      <c r="J50" s="1091"/>
      <c r="K50" s="1091"/>
      <c r="L50" s="1091"/>
      <c r="M50" s="1091"/>
      <c r="N50" s="1091"/>
      <c r="O50" s="1091"/>
      <c r="P50" s="1091"/>
      <c r="Q50" s="1091"/>
      <c r="R50" s="756"/>
    </row>
    <row r="51" spans="1:18" ht="15">
      <c r="A51" s="878" t="s">
        <v>239</v>
      </c>
      <c r="B51" s="863"/>
      <c r="C51" s="1092"/>
      <c r="D51" s="1093"/>
      <c r="E51" s="1093"/>
      <c r="F51" s="1093"/>
      <c r="G51" s="1093"/>
      <c r="H51" s="1093"/>
      <c r="I51" s="1093"/>
      <c r="J51" s="1093"/>
      <c r="K51" s="1093"/>
      <c r="L51" s="1093"/>
      <c r="M51" s="1093"/>
      <c r="N51" s="1093"/>
      <c r="O51" s="1093"/>
      <c r="P51" s="1093"/>
      <c r="Q51" s="1093"/>
      <c r="R51" s="757"/>
    </row>
    <row r="52" spans="1:18" ht="15" thickBot="1">
      <c r="A52" s="890" t="s">
        <v>240</v>
      </c>
      <c r="B52" s="891"/>
      <c r="C52" s="1092"/>
      <c r="D52" s="1093"/>
      <c r="E52" s="1093"/>
      <c r="F52" s="1093"/>
      <c r="G52" s="1093"/>
      <c r="H52" s="1093"/>
      <c r="I52" s="1093"/>
      <c r="J52" s="1093"/>
      <c r="K52" s="1093"/>
      <c r="L52" s="1093"/>
      <c r="M52" s="1093"/>
      <c r="N52" s="1093"/>
      <c r="O52" s="1093"/>
      <c r="P52" s="1093"/>
      <c r="Q52" s="1093"/>
      <c r="R52" s="748"/>
    </row>
    <row r="53" spans="1:18" ht="16.5" thickBot="1">
      <c r="A53" s="894" t="s">
        <v>116</v>
      </c>
      <c r="B53" s="895"/>
      <c r="C53" s="758">
        <f ca="1">C41+C46+C48</f>
        <v>12440.502409377294</v>
      </c>
      <c r="D53" s="759">
        <f t="shared" ref="D53:Q53" ca="1" si="6">D41+D46+D48</f>
        <v>0</v>
      </c>
      <c r="E53" s="759">
        <f t="shared" ca="1" si="6"/>
        <v>17223.508669327621</v>
      </c>
      <c r="F53" s="759">
        <f t="shared" si="6"/>
        <v>1432.3560342149888</v>
      </c>
      <c r="G53" s="759">
        <f t="shared" ca="1" si="6"/>
        <v>11356.983554570104</v>
      </c>
      <c r="H53" s="759">
        <f t="shared" si="6"/>
        <v>9718.2902275909819</v>
      </c>
      <c r="I53" s="759">
        <f t="shared" si="6"/>
        <v>1623.4990535438633</v>
      </c>
      <c r="J53" s="759">
        <f t="shared" si="6"/>
        <v>0</v>
      </c>
      <c r="K53" s="759">
        <f t="shared" si="6"/>
        <v>1231.1796782620752</v>
      </c>
      <c r="L53" s="759">
        <f t="shared" si="6"/>
        <v>0</v>
      </c>
      <c r="M53" s="759">
        <f t="shared" ca="1" si="6"/>
        <v>0</v>
      </c>
      <c r="N53" s="759">
        <f t="shared" si="6"/>
        <v>0</v>
      </c>
      <c r="O53" s="759">
        <f t="shared" ca="1" si="6"/>
        <v>0</v>
      </c>
      <c r="P53" s="759">
        <f>P41+P46+P48</f>
        <v>0</v>
      </c>
      <c r="Q53" s="760">
        <f t="shared" si="6"/>
        <v>0</v>
      </c>
      <c r="R53" s="761">
        <f ca="1">R41+R46+R48</f>
        <v>55026.319626886929</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0.20070071228966457</v>
      </c>
      <c r="D55" s="824">
        <f t="shared" ca="1" si="7"/>
        <v>0</v>
      </c>
      <c r="E55" s="824">
        <f t="shared" ca="1" si="7"/>
        <v>0.20199999999999999</v>
      </c>
      <c r="F55" s="824">
        <f t="shared" si="7"/>
        <v>0.22700000000000004</v>
      </c>
      <c r="G55" s="824">
        <f t="shared" ca="1" si="7"/>
        <v>0.26699999999999996</v>
      </c>
      <c r="H55" s="824">
        <f t="shared" si="7"/>
        <v>0.26700000000000002</v>
      </c>
      <c r="I55" s="824">
        <f t="shared" si="7"/>
        <v>0.249</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58"/>
      <c r="B59" s="1058"/>
      <c r="C59" s="1058"/>
      <c r="D59" s="1058"/>
      <c r="E59" s="1058"/>
      <c r="F59" s="1058"/>
      <c r="G59" s="1058"/>
      <c r="H59" s="1058"/>
      <c r="I59" s="1058"/>
      <c r="J59" s="1058"/>
      <c r="K59" s="1058"/>
      <c r="L59" s="1058"/>
      <c r="M59" s="1058"/>
      <c r="N59" s="1058"/>
      <c r="O59" s="1058"/>
      <c r="P59" s="1058"/>
      <c r="Q59" s="1058"/>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59" t="s">
        <v>241</v>
      </c>
      <c r="B61" s="1073" t="s">
        <v>351</v>
      </c>
      <c r="C61" s="1065"/>
      <c r="D61" s="1062" t="s">
        <v>352</v>
      </c>
      <c r="E61" s="1063"/>
      <c r="F61" s="1063"/>
      <c r="G61" s="1063"/>
      <c r="H61" s="1063"/>
      <c r="I61" s="1063"/>
      <c r="J61" s="1063"/>
      <c r="K61" s="1063"/>
      <c r="L61" s="1063"/>
      <c r="M61" s="1064"/>
      <c r="N61" s="1065" t="s">
        <v>664</v>
      </c>
      <c r="O61" s="1098" t="s">
        <v>663</v>
      </c>
      <c r="P61" s="1099"/>
      <c r="Q61" s="771"/>
      <c r="R61" s="728"/>
    </row>
    <row r="62" spans="1:18" ht="31.5" thickTop="1" thickBot="1">
      <c r="A62" s="1060"/>
      <c r="B62" s="1097"/>
      <c r="C62" s="1067"/>
      <c r="D62" s="1094" t="s">
        <v>197</v>
      </c>
      <c r="E62" s="1095"/>
      <c r="F62" s="1095"/>
      <c r="G62" s="1095"/>
      <c r="H62" s="1096"/>
      <c r="I62" s="772" t="s">
        <v>245</v>
      </c>
      <c r="J62" s="773" t="s">
        <v>246</v>
      </c>
      <c r="K62" s="773" t="s">
        <v>234</v>
      </c>
      <c r="L62" s="773" t="s">
        <v>247</v>
      </c>
      <c r="M62" s="1079" t="s">
        <v>127</v>
      </c>
      <c r="N62" s="1066"/>
      <c r="O62" s="914"/>
      <c r="P62" s="915"/>
      <c r="Q62" s="771"/>
      <c r="R62" s="728"/>
    </row>
    <row r="63" spans="1:18" ht="95.25" customHeight="1" thickTop="1" thickBot="1">
      <c r="A63" s="1061"/>
      <c r="B63" s="842" t="s">
        <v>568</v>
      </c>
      <c r="C63" s="842" t="s">
        <v>662</v>
      </c>
      <c r="D63" s="774" t="s">
        <v>199</v>
      </c>
      <c r="E63" s="775" t="s">
        <v>200</v>
      </c>
      <c r="F63" s="776" t="s">
        <v>201</v>
      </c>
      <c r="G63" s="777" t="s">
        <v>203</v>
      </c>
      <c r="H63" s="778" t="s">
        <v>204</v>
      </c>
      <c r="I63" s="779"/>
      <c r="J63" s="775"/>
      <c r="K63" s="775"/>
      <c r="L63" s="775"/>
      <c r="M63" s="1103"/>
      <c r="N63" s="1067"/>
      <c r="O63" s="845" t="s">
        <v>665</v>
      </c>
      <c r="P63" s="843" t="s">
        <v>666</v>
      </c>
      <c r="Q63" s="771"/>
      <c r="R63" s="728"/>
    </row>
    <row r="64" spans="1:18" ht="15.75" thickTop="1">
      <c r="A64" s="780" t="s">
        <v>249</v>
      </c>
      <c r="B64" s="896">
        <f>'lokale energieproductie'!B4</f>
        <v>0</v>
      </c>
      <c r="C64" s="781">
        <f>'lokale energieproductie'!B4</f>
        <v>0</v>
      </c>
      <c r="D64" s="1104"/>
      <c r="E64" s="1081"/>
      <c r="F64" s="1081"/>
      <c r="G64" s="1084"/>
      <c r="H64" s="1087"/>
      <c r="I64" s="782"/>
      <c r="J64" s="782"/>
      <c r="K64" s="782"/>
      <c r="L64" s="782"/>
      <c r="M64" s="1100"/>
      <c r="N64" s="909">
        <v>0</v>
      </c>
      <c r="O64" s="916"/>
      <c r="P64" s="909">
        <v>0</v>
      </c>
      <c r="Q64" s="771"/>
      <c r="R64" s="769"/>
    </row>
    <row r="65" spans="1:18" ht="15">
      <c r="A65" s="783" t="s">
        <v>250</v>
      </c>
      <c r="B65" s="780">
        <f>'lokale energieproductie'!B5</f>
        <v>0</v>
      </c>
      <c r="C65" s="781">
        <f>'lokale energieproductie'!B5</f>
        <v>0</v>
      </c>
      <c r="D65" s="1105"/>
      <c r="E65" s="1082"/>
      <c r="F65" s="1082"/>
      <c r="G65" s="1085"/>
      <c r="H65" s="1088"/>
      <c r="I65" s="784"/>
      <c r="J65" s="784"/>
      <c r="K65" s="784"/>
      <c r="L65" s="784"/>
      <c r="M65" s="1101"/>
      <c r="N65" s="910">
        <v>0</v>
      </c>
      <c r="O65" s="916"/>
      <c r="P65" s="910">
        <v>0</v>
      </c>
      <c r="Q65" s="771"/>
      <c r="R65" s="734"/>
    </row>
    <row r="66" spans="1:18" ht="15">
      <c r="A66" s="783" t="s">
        <v>251</v>
      </c>
      <c r="B66" s="780">
        <f>'lokale energieproductie'!B6</f>
        <v>5693.4764844466526</v>
      </c>
      <c r="C66" s="781">
        <f>'lokale energieproductie'!B6</f>
        <v>5693.4764844466526</v>
      </c>
      <c r="D66" s="1106"/>
      <c r="E66" s="1083"/>
      <c r="F66" s="1083"/>
      <c r="G66" s="1086"/>
      <c r="H66" s="1089"/>
      <c r="I66" s="785"/>
      <c r="J66" s="785"/>
      <c r="K66" s="785"/>
      <c r="L66" s="785"/>
      <c r="M66" s="1102"/>
      <c r="N66" s="910">
        <v>0</v>
      </c>
      <c r="O66" s="916"/>
      <c r="P66" s="910">
        <v>0</v>
      </c>
      <c r="Q66" s="771"/>
      <c r="R66" s="769"/>
    </row>
    <row r="67" spans="1:18" ht="15">
      <c r="A67" s="786" t="s">
        <v>252</v>
      </c>
      <c r="B67" s="780">
        <f>'lokale energieproductie'!B7</f>
        <v>0</v>
      </c>
      <c r="C67" s="780">
        <f>B67*IFERROR(SUM(J67:L67)/SUM(D67:M67),0)</f>
        <v>0</v>
      </c>
      <c r="D67" s="812">
        <f>'lokale energieproductie'!C7</f>
        <v>0</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0</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5693.4764844466526</v>
      </c>
      <c r="C69" s="789">
        <f>SUM(C64:C68)</f>
        <v>5693.4764844466526</v>
      </c>
      <c r="D69" s="790">
        <f t="shared" ref="D69:M69" si="8">SUM(D67:D68)</f>
        <v>0</v>
      </c>
      <c r="E69" s="790">
        <f t="shared" si="8"/>
        <v>0</v>
      </c>
      <c r="F69" s="790">
        <f t="shared" si="8"/>
        <v>0</v>
      </c>
      <c r="G69" s="790">
        <f t="shared" si="8"/>
        <v>0</v>
      </c>
      <c r="H69" s="790">
        <f t="shared" si="8"/>
        <v>0</v>
      </c>
      <c r="I69" s="790">
        <f t="shared" si="8"/>
        <v>0</v>
      </c>
      <c r="J69" s="790">
        <f t="shared" si="8"/>
        <v>0</v>
      </c>
      <c r="K69" s="790">
        <f t="shared" si="8"/>
        <v>0</v>
      </c>
      <c r="L69" s="790">
        <f t="shared" si="8"/>
        <v>0</v>
      </c>
      <c r="M69" s="918">
        <f t="shared" si="8"/>
        <v>0</v>
      </c>
      <c r="N69" s="791">
        <v>0</v>
      </c>
      <c r="O69" s="791">
        <f>SUM(O67:O68)</f>
        <v>0</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58"/>
      <c r="B73" s="1058"/>
      <c r="C73" s="1058"/>
      <c r="D73" s="1058"/>
      <c r="E73" s="1058"/>
      <c r="F73" s="1058"/>
      <c r="G73" s="1058"/>
      <c r="H73" s="1058"/>
      <c r="I73" s="1058"/>
      <c r="J73" s="1058"/>
      <c r="K73" s="1058"/>
      <c r="L73" s="1058"/>
      <c r="M73" s="1058"/>
      <c r="N73" s="1058"/>
      <c r="O73" s="1058"/>
      <c r="P73" s="1058"/>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59" t="s">
        <v>253</v>
      </c>
      <c r="B75" s="1073" t="s">
        <v>355</v>
      </c>
      <c r="C75" s="1065"/>
      <c r="D75" s="1062" t="s">
        <v>356</v>
      </c>
      <c r="E75" s="1063"/>
      <c r="F75" s="1063"/>
      <c r="G75" s="1063"/>
      <c r="H75" s="1063"/>
      <c r="I75" s="1063"/>
      <c r="J75" s="1063"/>
      <c r="K75" s="1063"/>
      <c r="L75" s="1063"/>
      <c r="M75" s="1064"/>
      <c r="N75" s="1065" t="s">
        <v>664</v>
      </c>
      <c r="O75" s="1073" t="s">
        <v>663</v>
      </c>
      <c r="P75" s="1065"/>
      <c r="Q75" s="798"/>
      <c r="R75" s="728"/>
    </row>
    <row r="76" spans="1:18" ht="16.5" thickTop="1" thickBot="1">
      <c r="A76" s="1060"/>
      <c r="B76" s="1074"/>
      <c r="C76" s="1066"/>
      <c r="D76" s="1068" t="s">
        <v>197</v>
      </c>
      <c r="E76" s="1069"/>
      <c r="F76" s="1069"/>
      <c r="G76" s="1069"/>
      <c r="H76" s="1070"/>
      <c r="I76" s="1071" t="s">
        <v>245</v>
      </c>
      <c r="J76" s="1071" t="s">
        <v>246</v>
      </c>
      <c r="K76" s="1075" t="s">
        <v>234</v>
      </c>
      <c r="L76" s="1077" t="s">
        <v>257</v>
      </c>
      <c r="M76" s="1079" t="s">
        <v>127</v>
      </c>
      <c r="N76" s="1066"/>
      <c r="O76" s="914"/>
      <c r="P76" s="915"/>
      <c r="Q76" s="798"/>
      <c r="R76" s="728"/>
    </row>
    <row r="77" spans="1:18" ht="110.25" customHeight="1" thickTop="1" thickBot="1">
      <c r="A77" s="1061"/>
      <c r="B77" s="897" t="s">
        <v>568</v>
      </c>
      <c r="C77" s="897" t="s">
        <v>662</v>
      </c>
      <c r="D77" s="799" t="s">
        <v>199</v>
      </c>
      <c r="E77" s="775" t="s">
        <v>200</v>
      </c>
      <c r="F77" s="800" t="s">
        <v>201</v>
      </c>
      <c r="G77" s="775" t="s">
        <v>203</v>
      </c>
      <c r="H77" s="801" t="s">
        <v>204</v>
      </c>
      <c r="I77" s="1072"/>
      <c r="J77" s="1072"/>
      <c r="K77" s="1076"/>
      <c r="L77" s="1078"/>
      <c r="M77" s="1080"/>
      <c r="N77" s="1067"/>
      <c r="O77" s="845" t="s">
        <v>665</v>
      </c>
      <c r="P77" s="843" t="s">
        <v>666</v>
      </c>
      <c r="Q77" s="798"/>
      <c r="R77" s="728"/>
    </row>
    <row r="78" spans="1:18" ht="15.75" thickTop="1">
      <c r="A78" s="802" t="s">
        <v>252</v>
      </c>
      <c r="B78" s="803">
        <f>'lokale energieproductie'!B16</f>
        <v>0</v>
      </c>
      <c r="C78" s="803">
        <f>B78*IFERROR(SUM(I78:L78)/SUM(D78:M78),0)</f>
        <v>0</v>
      </c>
      <c r="D78" s="818">
        <f>'lokale energieproductie'!C16</f>
        <v>0</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0</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0</v>
      </c>
      <c r="C81" s="789">
        <f>SUM(C78:C80)</f>
        <v>0</v>
      </c>
      <c r="D81" s="789">
        <f t="shared" ref="D81:P81" si="9">SUM(D78:D80)</f>
        <v>0</v>
      </c>
      <c r="E81" s="789">
        <f t="shared" si="9"/>
        <v>0</v>
      </c>
      <c r="F81" s="789">
        <f t="shared" si="9"/>
        <v>0</v>
      </c>
      <c r="G81" s="789">
        <f t="shared" si="9"/>
        <v>0</v>
      </c>
      <c r="H81" s="789">
        <f t="shared" si="9"/>
        <v>0</v>
      </c>
      <c r="I81" s="789">
        <f t="shared" si="9"/>
        <v>0</v>
      </c>
      <c r="J81" s="789">
        <f t="shared" si="9"/>
        <v>0</v>
      </c>
      <c r="K81" s="789">
        <f t="shared" si="9"/>
        <v>0</v>
      </c>
      <c r="L81" s="789">
        <f t="shared" si="9"/>
        <v>0</v>
      </c>
      <c r="M81" s="789">
        <f t="shared" si="9"/>
        <v>0</v>
      </c>
      <c r="N81" s="789">
        <v>0</v>
      </c>
      <c r="O81" s="789">
        <f>SUM(O78:O80)</f>
        <v>0</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34"/>
  <sheetViews>
    <sheetView topLeftCell="A6" workbookViewId="0">
      <selection activeCell="D27" sqref="D2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809</v>
      </c>
      <c r="D18" s="951" t="s">
        <v>706</v>
      </c>
    </row>
    <row r="19" spans="1:4" s="7" customFormat="1">
      <c r="A19" s="954" t="s">
        <v>754</v>
      </c>
      <c r="B19" s="820">
        <v>42877</v>
      </c>
      <c r="C19" s="946" t="s">
        <v>810</v>
      </c>
      <c r="D19" s="988" t="s">
        <v>755</v>
      </c>
    </row>
    <row r="20" spans="1:4" s="7" customFormat="1">
      <c r="A20" s="954" t="s">
        <v>754</v>
      </c>
      <c r="B20" s="820">
        <v>42877</v>
      </c>
      <c r="C20" s="946" t="s">
        <v>811</v>
      </c>
      <c r="D20" s="951" t="s">
        <v>756</v>
      </c>
    </row>
    <row r="21" spans="1:4" s="7" customFormat="1">
      <c r="A21" s="954" t="s">
        <v>793</v>
      </c>
      <c r="B21" s="973">
        <v>43167</v>
      </c>
      <c r="C21" s="973" t="s">
        <v>794</v>
      </c>
      <c r="D21" s="988" t="s">
        <v>795</v>
      </c>
    </row>
    <row r="22" spans="1:4" s="7" customFormat="1">
      <c r="A22" s="954" t="s">
        <v>793</v>
      </c>
      <c r="B22" s="973">
        <v>43167</v>
      </c>
      <c r="C22" s="973" t="s">
        <v>796</v>
      </c>
      <c r="D22" s="951" t="s">
        <v>797</v>
      </c>
    </row>
    <row r="23" spans="1:4">
      <c r="A23" s="954" t="s">
        <v>793</v>
      </c>
      <c r="B23" s="973">
        <v>43167</v>
      </c>
      <c r="C23" s="973" t="s">
        <v>798</v>
      </c>
      <c r="D23" s="951" t="s">
        <v>799</v>
      </c>
    </row>
    <row r="24" spans="1:4">
      <c r="A24" s="954" t="s">
        <v>793</v>
      </c>
      <c r="B24" s="973">
        <v>43167</v>
      </c>
      <c r="C24" s="973" t="s">
        <v>800</v>
      </c>
      <c r="D24" s="951" t="s">
        <v>801</v>
      </c>
    </row>
    <row r="25" spans="1:4">
      <c r="A25" s="954" t="s">
        <v>793</v>
      </c>
      <c r="B25" s="973">
        <v>43278</v>
      </c>
      <c r="C25" s="973" t="s">
        <v>830</v>
      </c>
      <c r="D25" s="988"/>
    </row>
    <row r="26" spans="1:4">
      <c r="A26" s="954" t="s">
        <v>831</v>
      </c>
      <c r="B26" s="820">
        <v>43425</v>
      </c>
      <c r="C26" s="973" t="s">
        <v>832</v>
      </c>
    </row>
    <row r="27" spans="1:4">
      <c r="A27" s="954" t="s">
        <v>831</v>
      </c>
      <c r="B27" s="820">
        <v>43444</v>
      </c>
      <c r="C27" s="973" t="s">
        <v>869</v>
      </c>
      <c r="D27" s="988" t="s">
        <v>870</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topLeftCell="A10" workbookViewId="0">
      <selection activeCell="D26" sqref="D26: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137" t="s">
        <v>563</v>
      </c>
      <c r="B1" s="1138" t="s">
        <v>559</v>
      </c>
      <c r="C1" s="1138"/>
      <c r="D1" s="1138"/>
      <c r="E1" s="1138"/>
      <c r="F1" s="1138"/>
      <c r="G1" s="1138"/>
      <c r="H1" s="1138"/>
      <c r="I1" s="1138"/>
      <c r="J1" s="1138"/>
      <c r="K1" s="1138"/>
      <c r="L1" s="1138"/>
      <c r="M1" s="1138"/>
      <c r="N1" s="1138"/>
      <c r="O1" s="1138"/>
      <c r="P1" s="1139"/>
      <c r="Q1" s="460"/>
    </row>
    <row r="2" spans="1:17">
      <c r="A2" s="1137"/>
      <c r="B2" s="1140" t="s">
        <v>21</v>
      </c>
      <c r="C2" s="1142" t="s">
        <v>196</v>
      </c>
      <c r="D2" s="1144" t="s">
        <v>197</v>
      </c>
      <c r="E2" s="1145"/>
      <c r="F2" s="1145"/>
      <c r="G2" s="1145"/>
      <c r="H2" s="1145"/>
      <c r="I2" s="1145"/>
      <c r="J2" s="1145"/>
      <c r="K2" s="1141"/>
      <c r="L2" s="1144" t="s">
        <v>198</v>
      </c>
      <c r="M2" s="1145"/>
      <c r="N2" s="1145"/>
      <c r="O2" s="1145"/>
      <c r="P2" s="1141"/>
      <c r="Q2" s="460"/>
    </row>
    <row r="3" spans="1:17" ht="45">
      <c r="A3" s="1137"/>
      <c r="B3" s="1141"/>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20012.027468643559</v>
      </c>
      <c r="C4" s="463">
        <f>huishoudens!C8</f>
        <v>0</v>
      </c>
      <c r="D4" s="463">
        <f>huishoudens!D8</f>
        <v>41353.18170096814</v>
      </c>
      <c r="E4" s="463">
        <f>huishoudens!E8</f>
        <v>4539.7723983695532</v>
      </c>
      <c r="F4" s="463">
        <f>huishoudens!F8</f>
        <v>21266.265501592516</v>
      </c>
      <c r="G4" s="463">
        <f>huishoudens!G8</f>
        <v>0</v>
      </c>
      <c r="H4" s="463">
        <f>huishoudens!H8</f>
        <v>0</v>
      </c>
      <c r="I4" s="463">
        <f>huishoudens!I8</f>
        <v>0</v>
      </c>
      <c r="J4" s="463">
        <f>huishoudens!J8</f>
        <v>2888.4982929781008</v>
      </c>
      <c r="K4" s="463">
        <f>huishoudens!K8</f>
        <v>0</v>
      </c>
      <c r="L4" s="463">
        <f>huishoudens!L8</f>
        <v>0</v>
      </c>
      <c r="M4" s="463">
        <f>huishoudens!M8</f>
        <v>0</v>
      </c>
      <c r="N4" s="463">
        <f>huishoudens!N8</f>
        <v>12548.111017144833</v>
      </c>
      <c r="O4" s="463">
        <f>huishoudens!O8</f>
        <v>100.05333333333334</v>
      </c>
      <c r="P4" s="464">
        <f>huishoudens!P8</f>
        <v>171.6</v>
      </c>
      <c r="Q4" s="465">
        <f>SUM(B4:P4)</f>
        <v>102879.50971303003</v>
      </c>
    </row>
    <row r="5" spans="1:17">
      <c r="A5" s="462" t="s">
        <v>156</v>
      </c>
      <c r="B5" s="463">
        <f ca="1">tertiair!B16</f>
        <v>12691.686026274932</v>
      </c>
      <c r="C5" s="463">
        <f ca="1">tertiair!C16</f>
        <v>0</v>
      </c>
      <c r="D5" s="463">
        <f ca="1">tertiair!D16</f>
        <v>14031.876148276604</v>
      </c>
      <c r="E5" s="463">
        <f>tertiair!E16</f>
        <v>169.1757949363512</v>
      </c>
      <c r="F5" s="463">
        <f ca="1">tertiair!F16</f>
        <v>2535.7002589451222</v>
      </c>
      <c r="G5" s="463">
        <f>tertiair!G16</f>
        <v>0</v>
      </c>
      <c r="H5" s="463">
        <f>tertiair!H16</f>
        <v>0</v>
      </c>
      <c r="I5" s="463">
        <f>tertiair!I16</f>
        <v>0</v>
      </c>
      <c r="J5" s="463">
        <f>tertiair!J16</f>
        <v>0</v>
      </c>
      <c r="K5" s="463">
        <f>tertiair!K16</f>
        <v>0</v>
      </c>
      <c r="L5" s="463">
        <f ca="1">tertiair!L16</f>
        <v>0</v>
      </c>
      <c r="M5" s="463">
        <f>tertiair!M16</f>
        <v>0</v>
      </c>
      <c r="N5" s="463">
        <f ca="1">tertiair!N16</f>
        <v>1196.449613764375</v>
      </c>
      <c r="O5" s="463">
        <f>tertiair!O16</f>
        <v>0</v>
      </c>
      <c r="P5" s="464">
        <f>tertiair!P16</f>
        <v>0</v>
      </c>
      <c r="Q5" s="462">
        <f t="shared" ref="Q5:Q13" ca="1" si="0">SUM(B5:P5)</f>
        <v>30624.88784219739</v>
      </c>
    </row>
    <row r="6" spans="1:17">
      <c r="A6" s="462" t="s">
        <v>194</v>
      </c>
      <c r="B6" s="463">
        <f>'openbare verlichting'!B8</f>
        <v>834.32100000000003</v>
      </c>
      <c r="C6" s="463"/>
      <c r="D6" s="463"/>
      <c r="E6" s="463"/>
      <c r="F6" s="463"/>
      <c r="G6" s="463"/>
      <c r="H6" s="463"/>
      <c r="I6" s="463"/>
      <c r="J6" s="463"/>
      <c r="K6" s="463"/>
      <c r="L6" s="463"/>
      <c r="M6" s="463"/>
      <c r="N6" s="463"/>
      <c r="O6" s="463"/>
      <c r="P6" s="464"/>
      <c r="Q6" s="462">
        <f t="shared" si="0"/>
        <v>834.32100000000003</v>
      </c>
    </row>
    <row r="7" spans="1:17">
      <c r="A7" s="462" t="s">
        <v>112</v>
      </c>
      <c r="B7" s="463">
        <f>landbouw!B8</f>
        <v>3762.3934994583879</v>
      </c>
      <c r="C7" s="463">
        <f>landbouw!C8</f>
        <v>0</v>
      </c>
      <c r="D7" s="463">
        <f>landbouw!D8</f>
        <v>1334.6661716481178</v>
      </c>
      <c r="E7" s="463">
        <f>landbouw!E8</f>
        <v>47.411005041487321</v>
      </c>
      <c r="F7" s="463">
        <f>landbouw!F8</f>
        <v>12981.200109021882</v>
      </c>
      <c r="G7" s="463">
        <f>landbouw!G8</f>
        <v>0</v>
      </c>
      <c r="H7" s="463">
        <f>landbouw!H8</f>
        <v>0</v>
      </c>
      <c r="I7" s="463">
        <f>landbouw!I8</f>
        <v>0</v>
      </c>
      <c r="J7" s="463">
        <f>landbouw!J8</f>
        <v>565.8212129387116</v>
      </c>
      <c r="K7" s="463">
        <f>landbouw!K8</f>
        <v>0</v>
      </c>
      <c r="L7" s="463">
        <f>landbouw!L8</f>
        <v>0</v>
      </c>
      <c r="M7" s="463">
        <f>landbouw!M8</f>
        <v>0</v>
      </c>
      <c r="N7" s="463">
        <f>landbouw!N8</f>
        <v>0</v>
      </c>
      <c r="O7" s="463">
        <f>landbouw!O8</f>
        <v>0</v>
      </c>
      <c r="P7" s="464">
        <f>landbouw!P8</f>
        <v>0</v>
      </c>
      <c r="Q7" s="462">
        <f t="shared" si="0"/>
        <v>18691.491998108584</v>
      </c>
    </row>
    <row r="8" spans="1:17">
      <c r="A8" s="462" t="s">
        <v>657</v>
      </c>
      <c r="B8" s="463">
        <f>industrie!B18</f>
        <v>24682.576212167398</v>
      </c>
      <c r="C8" s="463">
        <f>industrie!C18</f>
        <v>0</v>
      </c>
      <c r="D8" s="463">
        <f>industrie!D18</f>
        <v>28540.776026012591</v>
      </c>
      <c r="E8" s="463">
        <f>industrie!E18</f>
        <v>1421.685566990087</v>
      </c>
      <c r="F8" s="463">
        <f>industrie!F18</f>
        <v>5752.3530614146566</v>
      </c>
      <c r="G8" s="463">
        <f>industrie!G18</f>
        <v>0</v>
      </c>
      <c r="H8" s="463">
        <f>industrie!H18</f>
        <v>0</v>
      </c>
      <c r="I8" s="463">
        <f>industrie!I18</f>
        <v>0</v>
      </c>
      <c r="J8" s="463">
        <f>industrie!J18</f>
        <v>23.58918973876715</v>
      </c>
      <c r="K8" s="463">
        <f>industrie!K18</f>
        <v>0</v>
      </c>
      <c r="L8" s="463">
        <f>industrie!L18</f>
        <v>0</v>
      </c>
      <c r="M8" s="463">
        <f>industrie!M18</f>
        <v>0</v>
      </c>
      <c r="N8" s="463">
        <f>industrie!N18</f>
        <v>3152.5542558513198</v>
      </c>
      <c r="O8" s="463">
        <f>industrie!O18</f>
        <v>0</v>
      </c>
      <c r="P8" s="464">
        <f>industrie!P18</f>
        <v>0</v>
      </c>
      <c r="Q8" s="462">
        <f t="shared" si="0"/>
        <v>63573.534312174816</v>
      </c>
    </row>
    <row r="9" spans="1:17" s="468" customFormat="1">
      <c r="A9" s="466" t="s">
        <v>574</v>
      </c>
      <c r="B9" s="467">
        <f>transport!B14</f>
        <v>2.3383836819845905</v>
      </c>
      <c r="C9" s="467"/>
      <c r="D9" s="467">
        <f>transport!D14</f>
        <v>4.3943557065307886</v>
      </c>
      <c r="E9" s="467">
        <f>transport!E14</f>
        <v>131.89371138053224</v>
      </c>
      <c r="F9" s="467"/>
      <c r="G9" s="467">
        <f>transport!G14</f>
        <v>36004.196209590176</v>
      </c>
      <c r="H9" s="467">
        <f>transport!H14</f>
        <v>6520.0765202564789</v>
      </c>
      <c r="I9" s="467"/>
      <c r="J9" s="467"/>
      <c r="K9" s="467"/>
      <c r="L9" s="467"/>
      <c r="M9" s="467">
        <f>transport!M14</f>
        <v>1922.3861813454259</v>
      </c>
      <c r="N9" s="467"/>
      <c r="O9" s="467"/>
      <c r="P9" s="467"/>
      <c r="Q9" s="466">
        <f>SUM(B9:P9)</f>
        <v>44585.285361961134</v>
      </c>
    </row>
    <row r="10" spans="1:17">
      <c r="A10" s="462" t="s">
        <v>564</v>
      </c>
      <c r="B10" s="463">
        <f>transport!B54</f>
        <v>0</v>
      </c>
      <c r="C10" s="463"/>
      <c r="D10" s="463">
        <f>transport!D54</f>
        <v>0</v>
      </c>
      <c r="E10" s="463"/>
      <c r="F10" s="463"/>
      <c r="G10" s="463">
        <f>transport!G54</f>
        <v>393.89453045095195</v>
      </c>
      <c r="H10" s="463"/>
      <c r="I10" s="463"/>
      <c r="J10" s="463"/>
      <c r="K10" s="463"/>
      <c r="L10" s="463"/>
      <c r="M10" s="463">
        <f>transport!M54</f>
        <v>17.51745320223722</v>
      </c>
      <c r="N10" s="463"/>
      <c r="O10" s="463"/>
      <c r="P10" s="464"/>
      <c r="Q10" s="462">
        <f t="shared" si="0"/>
        <v>411.41198365318917</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c r="D13" s="470">
        <f>'Eigen vloot'!D27</f>
        <v>0</v>
      </c>
      <c r="E13" s="470">
        <f>'Eigen vloot'!E27</f>
        <v>0</v>
      </c>
      <c r="F13" s="470"/>
      <c r="G13" s="470">
        <f>'Eigen vloot'!G27</f>
        <v>0</v>
      </c>
      <c r="H13" s="470">
        <f>'Eigen vloot'!H27</f>
        <v>0</v>
      </c>
      <c r="I13" s="470"/>
      <c r="J13" s="470"/>
      <c r="K13" s="470"/>
      <c r="L13" s="470"/>
      <c r="M13" s="470">
        <f>'Eigen vloot'!M27</f>
        <v>0</v>
      </c>
      <c r="N13" s="470"/>
      <c r="O13" s="470"/>
      <c r="P13" s="471"/>
      <c r="Q13" s="469">
        <f t="shared" si="0"/>
        <v>0</v>
      </c>
    </row>
    <row r="14" spans="1:17" s="475" customFormat="1">
      <c r="A14" s="472" t="s">
        <v>568</v>
      </c>
      <c r="B14" s="473">
        <f ca="1">SUM(B4:B13)</f>
        <v>61985.342590226268</v>
      </c>
      <c r="C14" s="473">
        <f t="shared" ref="C14:Q14" ca="1" si="1">SUM(C4:C13)</f>
        <v>0</v>
      </c>
      <c r="D14" s="473">
        <f t="shared" ca="1" si="1"/>
        <v>85264.894402611986</v>
      </c>
      <c r="E14" s="473">
        <f t="shared" si="1"/>
        <v>6309.9384767180109</v>
      </c>
      <c r="F14" s="473">
        <f t="shared" ca="1" si="1"/>
        <v>42535.518930974176</v>
      </c>
      <c r="G14" s="473">
        <f t="shared" si="1"/>
        <v>36398.090740041131</v>
      </c>
      <c r="H14" s="473">
        <f t="shared" si="1"/>
        <v>6520.0765202564789</v>
      </c>
      <c r="I14" s="473">
        <f t="shared" si="1"/>
        <v>0</v>
      </c>
      <c r="J14" s="473">
        <f t="shared" si="1"/>
        <v>3477.9086956555798</v>
      </c>
      <c r="K14" s="473">
        <f t="shared" si="1"/>
        <v>0</v>
      </c>
      <c r="L14" s="473">
        <f t="shared" ca="1" si="1"/>
        <v>0</v>
      </c>
      <c r="M14" s="473">
        <f t="shared" si="1"/>
        <v>1939.9036345476632</v>
      </c>
      <c r="N14" s="473">
        <f t="shared" ca="1" si="1"/>
        <v>16897.114886760526</v>
      </c>
      <c r="O14" s="473">
        <f t="shared" si="1"/>
        <v>100.05333333333334</v>
      </c>
      <c r="P14" s="474">
        <f t="shared" si="1"/>
        <v>171.6</v>
      </c>
      <c r="Q14" s="474">
        <f t="shared" ca="1" si="1"/>
        <v>261600.44221112516</v>
      </c>
    </row>
    <row r="16" spans="1:17">
      <c r="A16" s="476" t="s">
        <v>569</v>
      </c>
      <c r="B16" s="829">
        <f ca="1">huishoudens!B10</f>
        <v>0.20070071228966457</v>
      </c>
      <c r="C16" s="829">
        <f ca="1">huishoudens!C10</f>
        <v>0</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137" t="s">
        <v>571</v>
      </c>
      <c r="B18" s="1138" t="s">
        <v>570</v>
      </c>
      <c r="C18" s="1138"/>
      <c r="D18" s="1138"/>
      <c r="E18" s="1138"/>
      <c r="F18" s="1138"/>
      <c r="G18" s="1138"/>
      <c r="H18" s="1138"/>
      <c r="I18" s="1138"/>
      <c r="J18" s="1138"/>
      <c r="K18" s="1138"/>
      <c r="L18" s="1138"/>
      <c r="M18" s="1138"/>
      <c r="N18" s="1138"/>
      <c r="O18" s="1138"/>
      <c r="P18" s="1139"/>
      <c r="Q18" s="460"/>
    </row>
    <row r="19" spans="1:17" ht="15" customHeight="1">
      <c r="A19" s="1137"/>
      <c r="B19" s="1140" t="s">
        <v>21</v>
      </c>
      <c r="C19" s="1142" t="s">
        <v>196</v>
      </c>
      <c r="D19" s="1144" t="s">
        <v>197</v>
      </c>
      <c r="E19" s="1145"/>
      <c r="F19" s="1145"/>
      <c r="G19" s="1145"/>
      <c r="H19" s="1145"/>
      <c r="I19" s="1145"/>
      <c r="J19" s="1145"/>
      <c r="K19" s="1141"/>
      <c r="L19" s="1144" t="s">
        <v>198</v>
      </c>
      <c r="M19" s="1145"/>
      <c r="N19" s="1145"/>
      <c r="O19" s="1145"/>
      <c r="P19" s="1141"/>
      <c r="Q19" s="460"/>
    </row>
    <row r="20" spans="1:17" ht="45">
      <c r="A20" s="1137"/>
      <c r="B20" s="1141"/>
      <c r="C20" s="1143"/>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4016.4281673170954</v>
      </c>
      <c r="C21" s="463">
        <f t="shared" ref="C21:C28" ca="1" si="3">C4*$C$16</f>
        <v>0</v>
      </c>
      <c r="D21" s="463">
        <f t="shared" ref="D21:D30" si="4">D4*$D$16</f>
        <v>8353.3427035955647</v>
      </c>
      <c r="E21" s="463">
        <f t="shared" ref="E21:E30" si="5">E4*$E$16</f>
        <v>1030.5283344298887</v>
      </c>
      <c r="F21" s="463">
        <f t="shared" ref="F21:F28" si="6">F4*$F$16</f>
        <v>5678.0928889252018</v>
      </c>
      <c r="G21" s="463">
        <f t="shared" ref="G21:G30" si="7">G4*$G$16</f>
        <v>0</v>
      </c>
      <c r="H21" s="463">
        <f t="shared" ref="H21:H30" si="8">H4*$H$16</f>
        <v>0</v>
      </c>
      <c r="I21" s="463">
        <f t="shared" ref="I21:I28" si="9">I4*$I$16</f>
        <v>0</v>
      </c>
      <c r="J21" s="463">
        <f t="shared" ref="J21:J28" si="10">J4*$J$16</f>
        <v>1022.5283957142476</v>
      </c>
      <c r="K21" s="463">
        <f t="shared" ref="K21:K28" si="11">K4*$K$16</f>
        <v>0</v>
      </c>
      <c r="L21" s="463">
        <f t="shared" ref="L21:L28" si="12">L4*$L$16</f>
        <v>0</v>
      </c>
      <c r="M21" s="463">
        <f t="shared" ref="M21:M30" si="13">M4*$M$16</f>
        <v>0</v>
      </c>
      <c r="N21" s="463">
        <f t="shared" ref="N21:N28" si="14">N4*$N$16</f>
        <v>0</v>
      </c>
      <c r="O21" s="463">
        <f t="shared" ref="O21:O28" si="15">O4*$O$16</f>
        <v>0</v>
      </c>
      <c r="P21" s="477">
        <f t="shared" ref="P21:P28" si="16">P4*$P$16</f>
        <v>0</v>
      </c>
      <c r="Q21" s="465">
        <f ca="1">SUM(B21:P21)</f>
        <v>20100.920489982</v>
      </c>
    </row>
    <row r="22" spans="1:17">
      <c r="A22" s="462" t="s">
        <v>156</v>
      </c>
      <c r="B22" s="463">
        <f t="shared" ca="1" si="2"/>
        <v>2547.2304256301613</v>
      </c>
      <c r="C22" s="463">
        <f t="shared" ca="1" si="3"/>
        <v>0</v>
      </c>
      <c r="D22" s="463">
        <f t="shared" ca="1" si="4"/>
        <v>2834.4389819518742</v>
      </c>
      <c r="E22" s="463">
        <f t="shared" si="5"/>
        <v>38.402905450551721</v>
      </c>
      <c r="F22" s="463">
        <f t="shared" ca="1" si="6"/>
        <v>677.03196913834768</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6097.1042821709352</v>
      </c>
    </row>
    <row r="23" spans="1:17">
      <c r="A23" s="462" t="s">
        <v>194</v>
      </c>
      <c r="B23" s="463">
        <f t="shared" ca="1" si="2"/>
        <v>167.44881897822523</v>
      </c>
      <c r="C23" s="463"/>
      <c r="D23" s="463"/>
      <c r="E23" s="463"/>
      <c r="F23" s="463"/>
      <c r="G23" s="463"/>
      <c r="H23" s="463"/>
      <c r="I23" s="463"/>
      <c r="J23" s="463"/>
      <c r="K23" s="463"/>
      <c r="L23" s="463"/>
      <c r="M23" s="463"/>
      <c r="N23" s="463"/>
      <c r="O23" s="463"/>
      <c r="P23" s="464"/>
      <c r="Q23" s="462">
        <f t="shared" ca="1" si="17"/>
        <v>167.44881897822523</v>
      </c>
    </row>
    <row r="24" spans="1:17">
      <c r="A24" s="462" t="s">
        <v>112</v>
      </c>
      <c r="B24" s="463">
        <f t="shared" ca="1" si="2"/>
        <v>755.1150552553022</v>
      </c>
      <c r="C24" s="463">
        <f t="shared" ca="1" si="3"/>
        <v>0</v>
      </c>
      <c r="D24" s="463">
        <f t="shared" si="4"/>
        <v>269.60256667291981</v>
      </c>
      <c r="E24" s="463">
        <f t="shared" si="5"/>
        <v>10.762298144417622</v>
      </c>
      <c r="F24" s="463">
        <f t="shared" si="6"/>
        <v>3465.9804291088426</v>
      </c>
      <c r="G24" s="463">
        <f t="shared" si="7"/>
        <v>0</v>
      </c>
      <c r="H24" s="463">
        <f t="shared" si="8"/>
        <v>0</v>
      </c>
      <c r="I24" s="463">
        <f t="shared" si="9"/>
        <v>0</v>
      </c>
      <c r="J24" s="463">
        <f t="shared" si="10"/>
        <v>200.30070938030389</v>
      </c>
      <c r="K24" s="463">
        <f t="shared" si="11"/>
        <v>0</v>
      </c>
      <c r="L24" s="463">
        <f t="shared" si="12"/>
        <v>0</v>
      </c>
      <c r="M24" s="463">
        <f t="shared" si="13"/>
        <v>0</v>
      </c>
      <c r="N24" s="463">
        <f t="shared" si="14"/>
        <v>0</v>
      </c>
      <c r="O24" s="463">
        <f t="shared" si="15"/>
        <v>0</v>
      </c>
      <c r="P24" s="464">
        <f t="shared" si="16"/>
        <v>0</v>
      </c>
      <c r="Q24" s="462">
        <f t="shared" ca="1" si="17"/>
        <v>4701.7610585617858</v>
      </c>
    </row>
    <row r="25" spans="1:17">
      <c r="A25" s="462" t="s">
        <v>657</v>
      </c>
      <c r="B25" s="463">
        <f t="shared" ca="1" si="2"/>
        <v>4953.8106269259279</v>
      </c>
      <c r="C25" s="463">
        <f t="shared" ca="1" si="3"/>
        <v>0</v>
      </c>
      <c r="D25" s="463">
        <f t="shared" si="4"/>
        <v>5765.2367572545436</v>
      </c>
      <c r="E25" s="463">
        <f t="shared" si="5"/>
        <v>322.72262370674974</v>
      </c>
      <c r="F25" s="463">
        <f t="shared" si="6"/>
        <v>1535.8782673977134</v>
      </c>
      <c r="G25" s="463">
        <f t="shared" si="7"/>
        <v>0</v>
      </c>
      <c r="H25" s="463">
        <f t="shared" si="8"/>
        <v>0</v>
      </c>
      <c r="I25" s="463">
        <f t="shared" si="9"/>
        <v>0</v>
      </c>
      <c r="J25" s="463">
        <f t="shared" si="10"/>
        <v>8.3505731675235708</v>
      </c>
      <c r="K25" s="463">
        <f t="shared" si="11"/>
        <v>0</v>
      </c>
      <c r="L25" s="463">
        <f t="shared" si="12"/>
        <v>0</v>
      </c>
      <c r="M25" s="463">
        <f t="shared" si="13"/>
        <v>0</v>
      </c>
      <c r="N25" s="463">
        <f t="shared" si="14"/>
        <v>0</v>
      </c>
      <c r="O25" s="463">
        <f t="shared" si="15"/>
        <v>0</v>
      </c>
      <c r="P25" s="464">
        <f t="shared" si="16"/>
        <v>0</v>
      </c>
      <c r="Q25" s="462">
        <f t="shared" ca="1" si="17"/>
        <v>12585.998848452457</v>
      </c>
    </row>
    <row r="26" spans="1:17" s="468" customFormat="1">
      <c r="A26" s="466" t="s">
        <v>574</v>
      </c>
      <c r="B26" s="823">
        <f t="shared" ca="1" si="2"/>
        <v>0.46931527058083577</v>
      </c>
      <c r="C26" s="467"/>
      <c r="D26" s="467">
        <f t="shared" si="4"/>
        <v>0.88765985271921932</v>
      </c>
      <c r="E26" s="467">
        <f t="shared" si="5"/>
        <v>29.939872483380817</v>
      </c>
      <c r="F26" s="467"/>
      <c r="G26" s="467">
        <f t="shared" si="7"/>
        <v>9613.1203879605782</v>
      </c>
      <c r="H26" s="467">
        <f t="shared" si="8"/>
        <v>1623.4990535438633</v>
      </c>
      <c r="I26" s="467"/>
      <c r="J26" s="467"/>
      <c r="K26" s="467"/>
      <c r="L26" s="467"/>
      <c r="M26" s="467">
        <f t="shared" si="13"/>
        <v>0</v>
      </c>
      <c r="N26" s="467"/>
      <c r="O26" s="467"/>
      <c r="P26" s="478"/>
      <c r="Q26" s="466">
        <f t="shared" ca="1" si="17"/>
        <v>11267.916289111123</v>
      </c>
    </row>
    <row r="27" spans="1:17">
      <c r="A27" s="462" t="s">
        <v>564</v>
      </c>
      <c r="B27" s="463">
        <f t="shared" ca="1" si="2"/>
        <v>0</v>
      </c>
      <c r="C27" s="463"/>
      <c r="D27" s="467">
        <f t="shared" si="4"/>
        <v>0</v>
      </c>
      <c r="E27" s="463"/>
      <c r="F27" s="463"/>
      <c r="G27" s="463">
        <f t="shared" si="7"/>
        <v>105.16983963040417</v>
      </c>
      <c r="H27" s="463"/>
      <c r="I27" s="463"/>
      <c r="J27" s="463"/>
      <c r="K27" s="463"/>
      <c r="L27" s="463"/>
      <c r="M27" s="463">
        <f t="shared" si="13"/>
        <v>0</v>
      </c>
      <c r="N27" s="463"/>
      <c r="O27" s="463"/>
      <c r="P27" s="464"/>
      <c r="Q27" s="462">
        <f t="shared" ca="1" si="17"/>
        <v>105.16983963040417</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c r="D29" s="463"/>
      <c r="E29" s="463"/>
      <c r="F29" s="463"/>
      <c r="G29" s="463"/>
      <c r="H29" s="463"/>
      <c r="I29" s="463"/>
      <c r="J29" s="463"/>
      <c r="K29" s="463"/>
      <c r="L29" s="463"/>
      <c r="M29" s="463"/>
      <c r="N29" s="463"/>
      <c r="O29" s="463"/>
      <c r="P29" s="464"/>
      <c r="Q29" s="462">
        <f t="shared" ca="1" si="17"/>
        <v>0</v>
      </c>
    </row>
    <row r="30" spans="1:17">
      <c r="A30" s="469" t="s">
        <v>567</v>
      </c>
      <c r="B30" s="463">
        <f t="shared" ca="1" si="2"/>
        <v>0</v>
      </c>
      <c r="C30" s="463"/>
      <c r="D30" s="463">
        <f t="shared" si="4"/>
        <v>0</v>
      </c>
      <c r="E30" s="463">
        <f t="shared" si="5"/>
        <v>0</v>
      </c>
      <c r="F30" s="463"/>
      <c r="G30" s="463">
        <f t="shared" si="7"/>
        <v>0</v>
      </c>
      <c r="H30" s="463">
        <f t="shared" si="8"/>
        <v>0</v>
      </c>
      <c r="I30" s="463"/>
      <c r="J30" s="463"/>
      <c r="K30" s="463"/>
      <c r="L30" s="463"/>
      <c r="M30" s="463">
        <f t="shared" si="13"/>
        <v>0</v>
      </c>
      <c r="N30" s="463"/>
      <c r="O30" s="463"/>
      <c r="P30" s="464"/>
      <c r="Q30" s="462">
        <f t="shared" ca="1" si="17"/>
        <v>0</v>
      </c>
    </row>
    <row r="31" spans="1:17" s="475" customFormat="1">
      <c r="A31" s="472" t="s">
        <v>568</v>
      </c>
      <c r="B31" s="473">
        <f t="shared" ref="B31:Q31" ca="1" si="18">SUM(B21:B30)</f>
        <v>12440.502409377292</v>
      </c>
      <c r="C31" s="473">
        <f t="shared" ca="1" si="18"/>
        <v>0</v>
      </c>
      <c r="D31" s="473">
        <f t="shared" ca="1" si="18"/>
        <v>17223.508669327624</v>
      </c>
      <c r="E31" s="473">
        <f t="shared" si="18"/>
        <v>1432.3560342149888</v>
      </c>
      <c r="F31" s="473">
        <f t="shared" ca="1" si="18"/>
        <v>11356.983554570104</v>
      </c>
      <c r="G31" s="473">
        <f t="shared" si="18"/>
        <v>9718.2902275909819</v>
      </c>
      <c r="H31" s="473">
        <f t="shared" si="18"/>
        <v>1623.4990535438633</v>
      </c>
      <c r="I31" s="473">
        <f t="shared" si="18"/>
        <v>0</v>
      </c>
      <c r="J31" s="473">
        <f t="shared" si="18"/>
        <v>1231.1796782620752</v>
      </c>
      <c r="K31" s="473">
        <f t="shared" si="18"/>
        <v>0</v>
      </c>
      <c r="L31" s="473">
        <f t="shared" ca="1" si="18"/>
        <v>0</v>
      </c>
      <c r="M31" s="473">
        <f t="shared" si="18"/>
        <v>0</v>
      </c>
      <c r="N31" s="473">
        <f t="shared" ca="1" si="18"/>
        <v>0</v>
      </c>
      <c r="O31" s="473">
        <f t="shared" si="18"/>
        <v>0</v>
      </c>
      <c r="P31" s="474">
        <f t="shared" si="18"/>
        <v>0</v>
      </c>
      <c r="Q31" s="474">
        <f t="shared" ca="1" si="18"/>
        <v>55026.319626886929</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61" customWidth="1"/>
    <col min="2" max="8" width="26.28515625" style="461" customWidth="1"/>
    <col min="9" max="9" width="32" style="461" customWidth="1"/>
    <col min="10" max="11" width="26.28515625" style="461" customWidth="1"/>
    <col min="12" max="12" width="23.7109375" style="461" customWidth="1"/>
    <col min="13" max="15" width="26.28515625" style="461" customWidth="1"/>
    <col min="16" max="16" width="42" style="461" customWidth="1"/>
    <col min="17" max="17" width="26.28515625" style="461" customWidth="1"/>
    <col min="18" max="18" width="9.5703125" style="461" bestFit="1" customWidth="1"/>
    <col min="19" max="16384" width="9.140625" style="461"/>
  </cols>
  <sheetData>
    <row r="1" spans="1:17" s="1006" customFormat="1" ht="21">
      <c r="A1" s="1146" t="s">
        <v>563</v>
      </c>
      <c r="B1" s="1147" t="s">
        <v>833</v>
      </c>
      <c r="C1" s="1147"/>
      <c r="D1" s="1147"/>
      <c r="E1" s="1147"/>
      <c r="F1" s="1147"/>
      <c r="G1" s="1147"/>
      <c r="H1" s="1147"/>
      <c r="I1" s="1147"/>
      <c r="J1" s="1147"/>
      <c r="K1" s="1147"/>
      <c r="L1" s="1147"/>
      <c r="M1" s="1147"/>
      <c r="N1" s="1147"/>
      <c r="O1" s="1147"/>
      <c r="P1" s="1148"/>
      <c r="Q1" s="1005"/>
    </row>
    <row r="2" spans="1:17" s="1006" customFormat="1" ht="21">
      <c r="A2" s="1146"/>
      <c r="B2" s="1149" t="s">
        <v>21</v>
      </c>
      <c r="C2" s="1151" t="s">
        <v>196</v>
      </c>
      <c r="D2" s="1153" t="s">
        <v>197</v>
      </c>
      <c r="E2" s="1154"/>
      <c r="F2" s="1154"/>
      <c r="G2" s="1154"/>
      <c r="H2" s="1154"/>
      <c r="I2" s="1154"/>
      <c r="J2" s="1154"/>
      <c r="K2" s="1150"/>
      <c r="L2" s="1153" t="s">
        <v>198</v>
      </c>
      <c r="M2" s="1154"/>
      <c r="N2" s="1154"/>
      <c r="O2" s="1154"/>
      <c r="P2" s="1150"/>
      <c r="Q2" s="1005"/>
    </row>
    <row r="3" spans="1:17" s="1006" customFormat="1" ht="42">
      <c r="A3" s="1146"/>
      <c r="B3" s="1150"/>
      <c r="C3" s="1152"/>
      <c r="D3" s="1007" t="s">
        <v>199</v>
      </c>
      <c r="E3" s="1007" t="s">
        <v>200</v>
      </c>
      <c r="F3" s="1007" t="s">
        <v>201</v>
      </c>
      <c r="G3" s="1007" t="s">
        <v>202</v>
      </c>
      <c r="H3" s="1007" t="s">
        <v>120</v>
      </c>
      <c r="I3" s="1007" t="s">
        <v>203</v>
      </c>
      <c r="J3" s="1007" t="s">
        <v>204</v>
      </c>
      <c r="K3" s="1007" t="s">
        <v>205</v>
      </c>
      <c r="L3" s="1007" t="s">
        <v>206</v>
      </c>
      <c r="M3" s="1007" t="s">
        <v>207</v>
      </c>
      <c r="N3" s="1007" t="s">
        <v>208</v>
      </c>
      <c r="O3" s="1007" t="s">
        <v>209</v>
      </c>
      <c r="P3" s="1007" t="s">
        <v>210</v>
      </c>
      <c r="Q3" s="1005" t="s">
        <v>116</v>
      </c>
    </row>
    <row r="4" spans="1:17" ht="124.35" customHeight="1">
      <c r="A4" s="1008" t="s">
        <v>155</v>
      </c>
      <c r="B4" s="1009" t="s">
        <v>834</v>
      </c>
      <c r="C4" s="1010" t="s">
        <v>835</v>
      </c>
      <c r="D4" s="1011" t="s">
        <v>836</v>
      </c>
      <c r="E4" s="1012" t="s">
        <v>837</v>
      </c>
      <c r="F4" s="1012" t="s">
        <v>838</v>
      </c>
      <c r="G4" s="1013" t="s">
        <v>841</v>
      </c>
      <c r="H4" s="1013" t="s">
        <v>841</v>
      </c>
      <c r="I4" s="1013" t="s">
        <v>841</v>
      </c>
      <c r="J4" s="1012" t="s">
        <v>840</v>
      </c>
      <c r="K4" s="1013" t="s">
        <v>841</v>
      </c>
      <c r="L4" s="1013" t="s">
        <v>841</v>
      </c>
      <c r="M4" s="1013" t="s">
        <v>841</v>
      </c>
      <c r="N4" s="1012" t="s">
        <v>842</v>
      </c>
      <c r="O4" s="1014" t="s">
        <v>843</v>
      </c>
      <c r="P4" s="1015" t="s">
        <v>844</v>
      </c>
      <c r="Q4" s="1016"/>
    </row>
    <row r="5" spans="1:17" ht="124.35" customHeight="1">
      <c r="A5" s="1017" t="s">
        <v>156</v>
      </c>
      <c r="B5" s="1018" t="s">
        <v>845</v>
      </c>
      <c r="C5" s="1019" t="s">
        <v>846</v>
      </c>
      <c r="D5" s="1019" t="s">
        <v>847</v>
      </c>
      <c r="E5" s="1020" t="s">
        <v>848</v>
      </c>
      <c r="F5" s="1020" t="s">
        <v>849</v>
      </c>
      <c r="G5" s="1021" t="s">
        <v>841</v>
      </c>
      <c r="H5" s="1021" t="s">
        <v>841</v>
      </c>
      <c r="I5" s="1021" t="s">
        <v>841</v>
      </c>
      <c r="J5" s="1020" t="s">
        <v>850</v>
      </c>
      <c r="K5" s="1018" t="s">
        <v>851</v>
      </c>
      <c r="L5" s="1021" t="s">
        <v>841</v>
      </c>
      <c r="M5" s="1021" t="s">
        <v>841</v>
      </c>
      <c r="N5" s="1020" t="s">
        <v>852</v>
      </c>
      <c r="O5" s="1022" t="s">
        <v>843</v>
      </c>
      <c r="P5" s="1023" t="s">
        <v>844</v>
      </c>
      <c r="Q5" s="1024"/>
    </row>
    <row r="6" spans="1:17" ht="124.35" customHeight="1">
      <c r="A6" s="1017" t="s">
        <v>194</v>
      </c>
      <c r="B6" s="1025" t="s">
        <v>853</v>
      </c>
      <c r="C6" s="1026" t="s">
        <v>839</v>
      </c>
      <c r="D6" s="1021" t="s">
        <v>839</v>
      </c>
      <c r="E6" s="1021" t="s">
        <v>839</v>
      </c>
      <c r="F6" s="1021" t="s">
        <v>839</v>
      </c>
      <c r="G6" s="1021" t="s">
        <v>839</v>
      </c>
      <c r="H6" s="1021" t="s">
        <v>839</v>
      </c>
      <c r="I6" s="1021" t="s">
        <v>839</v>
      </c>
      <c r="J6" s="1021" t="s">
        <v>839</v>
      </c>
      <c r="K6" s="1021" t="s">
        <v>839</v>
      </c>
      <c r="L6" s="1021" t="s">
        <v>839</v>
      </c>
      <c r="M6" s="1021" t="s">
        <v>839</v>
      </c>
      <c r="N6" s="1021" t="s">
        <v>839</v>
      </c>
      <c r="O6" s="1027" t="s">
        <v>839</v>
      </c>
      <c r="P6" s="1028" t="s">
        <v>839</v>
      </c>
      <c r="Q6" s="1029"/>
    </row>
    <row r="7" spans="1:17" ht="124.35" customHeight="1">
      <c r="A7" s="1017" t="s">
        <v>112</v>
      </c>
      <c r="B7" s="1025" t="s">
        <v>853</v>
      </c>
      <c r="C7" s="1019" t="s">
        <v>846</v>
      </c>
      <c r="D7" s="1019" t="s">
        <v>847</v>
      </c>
      <c r="E7" s="1020" t="s">
        <v>848</v>
      </c>
      <c r="F7" s="1020" t="s">
        <v>849</v>
      </c>
      <c r="G7" s="1021" t="s">
        <v>841</v>
      </c>
      <c r="H7" s="1021" t="s">
        <v>841</v>
      </c>
      <c r="I7" s="1021" t="s">
        <v>841</v>
      </c>
      <c r="J7" s="1020" t="s">
        <v>850</v>
      </c>
      <c r="K7" s="1021" t="s">
        <v>841</v>
      </c>
      <c r="L7" s="1021" t="s">
        <v>841</v>
      </c>
      <c r="M7" s="1021" t="s">
        <v>841</v>
      </c>
      <c r="N7" s="1030" t="s">
        <v>841</v>
      </c>
      <c r="O7" s="1026" t="s">
        <v>841</v>
      </c>
      <c r="P7" s="1031" t="s">
        <v>841</v>
      </c>
      <c r="Q7" s="1024"/>
    </row>
    <row r="8" spans="1:17" ht="124.35" customHeight="1">
      <c r="A8" s="1017" t="s">
        <v>657</v>
      </c>
      <c r="B8" s="1018" t="s">
        <v>854</v>
      </c>
      <c r="C8" s="1019" t="s">
        <v>846</v>
      </c>
      <c r="D8" s="1019" t="s">
        <v>847</v>
      </c>
      <c r="E8" s="1020" t="s">
        <v>848</v>
      </c>
      <c r="F8" s="1020" t="s">
        <v>849</v>
      </c>
      <c r="G8" s="1021" t="s">
        <v>841</v>
      </c>
      <c r="H8" s="1021" t="s">
        <v>841</v>
      </c>
      <c r="I8" s="1021" t="s">
        <v>841</v>
      </c>
      <c r="J8" s="1020" t="s">
        <v>850</v>
      </c>
      <c r="K8" s="1018" t="s">
        <v>851</v>
      </c>
      <c r="L8" s="1021" t="s">
        <v>841</v>
      </c>
      <c r="M8" s="1021" t="s">
        <v>841</v>
      </c>
      <c r="N8" s="1020" t="s">
        <v>852</v>
      </c>
      <c r="O8" s="1022" t="s">
        <v>843</v>
      </c>
      <c r="P8" s="1023" t="s">
        <v>844</v>
      </c>
      <c r="Q8" s="1024"/>
    </row>
    <row r="9" spans="1:17" s="468" customFormat="1" ht="124.35" customHeight="1">
      <c r="A9" s="1032" t="s">
        <v>574</v>
      </c>
      <c r="B9" s="1020" t="s">
        <v>855</v>
      </c>
      <c r="C9" s="1027" t="s">
        <v>839</v>
      </c>
      <c r="D9" s="1020" t="s">
        <v>856</v>
      </c>
      <c r="E9" s="1020" t="s">
        <v>857</v>
      </c>
      <c r="F9" s="1021" t="s">
        <v>839</v>
      </c>
      <c r="G9" s="1020" t="s">
        <v>858</v>
      </c>
      <c r="H9" s="1020" t="s">
        <v>859</v>
      </c>
      <c r="I9" s="1021" t="s">
        <v>839</v>
      </c>
      <c r="J9" s="1021" t="s">
        <v>839</v>
      </c>
      <c r="K9" s="1021" t="s">
        <v>839</v>
      </c>
      <c r="L9" s="1021" t="s">
        <v>839</v>
      </c>
      <c r="M9" s="1020" t="s">
        <v>855</v>
      </c>
      <c r="N9" s="1021" t="s">
        <v>839</v>
      </c>
      <c r="O9" s="1021" t="s">
        <v>839</v>
      </c>
      <c r="P9" s="1033" t="s">
        <v>839</v>
      </c>
      <c r="Q9" s="1034"/>
    </row>
    <row r="10" spans="1:17" ht="124.35" customHeight="1">
      <c r="A10" s="1017" t="s">
        <v>564</v>
      </c>
      <c r="B10" s="1018" t="s">
        <v>868</v>
      </c>
      <c r="C10" s="1027" t="s">
        <v>839</v>
      </c>
      <c r="D10" s="1027" t="s">
        <v>839</v>
      </c>
      <c r="E10" s="1027" t="s">
        <v>839</v>
      </c>
      <c r="F10" s="1021" t="s">
        <v>839</v>
      </c>
      <c r="G10" s="1018" t="s">
        <v>860</v>
      </c>
      <c r="H10" s="1021" t="s">
        <v>839</v>
      </c>
      <c r="I10" s="1021" t="s">
        <v>839</v>
      </c>
      <c r="J10" s="1021" t="s">
        <v>839</v>
      </c>
      <c r="K10" s="1021" t="s">
        <v>839</v>
      </c>
      <c r="L10" s="1021" t="s">
        <v>839</v>
      </c>
      <c r="M10" s="1018" t="s">
        <v>861</v>
      </c>
      <c r="N10" s="1021" t="s">
        <v>839</v>
      </c>
      <c r="O10" s="1021" t="s">
        <v>839</v>
      </c>
      <c r="P10" s="1033" t="s">
        <v>839</v>
      </c>
      <c r="Q10" s="1024"/>
    </row>
    <row r="11" spans="1:17" ht="21">
      <c r="A11" s="1017" t="s">
        <v>565</v>
      </c>
      <c r="B11" s="1035" t="s">
        <v>862</v>
      </c>
      <c r="C11" s="1035" t="s">
        <v>862</v>
      </c>
      <c r="D11" s="1035" t="s">
        <v>862</v>
      </c>
      <c r="E11" s="1035" t="s">
        <v>862</v>
      </c>
      <c r="F11" s="1035" t="s">
        <v>862</v>
      </c>
      <c r="G11" s="1035" t="s">
        <v>862</v>
      </c>
      <c r="H11" s="1035" t="s">
        <v>862</v>
      </c>
      <c r="I11" s="1035" t="s">
        <v>862</v>
      </c>
      <c r="J11" s="1035" t="s">
        <v>862</v>
      </c>
      <c r="K11" s="1035" t="s">
        <v>862</v>
      </c>
      <c r="L11" s="1035" t="s">
        <v>862</v>
      </c>
      <c r="M11" s="1035" t="s">
        <v>862</v>
      </c>
      <c r="N11" s="1035" t="s">
        <v>862</v>
      </c>
      <c r="O11" s="1035" t="s">
        <v>862</v>
      </c>
      <c r="P11" s="1051" t="s">
        <v>862</v>
      </c>
      <c r="Q11" s="1052"/>
    </row>
    <row r="12" spans="1:17" ht="21">
      <c r="A12" s="1017" t="s">
        <v>566</v>
      </c>
      <c r="B12" s="1035" t="s">
        <v>862</v>
      </c>
      <c r="C12" s="1035" t="s">
        <v>839</v>
      </c>
      <c r="D12" s="1035" t="s">
        <v>839</v>
      </c>
      <c r="E12" s="1035" t="s">
        <v>839</v>
      </c>
      <c r="F12" s="1035" t="s">
        <v>839</v>
      </c>
      <c r="G12" s="1035" t="s">
        <v>839</v>
      </c>
      <c r="H12" s="1035" t="s">
        <v>839</v>
      </c>
      <c r="I12" s="1035" t="s">
        <v>839</v>
      </c>
      <c r="J12" s="1035" t="s">
        <v>839</v>
      </c>
      <c r="K12" s="1035" t="s">
        <v>839</v>
      </c>
      <c r="L12" s="1035" t="s">
        <v>839</v>
      </c>
      <c r="M12" s="1035" t="s">
        <v>839</v>
      </c>
      <c r="N12" s="1035" t="s">
        <v>839</v>
      </c>
      <c r="O12" s="1035" t="s">
        <v>839</v>
      </c>
      <c r="P12" s="1036" t="s">
        <v>839</v>
      </c>
      <c r="Q12" s="464"/>
    </row>
    <row r="13" spans="1:17" ht="21">
      <c r="A13" s="1037" t="s">
        <v>567</v>
      </c>
      <c r="B13" s="1038" t="s">
        <v>862</v>
      </c>
      <c r="C13" s="463" t="s">
        <v>839</v>
      </c>
      <c r="D13" s="470" t="s">
        <v>862</v>
      </c>
      <c r="E13" s="470" t="s">
        <v>862</v>
      </c>
      <c r="F13" s="470" t="s">
        <v>839</v>
      </c>
      <c r="G13" s="470" t="s">
        <v>862</v>
      </c>
      <c r="H13" s="470" t="s">
        <v>862</v>
      </c>
      <c r="I13" s="470" t="s">
        <v>839</v>
      </c>
      <c r="J13" s="470" t="s">
        <v>839</v>
      </c>
      <c r="K13" s="470" t="s">
        <v>839</v>
      </c>
      <c r="L13" s="470" t="s">
        <v>839</v>
      </c>
      <c r="M13" s="1039" t="s">
        <v>862</v>
      </c>
      <c r="N13" s="470" t="s">
        <v>839</v>
      </c>
      <c r="O13" s="470" t="s">
        <v>839</v>
      </c>
      <c r="P13" s="470" t="s">
        <v>839</v>
      </c>
      <c r="Q13" s="469"/>
    </row>
    <row r="14" spans="1:17" s="475" customFormat="1" ht="21">
      <c r="A14" s="1040" t="s">
        <v>568</v>
      </c>
      <c r="B14" s="473"/>
      <c r="C14" s="473"/>
      <c r="D14" s="473"/>
      <c r="E14" s="473"/>
      <c r="F14" s="473"/>
      <c r="G14" s="473"/>
      <c r="H14" s="473"/>
      <c r="I14" s="473"/>
      <c r="J14" s="473"/>
      <c r="K14" s="473"/>
      <c r="L14" s="473"/>
      <c r="M14" s="1041"/>
      <c r="N14" s="473"/>
      <c r="O14" s="473"/>
      <c r="P14" s="474"/>
      <c r="Q14" s="1042"/>
    </row>
    <row r="15" spans="1:17">
      <c r="M15" s="1043"/>
    </row>
    <row r="16" spans="1:17">
      <c r="B16" s="1044">
        <v>1</v>
      </c>
      <c r="C16" s="1045">
        <v>2</v>
      </c>
      <c r="D16" s="1046">
        <v>3</v>
      </c>
    </row>
    <row r="17" spans="1:4" ht="252">
      <c r="A17" s="1047" t="s">
        <v>863</v>
      </c>
      <c r="B17" s="1048" t="s">
        <v>864</v>
      </c>
      <c r="C17" s="1049" t="s">
        <v>865</v>
      </c>
      <c r="D17" s="1050" t="s">
        <v>866</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0.20070071228966457</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0</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0</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1</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19.066666666666666</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61"/>
      <c r="P13" s="1161"/>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0.20070071228966457</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137" t="s">
        <v>328</v>
      </c>
      <c r="B1" s="1155" t="s">
        <v>195</v>
      </c>
      <c r="C1" s="1156"/>
      <c r="D1" s="1156"/>
      <c r="E1" s="1156"/>
      <c r="F1" s="1156"/>
      <c r="G1" s="1156"/>
      <c r="H1" s="1156"/>
      <c r="I1" s="1156"/>
      <c r="J1" s="1156"/>
      <c r="K1" s="1156"/>
      <c r="L1" s="1156"/>
      <c r="M1" s="1156"/>
      <c r="N1" s="1156"/>
      <c r="O1" s="1156"/>
      <c r="P1" s="1156"/>
    </row>
    <row r="2" spans="1:16" ht="15" customHeight="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0.20070071228966457</v>
      </c>
      <c r="C29" s="514">
        <f ca="1">'EF ele_warmte'!B22</f>
        <v>0</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216</vt:i4>
      </vt:variant>
    </vt:vector>
  </HeadingPairs>
  <TitlesOfParts>
    <vt:vector size="250" baseType="lpstr">
      <vt:lpstr>LEGENDE</vt:lpstr>
      <vt:lpstr>OUTPUT--&gt;</vt:lpstr>
      <vt:lpstr>SEAP template</vt:lpstr>
      <vt:lpstr>Inventaris 2013</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2019-01-02T18:04:22Z</dcterms:modified>
</cp:coreProperties>
</file>