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<sst xmlns="http://schemas.openxmlformats.org/spreadsheetml/2006/main" count="2187" uniqueCount="893">
  <si>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</si>
  <si>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</si>
  <si>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</si>
  <si>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</si>
  <si>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</si>
  <si>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</si>
  <si>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</si>
  <si>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</si>
  <si>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</si>
  <si>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</si>
  <si>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</si>
  <si>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</si>
  <si>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</si>
  <si>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</si>
  <si>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</si>
  <si>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</si>
  <si>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</si>
  <si>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</si>
  <si>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</si>
  <si>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</si>
  <si>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</si>
  <si>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</si>
  <si>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</si>
  <si>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</si>
  <si>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</si>
  <si>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</si>
  <si>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</si>
  <si>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</si>
  <si>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</si>
  <si>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</si>
  <si>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</si>
  <si>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</si>
  <si>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</si>
  <si>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</si>
  <si>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</si>
  <si>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</si>
  <si>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</si>
  <si>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</si>
  <si>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</si>
  <si>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</si>
  <si>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</si>
  <si>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</si>
  <si>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</si>
  <si>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</si>
  <si>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</si>
  <si>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</si>
  <si>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</si>
  <si>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</si>
  <si>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</si>
  <si>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</si>
  <si>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</si>
  <si>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</si>
  <si>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</si>
  <si>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</si>
  <si>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</si>
  <si>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</si>
  <si>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</si>
  <si>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</si>
  <si>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</si>
  <si>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</si>
  <si>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</si>
  <si>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</si>
  <si>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</si>
  <si>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</si>
  <si>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</si>
  <si>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</si>
  <si>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</si>
  <si>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</si>
  <si>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</si>
  <si>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</si>
  <si>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</si>
  <si>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</si>
  <si>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</si>
  <si>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</si>
  <si>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</si>
  <si>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</si>
  <si>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</si>
  <si>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</si>
  <si>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</si>
  <si>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</si>
  <si>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</si>
  <si>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</si>
  <si>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</si>
  <si>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</si>
  <si>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</si>
  <si>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</si>
  <si>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</si>
  <si>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</si>
  <si>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</si>
  <si>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</si>
  <si>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</si>
  <si>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</si>
  <si>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</si>
  <si>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</si>
  <si>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</si>
  <si>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</si>
  <si>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</si>
  <si>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</si>
  <si>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</si>
  <si>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</si>
  <si>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</si>
  <si>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</si>
  <si>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</si>
  <si>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</si>
  <si>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</si>
  <si>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</si>
  <si>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</si>
  <si>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</si>
  <si>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</si>
  <si>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</si>
  <si>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</si>
  <si>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</si>
  <si>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</si>
  <si>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</si>
  <si>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</si>
  <si>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</si>
  <si>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</si>
  <si>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</si>
  <si>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</si>
  <si>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</si>
  <si>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</si>
  <si>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</si>
  <si>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</si>
  <si>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</si>
  <si>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</si>
  <si>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</si>
  <si>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</si>
  <si>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</si>
  <si>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</si>
  <si>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</si>
  <si>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</si>
  <si>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</si>
  <si>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</si>
  <si>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</si>
  <si>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</si>
  <si>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</si>
  <si>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</si>
  <si>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</si>
  <si>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</si>
  <si>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</si>
  <si>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</si>
  <si>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</si>
  <si>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</si>
  <si>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</si>
  <si>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</si>
  <si>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</si>
  <si>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</si>
  <si>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</si>
  <si>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</si>
  <si>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</si>
  <si>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</si>
  <si>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</si>
  <si>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</si>
  <si>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</si>
  <si>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</si>
  <si>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</si>
  <si>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</si>
  <si>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</si>
  <si>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</si>
  <si>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</si>
  <si>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</si>
  <si>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</si>
  <si>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</si>
  <si>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</si>
  <si>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</si>
  <si>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</si>
  <si>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</si>
  <si>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</si>
  <si>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</si>
  <si>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</si>
  <si>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</si>
  <si>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</si>
  <si>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</si>
  <si>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</si>
  <si>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</si>
  <si>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</si>
  <si>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</si>
  <si>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</si>
  <si>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</si>
  <si>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</si>
  <si>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</si>
  <si>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</si>
  <si>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</si>
  <si>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</si>
  <si>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</si>
  <si>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</si>
  <si>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</si>
  <si>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</si>
  <si>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</si>
  <si>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</si>
  <si>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</si>
  <si>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</si>
  <si>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</si>
  <si>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</si>
  <si>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</si>
  <si>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</si>
  <si>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</si>
  <si>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</si>
  <si>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</si>
  <si>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</si>
  <si>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</si>
  <si>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</si>
  <si>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</si>
  <si>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</si>
  <si>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</si>
  <si>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</si>
  <si>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</si>
  <si>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</si>
  <si>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</si>
  <si>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</si>
  <si>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</si>
  <si>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</si>
  <si>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</si>
  <si>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</si>
  <si>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</si>
  <si>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</si>
  <si>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</si>
  <si>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</si>
  <si>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</si>
  <si>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</si>
  <si>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</si>
  <si>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</si>
  <si>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</si>
  <si>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</si>
  <si>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</si>
  <si>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</si>
  <si>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</si>
  <si>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</si>
  <si>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</si>
  <si>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</si>
  <si>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</si>
  <si>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</si>
  <si>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</si>
  <si>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</si>
  <si>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</si>
  <si>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</si>
  <si>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</si>
  <si>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</si>
  <si>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</si>
  <si>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</si>
  <si>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</si>
  <si>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</si>
  <si>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</si>
  <si>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</si>
  <si>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</si>
  <si>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</si>
  <si>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</si>
  <si>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</si>
  <si>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</si>
  <si>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</si>
  <si>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</si>
  <si>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</si>
  <si>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</si>
  <si>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</si>
  <si>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</si>
  <si>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</si>
  <si>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</si>
  <si>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</si>
  <si>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</si>
  <si>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</si>
  <si>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</si>
  <si>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</si>
  <si>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</si>
  <si>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</si>
  <si>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</si>
  <si>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</si>
  <si>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</si>
  <si>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</si>
  <si>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</si>
  <si>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</si>
  <si>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</si>
  <si>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</si>
  <si>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</si>
  <si>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</si>
  <si>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</si>
  <si>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</si>
  <si>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</si>
  <si>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</si>
  <si>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</si>
  <si>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</si>
  <si>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</si>
  <si>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</si>
  <si>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</si>
  <si>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</si>
  <si>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</si>
  <si>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</si>
  <si>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</si>
  <si>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</si>
  <si>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</si>
  <si>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</si>
  <si>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</si>
  <si>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</si>
  <si>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</si>
  <si>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</si>
  <si>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</si>
  <si>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</si>
  <si>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</si>
  <si>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</si>
  <si>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</si>
  <si>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</si>
  <si>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</si>
  <si>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</si>
  <si>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</si>
  <si>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</si>
  <si>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</si>
  <si>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</si>
  <si>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</si>
  <si>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</si>
  <si>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</si>
  <si>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</si>
  <si>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</si>
  <si>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</si>
  <si>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</si>
  <si>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</si>
  <si>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</si>
  <si>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</si>
  <si>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</si>
  <si>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</si>
  <si>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</si>
  <si>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</si>
  <si>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</si>
  <si>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</si>
  <si>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</si>
  <si>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</si>
  <si>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</si>
  <si>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</si>
  <si>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</si>
  <si>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</si>
  <si>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</si>
  <si>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</si>
  <si>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</si>
  <si>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</si>
  <si>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</si>
  <si>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</si>
  <si>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</si>
  <si>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</si>
  <si>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</si>
  <si>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</si>
  <si>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</si>
  <si>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</si>
  <si>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</si>
  <si>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</si>
  <si>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</si>
  <si>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</si>
  <si>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</si>
  <si>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</si>
  <si>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</si>
  <si>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</si>
  <si>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</si>
  <si>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</si>
  <si>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</si>
  <si>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</si>
  <si>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</si>
  <si>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</si>
  <si>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</si>
  <si>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</si>
  <si>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</si>
  <si>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</si>
  <si>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</si>
  <si>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</si>
  <si>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</si>
  <si>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</si>
  <si>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</si>
  <si>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</si>
  <si>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</si>
  <si>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</si>
  <si>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</si>
  <si>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</si>
  <si>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</si>
  <si>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</si>
  <si>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</si>
  <si>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</si>
  <si>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</si>
  <si>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</si>
  <si>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</si>
  <si>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</si>
  <si>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</si>
  <si>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</si>
  <si>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</si>
  <si>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</si>
  <si>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</si>
  <si>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</si>
  <si>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</si>
  <si>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</si>
  <si>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</si>
  <si>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</si>
  <si>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</si>
  <si>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</si>
  <si>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</si>
  <si>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</si>
  <si>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</si>
  <si>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</si>
  <si>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</si>
  <si>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</si>
  <si>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</si>
  <si>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</si>
  <si>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</si>
  <si>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</si>
  <si>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</si>
  <si>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</si>
  <si>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</si>
  <si>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</si>
  <si>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</si>
  <si>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</si>
  <si>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</si>
  <si>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</si>
  <si>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</si>
  <si>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</si>
  <si>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</si>
  <si>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</si>
  <si>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</si>
  <si>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</si>
  <si>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</si>
  <si>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</si>
  <si>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</si>
  <si>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</si>
  <si>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</si>
  <si>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</si>
  <si>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</si>
  <si>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</si>
  <si>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</si>
  <si>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</si>
  <si>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</si>
  <si>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</si>
  <si>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</si>
  <si>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</si>
  <si>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</si>
  <si>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</si>
  <si>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</si>
  <si>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</si>
  <si>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</si>
  <si>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</si>
  <si>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</si>
  <si>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</si>
  <si>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</si>
  <si>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</si>
  <si>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</si>
  <si>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</si>
  <si>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</si>
  <si>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</si>
  <si>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</si>
  <si>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</si>
  <si>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</si>
  <si>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</si>
  <si>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</si>
  <si>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</si>
  <si>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</si>
  <si>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</si>
  <si>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</si>
  <si>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</si>
  <si>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</si>
  <si>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</si>
  <si>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</si>
  <si>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</si>
  <si>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</si>
  <si>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</si>
  <si>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</si>
  <si>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</si>
  <si>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</si>
  <si>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</si>
  <si>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</si>
  <si>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</si>
  <si>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</si>
  <si>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</si>
  <si>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</si>
  <si>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</si>
  <si>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</si>
  <si>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</si>
  <si>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</si>
  <si>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</si>
  <si>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</si>
  <si>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</si>
  <si>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</si>
  <si>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</si>
  <si>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</si>
  <si>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</si>
  <si>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</si>
  <si>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</si>
  <si>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</si>
  <si>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</si>
  <si>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</si>
  <si>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</si>
  <si>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</si>
  <si>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</si>
  <si>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</si>
  <si>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</si>
  <si>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</si>
  <si>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</si>
  <si>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</si>
  <si>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</si>
  <si>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</si>
  <si>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</si>
  <si>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</si>
  <si>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</si>
  <si>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</si>
  <si>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</si>
  <si>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</si>
  <si>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</si>
  <si>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</si>
  <si>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</si>
  <si>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</si>
  <si>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</si>
  <si>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</si>
  <si>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</si>
  <si>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</si>
  <si>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</si>
  <si>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</si>
  <si>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</si>
  <si>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</si>
  <si>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</si>
  <si>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</si>
  <si>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</si>
  <si>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</si>
  <si>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</si>
  <si>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</si>
  <si>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</si>
  <si>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</si>
  <si>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</si>
  <si>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</si>
  <si>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</si>
  <si>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</si>
  <si>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</si>
  <si>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</si>
  <si>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</si>
  <si>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</si>
  <si>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</si>
  <si>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</si>
  <si>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</si>
  <si>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</si>
  <si>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</si>
  <si>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</si>
  <si>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</si>
  <si>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</si>
  <si>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</si>
  <si>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</si>
  <si>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</si>
  <si>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</si>
  <si>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</si>
  <si>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</si>
  <si>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</si>
  <si>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</si>
  <si>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</si>
  <si>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</si>
  <si>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</si>
  <si>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</si>
  <si>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</si>
  <si>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</si>
  <si>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</si>
  <si>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</si>
  <si>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</si>
  <si>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</si>
  <si>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</si>
  <si>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</si>
  <si>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</si>
  <si>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</si>
  <si>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</si>
  <si>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</si>
  <si>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</si>
  <si>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</si>
  <si>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</si>
  <si>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</si>
  <si>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</si>
  <si>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</si>
  <si>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</si>
  <si>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</si>
  <si>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</si>
  <si>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</si>
  <si>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</si>
  <si>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</si>
  <si>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</si>
  <si>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</si>
  <si>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</si>
  <si>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</si>
  <si>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</si>
  <si>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</si>
  <si>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</si>
  <si>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</si>
  <si>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</si>
  <si>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</si>
  <si>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</si>
  <si>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</si>
  <si>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</si>
  <si>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</si>
  <si>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</si>
  <si>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</si>
  <si>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</si>
  <si>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</si>
  <si>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</si>
  <si>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</si>
  <si>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</si>
  <si>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</si>
  <si>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</si>
  <si>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</si>
  <si>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</si>
  <si>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</si>
  <si>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</si>
  <si>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</si>
  <si>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</si>
  <si>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</si>
  <si>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</si>
  <si>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</si>
  <si>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</si>
  <si>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</si>
  <si>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</si>
  <si>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</si>
  <si>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</si>
  <si>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</si>
  <si>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</si>
  <si>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</si>
  <si>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</si>
  <si>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</si>
  <si>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</si>
  <si>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</si>
  <si>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</si>
  <si>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</si>
  <si>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</si>
  <si>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</si>
  <si>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</si>
  <si>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</si>
  <si>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</si>
  <si>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</si>
  <si>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</si>
  <si>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</si>
  <si>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</si>
  <si>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</si>
  <si>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</si>
  <si>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</si>
  <si>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</si>
  <si>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</si>
  <si>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</si>
  <si>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</si>
  <si>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</si>
  <si>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</si>
  <si>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</si>
  <si>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</si>
  <si>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</si>
  <si>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</si>
  <si>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</si>
  <si>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</si>
  <si>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</si>
  <si>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</si>
  <si>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</si>
  <si>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</si>
  <si>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</si>
  <si>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</si>
  <si>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</si>
  <si>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</si>
  <si>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</si>
  <si>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</si>
  <si>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</si>
  <si>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</si>
  <si>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</si>
  <si>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</si>
  <si>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</si>
  <si>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</si>
  <si>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</si>
  <si>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</si>
  <si>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</si>
  <si>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</si>
  <si>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</si>
  <si>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</si>
  <si>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</si>
  <si>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</si>
  <si>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</si>
  <si>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</si>
  <si>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</si>
  <si>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</si>
  <si>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</si>
  <si>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</si>
  <si>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</si>
  <si>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</si>
  <si>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</si>
  <si>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</si>
  <si>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</si>
  <si>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</si>
  <si>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</si>
  <si>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</si>
  <si>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</si>
  <si>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</si>
  <si>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</si>
  <si>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</si>
  <si>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</si>
  <si>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</si>
  <si>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</si>
  <si>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</si>
  <si>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</si>
  <si>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</si>
  <si>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</si>
  <si>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</si>
  <si>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</si>
  <si>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</si>
  <si>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</si>
  <si>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</si>
  <si>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</si>
  <si>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</si>
  <si>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</si>
  <si>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</si>
  <si>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</si>
  <si>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</si>
  <si>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</si>
  <si>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</si>
  <si>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</si>
  <si>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</si>
  <si>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</si>
  <si>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</si>
  <si>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</si>
  <si>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</si>
  <si>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</si>
  <si>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</si>
  <si>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</si>
  <si>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</si>
  <si>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</si>
  <si>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</si>
  <si>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</si>
  <si>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</si>
  <si>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</si>
  <si>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</si>
  <si>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</si>
  <si>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</si>
  <si>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</si>
  <si>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</si>
  <si>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</si>
  <si>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</si>
  <si>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</si>
  <si>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</si>
  <si>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</si>
  <si>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</si>
  <si>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</si>
  <si>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</si>
  <si>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</si>
  <si>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</si>
  <si>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</si>
  <si>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</si>
  <si>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</si>
  <si>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</si>
  <si>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</si>
  <si>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</si>
  <si>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</si>
  <si>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</si>
  <si>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</si>
  <si>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</si>
  <si>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</si>
  <si>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</si>
  <si>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</si>
  <si>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</si>
  <si>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</si>
  <si>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</si>
  <si>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</si>
  <si>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</si>
  <si>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</si>
  <si>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</si>
  <si>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</si>
  <si>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</si>
  <si>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</si>
  <si>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</si>
  <si>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</si>
  <si>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</si>
  <si>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</si>
  <si>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</si>
  <si>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</si>
  <si>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</si>
  <si>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</si>
  <si>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</si>
  <si>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</si>
  <si>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</si>
  <si>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</si>
  <si>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</si>
  <si>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</si>
  <si>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</si>
  <si>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</si>
  <si>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</si>
  <si>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</si>
  <si>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</si>
  <si>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</si>
  <si>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</si>
  <si>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</si>
  <si>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</si>
  <si>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</si>
  <si>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</si>
  <si>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</si>
  <si>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</si>
  <si>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</si>
  <si>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</si>
  <si>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</si>
  <si>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</si>
  <si>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</si>
  <si>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</si>
  <si>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</si>
  <si>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</si>
  <si>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</si>
  <si>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</si>
  <si>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</si>
  <si>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</si>
  <si>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</si>
  <si>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</si>
  <si>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</si>
  <si>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</si>
  <si>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</si>
  <si>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</si>
  <si>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</si>
  <si>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</si>
  <si>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</si>
  <si>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</si>
  <si>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</si>
  <si>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</si>
  <si>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</si>
  <si>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</si>
  <si>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</si>
  <si>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</si>
  <si>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</si>
  <si>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</si>
  <si>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</si>
  <si>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</si>
  <si>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</si>
  <si>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</si>
  <si>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</si>
  <si>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</si>
  <si>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</si>
  <si>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</si>
  <si>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</si>
  <si>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</si>
  <si>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</si>
  <si>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</si>
  <si>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</si>
  <si>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</si>
  <si>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</si>
  <si>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</si>
  <si>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</si>
  <si>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</si>
  <si>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</si>
  <si>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</si>
  <si>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</si>
  <si>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</si>
  <si>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</si>
  <si>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</si>
  <si>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</si>
  <si>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</si>
  <si>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</si>
  <si>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</si>
  <si>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</si>
  <si>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</si>
  <si>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</si>
  <si>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</si>
  <si>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</si>
  <si>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</si>
  <si>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</si>
  <si>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</si>
  <si>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</si>
  <si>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</si>
  <si>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</si>
  <si>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</si>
  <si>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</si>
  <si>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</si>
  <si>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</si>
  <si>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</si>
  <si>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</si>
  <si>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</si>
  <si>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</si>
  <si>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</si>
  <si>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</si>
  <si>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</si>
  <si>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</si>
  <si>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</si>
  <si>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</si>
  <si>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</si>
  <si>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</si>
  <si>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</si>
  <si>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</si>
  <si>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</si>
  <si>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</si>
  <si>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</si>
  <si>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36019</t>
  </si>
  <si>
    <t>STADEN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</si>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</sst>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110945.43654998824</c:v>
                </c:pt>
                <c:pt idx="1">
                  <c:v>47446.911382164333</c:v>
                </c:pt>
                <c:pt idx="2">
                  <c:v>921.81700000000001</c:v>
                </c:pt>
                <c:pt idx="3">
                  <c:v>99359.451764964586</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110945.43654998824</c:v>
                </c:pt>
                <c:pt idx="1">
                  <c:v>47446.911382164333</c:v>
                </c:pt>
                <c:pt idx="2">
                  <c:v>921.81700000000001</c:v>
                </c:pt>
                <c:pt idx="3">
                  <c:v>99359.451764964586</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20987.509783042049</c:v>
                </c:pt>
                <c:pt idx="1">
                  <c:v>9677.7771463082081</c:v>
                </c:pt>
                <c:pt idx="2">
                  <c:v>197.34501673457473</c:v>
                </c:pt>
                <c:pt idx="3">
                  <c:v>23669.714911595707</c:v>
                </c:pt>
                <c:pt idx="4">
                  <c:v>114538.18191228315</c:v>
                </c:pt>
                <c:pt idx="5">
                  <c:v>13977.745066535223</c:v>
                </c:pt>
                <c:pt idx="6">
                  <c:v>310.7719681229205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20987.509783042049</c:v>
                </c:pt>
                <c:pt idx="1">
                  <c:v>9677.7771463082081</c:v>
                </c:pt>
                <c:pt idx="2">
                  <c:v>197.34501673457473</c:v>
                </c:pt>
                <c:pt idx="3">
                  <c:v>23669.714911595707</c:v>
                </c:pt>
                <c:pt idx="4">
                  <c:v>114538.18191228315</c:v>
                </c:pt>
                <c:pt idx="5">
                  <c:v>13977.745066535223</c:v>
                </c:pt>
                <c:pt idx="6">
                  <c:v>310.7719681229205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36019</v>
      </c>
      <c r="B6" s="398"/>
      <c r="C6" s="399"/>
    </row>
    <row r="7" spans="1:7" s="396" customFormat="1" ht="15.75" customHeight="1">
      <c r="A7" s="400" t="str">
        <f>txtMunicipality</f>
        <v>STADEN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10319.016799425015</v>
      </c>
      <c r="D10" s="704">
        <f ca="1">tertiair!C16</f>
        <v>0</v>
      </c>
      <c r="E10" s="704">
        <f ca="1">tertiair!D16</f>
        <v>35287.609752379009</v>
      </c>
      <c r="F10" s="704">
        <f>tertiair!E16</f>
        <v>153.23750328740363</v>
      </c>
      <c r="G10" s="704">
        <f ca="1">tertiair!F16</f>
        <v>1884.336043742537</v>
      </c>
      <c r="H10" s="704">
        <f>tertiair!G16</f>
        <v>0</v>
      </c>
      <c r="I10" s="704">
        <f>tertiair!H16</f>
        <v>0</v>
      </c>
      <c r="J10" s="704">
        <f>tertiair!I16</f>
        <v>0</v>
      </c>
      <c r="K10" s="704">
        <f>tertiair!J16</f>
        <v>0</v>
      </c>
      <c r="L10" s="704">
        <f>tertiair!K16</f>
        <v>0</v>
      </c>
      <c r="M10" s="704">
        <f ca="1">tertiair!L16</f>
        <v>0</v>
      </c>
      <c r="N10" s="704">
        <f>tertiair!M16</f>
        <v>0</v>
      </c>
      <c r="O10" s="704">
        <f ca="1">tertiair!N16</f>
        <v>702.3349499970451</v>
      </c>
      <c r="P10" s="704">
        <f>tertiair!O16</f>
        <v>3.1266666666666669</v>
      </c>
      <c r="Q10" s="705">
        <f>tertiair!P16</f>
        <v>19.066666666666666</v>
      </c>
      <c r="R10" s="707">
        <f ca="1">SUM(C10:Q10)</f>
        <v>48368.728382164336</v>
      </c>
      <c r="S10" s="67"/>
    </row>
    <row r="11" spans="1:19" s="459" customFormat="1">
      <c r="A11" s="858" t="s">
        <v>225</v>
      </c>
      <c r="B11" s="863"/>
      <c r="C11" s="704">
        <f>huishoudens!B8</f>
        <v>19893.325055976264</v>
      </c>
      <c r="D11" s="704">
        <f>huishoudens!C8</f>
        <v>0</v>
      </c>
      <c r="E11" s="704">
        <f>huishoudens!D8</f>
        <v>34933.843375369484</v>
      </c>
      <c r="F11" s="704">
        <f>huishoudens!E8</f>
        <v>7033.4802717171242</v>
      </c>
      <c r="G11" s="704">
        <f>huishoudens!F8</f>
        <v>25956.981614012744</v>
      </c>
      <c r="H11" s="704">
        <f>huishoudens!G8</f>
        <v>0</v>
      </c>
      <c r="I11" s="704">
        <f>huishoudens!H8</f>
        <v>0</v>
      </c>
      <c r="J11" s="704">
        <f>huishoudens!I8</f>
        <v>0</v>
      </c>
      <c r="K11" s="704">
        <f>huishoudens!J8</f>
        <v>3234.3044266444931</v>
      </c>
      <c r="L11" s="704">
        <f>huishoudens!K8</f>
        <v>0</v>
      </c>
      <c r="M11" s="704">
        <f>huishoudens!L8</f>
        <v>0</v>
      </c>
      <c r="N11" s="704">
        <f>huishoudens!M8</f>
        <v>0</v>
      </c>
      <c r="O11" s="704">
        <f>huishoudens!N8</f>
        <v>18745.028472934802</v>
      </c>
      <c r="P11" s="704">
        <f>huishoudens!O8</f>
        <v>309.54000000000002</v>
      </c>
      <c r="Q11" s="705">
        <f>huishoudens!P8</f>
        <v>838.93333333333339</v>
      </c>
      <c r="R11" s="707">
        <f>SUM(C11:Q11)</f>
        <v>110945.43654998824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162990.3579491011</v>
      </c>
      <c r="D13" s="704">
        <f>industrie!C18</f>
        <v>1870.7142857142858</v>
      </c>
      <c r="E13" s="704">
        <f>industrie!D18</f>
        <v>70109.399994535575</v>
      </c>
      <c r="F13" s="704">
        <f>industrie!E18</f>
        <v>13581.224472640106</v>
      </c>
      <c r="G13" s="704">
        <f>industrie!F18</f>
        <v>232084.67838922571</v>
      </c>
      <c r="H13" s="704">
        <f>industrie!G18</f>
        <v>0</v>
      </c>
      <c r="I13" s="704">
        <f>industrie!H18</f>
        <v>0</v>
      </c>
      <c r="J13" s="704">
        <f>industrie!I18</f>
        <v>0</v>
      </c>
      <c r="K13" s="704">
        <f>industrie!J18</f>
        <v>12.094351349475705</v>
      </c>
      <c r="L13" s="704">
        <f>industrie!K18</f>
        <v>0</v>
      </c>
      <c r="M13" s="704">
        <f>industrie!L18</f>
        <v>0</v>
      </c>
      <c r="N13" s="704">
        <f>industrie!M18</f>
        <v>0</v>
      </c>
      <c r="O13" s="704">
        <f>industrie!N18</f>
        <v>43593.864475926341</v>
      </c>
      <c r="P13" s="704">
        <f>industrie!O18</f>
        <v>0</v>
      </c>
      <c r="Q13" s="705">
        <f>industrie!P18</f>
        <v>0</v>
      </c>
      <c r="R13" s="707">
        <f>SUM(C13:Q13)</f>
        <v>524242.33391849254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193202.69980450239</v>
      </c>
      <c r="D15" s="709">
        <f t="shared" ref="D15:Q15" ca="1" si="0">SUM(D9:D14)</f>
        <v>1870.7142857142858</v>
      </c>
      <c r="E15" s="709">
        <f t="shared" ca="1" si="0"/>
        <v>140330.85312228405</v>
      </c>
      <c r="F15" s="709">
        <f t="shared" si="0"/>
        <v>20767.942247644634</v>
      </c>
      <c r="G15" s="709">
        <f t="shared" ca="1" si="0"/>
        <v>259925.99604698099</v>
      </c>
      <c r="H15" s="709">
        <f t="shared" si="0"/>
        <v>0</v>
      </c>
      <c r="I15" s="709">
        <f t="shared" si="0"/>
        <v>0</v>
      </c>
      <c r="J15" s="709">
        <f t="shared" si="0"/>
        <v>0</v>
      </c>
      <c r="K15" s="709">
        <f t="shared" si="0"/>
        <v>3246.3987779939689</v>
      </c>
      <c r="L15" s="709">
        <f t="shared" si="0"/>
        <v>0</v>
      </c>
      <c r="M15" s="709">
        <f t="shared" ca="1" si="0"/>
        <v>0</v>
      </c>
      <c r="N15" s="709">
        <f t="shared" si="0"/>
        <v>0</v>
      </c>
      <c r="O15" s="709">
        <f t="shared" ca="1" si="0"/>
        <v>63041.227898858189</v>
      </c>
      <c r="P15" s="709">
        <f t="shared" si="0"/>
        <v>312.66666666666669</v>
      </c>
      <c r="Q15" s="710">
        <f t="shared" si="0"/>
        <v>858.00000000000011</v>
      </c>
      <c r="R15" s="711">
        <f ca="1">SUM(R9:R14)</f>
        <v>683556.49885064515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1163.9399555165562</v>
      </c>
      <c r="I18" s="704">
        <f>transport!H54</f>
        <v>0</v>
      </c>
      <c r="J18" s="704">
        <f>transport!I54</f>
        <v>0</v>
      </c>
      <c r="K18" s="704">
        <f>transport!J54</f>
        <v>0</v>
      </c>
      <c r="L18" s="704">
        <f>transport!K54</f>
        <v>0</v>
      </c>
      <c r="M18" s="704">
        <f>transport!L54</f>
        <v>0</v>
      </c>
      <c r="N18" s="704">
        <f>transport!M54</f>
        <v>51.763256721621914</v>
      </c>
      <c r="O18" s="704">
        <f>transport!N54</f>
        <v>0</v>
      </c>
      <c r="P18" s="704">
        <f>transport!O54</f>
        <v>0</v>
      </c>
      <c r="Q18" s="705">
        <f>transport!P54</f>
        <v>0</v>
      </c>
      <c r="R18" s="707">
        <f>SUM(C18:Q18)</f>
        <v>1215.7032122381781</v>
      </c>
      <c r="S18" s="67"/>
    </row>
    <row r="19" spans="1:19" s="459" customFormat="1" ht="15" thickBot="1">
      <c r="A19" s="858" t="s">
        <v>307</v>
      </c>
      <c r="B19" s="863"/>
      <c r="C19" s="713">
        <f>transport!B14</f>
        <v>2.991562472621351</v>
      </c>
      <c r="D19" s="713">
        <f>transport!C14</f>
        <v>0</v>
      </c>
      <c r="E19" s="713">
        <f>transport!D14</f>
        <v>5.5881021592252678</v>
      </c>
      <c r="F19" s="713">
        <f>transport!E14</f>
        <v>167.86685185446433</v>
      </c>
      <c r="G19" s="713">
        <f>transport!F14</f>
        <v>0</v>
      </c>
      <c r="H19" s="713">
        <f>transport!G14</f>
        <v>44466.991794652997</v>
      </c>
      <c r="I19" s="713">
        <f>transport!H14</f>
        <v>8293.908609496395</v>
      </c>
      <c r="J19" s="713">
        <f>transport!I14</f>
        <v>0</v>
      </c>
      <c r="K19" s="713">
        <f>transport!J14</f>
        <v>0</v>
      </c>
      <c r="L19" s="713">
        <f>transport!K14</f>
        <v>0</v>
      </c>
      <c r="M19" s="713">
        <f>transport!L14</f>
        <v>0</v>
      </c>
      <c r="N19" s="713">
        <f>transport!M14</f>
        <v>2385.2795276136239</v>
      </c>
      <c r="O19" s="713">
        <f>transport!N14</f>
        <v>0</v>
      </c>
      <c r="P19" s="713">
        <f>transport!O14</f>
        <v>0</v>
      </c>
      <c r="Q19" s="714">
        <f>transport!P14</f>
        <v>0</v>
      </c>
      <c r="R19" s="715">
        <f>SUM(C19:Q19)</f>
        <v>55322.626448249328</v>
      </c>
      <c r="S19" s="67"/>
    </row>
    <row r="20" spans="1:19" s="459" customFormat="1" ht="15.75" thickBot="1">
      <c r="A20" s="716" t="s">
        <v>230</v>
      </c>
      <c r="B20" s="866"/>
      <c r="C20" s="861">
        <f>SUM(C17:C19)</f>
        <v>2.991562472621351</v>
      </c>
      <c r="D20" s="717">
        <f t="shared" ref="D20:R20" si="1">SUM(D17:D19)</f>
        <v>0</v>
      </c>
      <c r="E20" s="717">
        <f t="shared" si="1"/>
        <v>5.5881021592252678</v>
      </c>
      <c r="F20" s="717">
        <f t="shared" si="1"/>
        <v>167.86685185446433</v>
      </c>
      <c r="G20" s="717">
        <f t="shared" si="1"/>
        <v>0</v>
      </c>
      <c r="H20" s="717">
        <f t="shared" si="1"/>
        <v>45630.931750169555</v>
      </c>
      <c r="I20" s="717">
        <f t="shared" si="1"/>
        <v>8293.908609496395</v>
      </c>
      <c r="J20" s="717">
        <f t="shared" si="1"/>
        <v>0</v>
      </c>
      <c r="K20" s="717">
        <f t="shared" si="1"/>
        <v>0</v>
      </c>
      <c r="L20" s="717">
        <f t="shared" si="1"/>
        <v>0</v>
      </c>
      <c r="M20" s="717">
        <f t="shared" si="1"/>
        <v>0</v>
      </c>
      <c r="N20" s="717">
        <f t="shared" si="1"/>
        <v>2437.0427843352459</v>
      </c>
      <c r="O20" s="717">
        <f t="shared" si="1"/>
        <v>0</v>
      </c>
      <c r="P20" s="717">
        <f t="shared" si="1"/>
        <v>0</v>
      </c>
      <c r="Q20" s="718">
        <f t="shared" si="1"/>
        <v>0</v>
      </c>
      <c r="R20" s="719">
        <f t="shared" si="1"/>
        <v>56538.329660487507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8511.3248210078145</v>
      </c>
      <c r="D22" s="713">
        <f>+landbouw!C8</f>
        <v>51030</v>
      </c>
      <c r="E22" s="713">
        <f>+landbouw!D8</f>
        <v>9064.663939892911</v>
      </c>
      <c r="F22" s="713">
        <f>+landbouw!E8</f>
        <v>107.25365756044057</v>
      </c>
      <c r="G22" s="713">
        <f>+landbouw!F8</f>
        <v>29366.202846749653</v>
      </c>
      <c r="H22" s="713">
        <f>+landbouw!G8</f>
        <v>0</v>
      </c>
      <c r="I22" s="713">
        <f>+landbouw!H8</f>
        <v>0</v>
      </c>
      <c r="J22" s="713">
        <f>+landbouw!I8</f>
        <v>0</v>
      </c>
      <c r="K22" s="713">
        <f>+landbouw!J8</f>
        <v>1280.0064997537529</v>
      </c>
      <c r="L22" s="713">
        <f>+landbouw!K8</f>
        <v>0</v>
      </c>
      <c r="M22" s="713">
        <f>+landbouw!L8</f>
        <v>0</v>
      </c>
      <c r="N22" s="713">
        <f>+landbouw!M8</f>
        <v>0</v>
      </c>
      <c r="O22" s="713">
        <f>+landbouw!N8</f>
        <v>0</v>
      </c>
      <c r="P22" s="713">
        <f>+landbouw!O8</f>
        <v>0</v>
      </c>
      <c r="Q22" s="714">
        <f>+landbouw!P8</f>
        <v>0</v>
      </c>
      <c r="R22" s="715">
        <f>SUM(C22:Q22)</f>
        <v>99359.451764964586</v>
      </c>
      <c r="S22" s="67"/>
    </row>
    <row r="23" spans="1:19" s="459" customFormat="1" ht="17.25" thickTop="1" thickBot="1">
      <c r="A23" s="720" t="s">
        <v>116</v>
      </c>
      <c r="B23" s="852"/>
      <c r="C23" s="721">
        <f ca="1">C20+C15+C22</f>
        <v>201717.01618798284</v>
      </c>
      <c r="D23" s="721">
        <f t="shared" ref="D23:Q23" ca="1" si="2">D20+D15+D22</f>
        <v>52900.714285714283</v>
      </c>
      <c r="E23" s="721">
        <f t="shared" ca="1" si="2"/>
        <v>149401.10516433622</v>
      </c>
      <c r="F23" s="721">
        <f t="shared" si="2"/>
        <v>21043.062757059539</v>
      </c>
      <c r="G23" s="721">
        <f t="shared" ca="1" si="2"/>
        <v>289292.19889373065</v>
      </c>
      <c r="H23" s="721">
        <f t="shared" si="2"/>
        <v>45630.931750169555</v>
      </c>
      <c r="I23" s="721">
        <f t="shared" si="2"/>
        <v>8293.908609496395</v>
      </c>
      <c r="J23" s="721">
        <f t="shared" si="2"/>
        <v>0</v>
      </c>
      <c r="K23" s="721">
        <f t="shared" si="2"/>
        <v>4526.4052777477218</v>
      </c>
      <c r="L23" s="721">
        <f t="shared" si="2"/>
        <v>0</v>
      </c>
      <c r="M23" s="721">
        <f t="shared" ca="1" si="2"/>
        <v>0</v>
      </c>
      <c r="N23" s="721">
        <f t="shared" si="2"/>
        <v>2437.0427843352459</v>
      </c>
      <c r="O23" s="721">
        <f t="shared" ca="1" si="2"/>
        <v>63041.227898858189</v>
      </c>
      <c r="P23" s="721">
        <f t="shared" si="2"/>
        <v>312.66666666666669</v>
      </c>
      <c r="Q23" s="722">
        <f t="shared" si="2"/>
        <v>858.00000000000011</v>
      </c>
      <c r="R23" s="723">
        <f ca="1">R20+R15+R22</f>
        <v>839454.28027609724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2209.1223561367246</v>
      </c>
      <c r="D36" s="704">
        <f ca="1">tertiair!C20</f>
        <v>0</v>
      </c>
      <c r="E36" s="704">
        <f ca="1">tertiair!D20</f>
        <v>7128.0971699805605</v>
      </c>
      <c r="F36" s="704">
        <f>tertiair!E20</f>
        <v>34.784913246240627</v>
      </c>
      <c r="G36" s="704">
        <f ca="1">tertiair!F20</f>
        <v>503.11772367925738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9875.1221630427826</v>
      </c>
    </row>
    <row r="37" spans="1:18">
      <c r="A37" s="873" t="s">
        <v>225</v>
      </c>
      <c r="B37" s="880"/>
      <c r="C37" s="704">
        <f ca="1">huishoudens!B12</f>
        <v>4258.815541564074</v>
      </c>
      <c r="D37" s="704">
        <f ca="1">huishoudens!C12</f>
        <v>0</v>
      </c>
      <c r="E37" s="704">
        <f>huishoudens!D12</f>
        <v>7056.636361824636</v>
      </c>
      <c r="F37" s="704">
        <f>huishoudens!E12</f>
        <v>1596.6000216797872</v>
      </c>
      <c r="G37" s="704">
        <f>huishoudens!F12</f>
        <v>6930.5140909414031</v>
      </c>
      <c r="H37" s="704">
        <f>huishoudens!G12</f>
        <v>0</v>
      </c>
      <c r="I37" s="704">
        <f>huishoudens!H12</f>
        <v>0</v>
      </c>
      <c r="J37" s="704">
        <f>huishoudens!I12</f>
        <v>0</v>
      </c>
      <c r="K37" s="704">
        <f>huishoudens!J12</f>
        <v>1144.9437670321504</v>
      </c>
      <c r="L37" s="704">
        <f>huishoudens!K12</f>
        <v>0</v>
      </c>
      <c r="M37" s="704">
        <f>huishoudens!L12</f>
        <v>0</v>
      </c>
      <c r="N37" s="704">
        <f>huishoudens!M12</f>
        <v>0</v>
      </c>
      <c r="O37" s="704">
        <f>huishoudens!N12</f>
        <v>0</v>
      </c>
      <c r="P37" s="704">
        <f>huishoudens!O12</f>
        <v>0</v>
      </c>
      <c r="Q37" s="814">
        <f>huishoudens!P12</f>
        <v>0</v>
      </c>
      <c r="R37" s="905">
        <f ca="1">SUM(C37:Q37)</f>
        <v>20987.509783042049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34893.406084981812</v>
      </c>
      <c r="D39" s="704">
        <f ca="1">industrie!C22</f>
        <v>428.84854281486571</v>
      </c>
      <c r="E39" s="704">
        <f>industrie!D22</f>
        <v>14162.098798896188</v>
      </c>
      <c r="F39" s="704">
        <f>industrie!E22</f>
        <v>3082.9379552893042</v>
      </c>
      <c r="G39" s="704">
        <f>industrie!F22</f>
        <v>61966.609129923265</v>
      </c>
      <c r="H39" s="704">
        <f>industrie!G22</f>
        <v>0</v>
      </c>
      <c r="I39" s="704">
        <f>industrie!H22</f>
        <v>0</v>
      </c>
      <c r="J39" s="704">
        <f>industrie!I22</f>
        <v>0</v>
      </c>
      <c r="K39" s="704">
        <f>industrie!J22</f>
        <v>4.281400377714399</v>
      </c>
      <c r="L39" s="704">
        <f>industrie!K22</f>
        <v>0</v>
      </c>
      <c r="M39" s="704">
        <f>industrie!L22</f>
        <v>0</v>
      </c>
      <c r="N39" s="704">
        <f>industrie!M22</f>
        <v>0</v>
      </c>
      <c r="O39" s="704">
        <f>industrie!N22</f>
        <v>0</v>
      </c>
      <c r="P39" s="704">
        <f>industrie!O22</f>
        <v>0</v>
      </c>
      <c r="Q39" s="814">
        <f>industrie!P22</f>
        <v>0</v>
      </c>
      <c r="R39" s="906">
        <f ca="1">SUM(C39:Q39)</f>
        <v>114538.18191228315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41361.343982682607</v>
      </c>
      <c r="D41" s="749">
        <f t="shared" ref="D41:R41" ca="1" si="4">SUM(D35:D40)</f>
        <v>428.84854281486571</v>
      </c>
      <c r="E41" s="749">
        <f t="shared" ca="1" si="4"/>
        <v>28346.832330701385</v>
      </c>
      <c r="F41" s="749">
        <f t="shared" si="4"/>
        <v>4714.3228902153323</v>
      </c>
      <c r="G41" s="749">
        <f t="shared" ca="1" si="4"/>
        <v>69400.240944543926</v>
      </c>
      <c r="H41" s="749">
        <f t="shared" si="4"/>
        <v>0</v>
      </c>
      <c r="I41" s="749">
        <f t="shared" si="4"/>
        <v>0</v>
      </c>
      <c r="J41" s="749">
        <f t="shared" si="4"/>
        <v>0</v>
      </c>
      <c r="K41" s="749">
        <f t="shared" si="4"/>
        <v>1149.2251674098648</v>
      </c>
      <c r="L41" s="749">
        <f t="shared" si="4"/>
        <v>0</v>
      </c>
      <c r="M41" s="749">
        <f t="shared" ca="1" si="4"/>
        <v>0</v>
      </c>
      <c r="N41" s="749">
        <f t="shared" si="4"/>
        <v>0</v>
      </c>
      <c r="O41" s="749">
        <f t="shared" ca="1" si="4"/>
        <v>0</v>
      </c>
      <c r="P41" s="749">
        <f t="shared" si="4"/>
        <v>0</v>
      </c>
      <c r="Q41" s="750">
        <f t="shared" si="4"/>
        <v>0</v>
      </c>
      <c r="R41" s="751">
        <f t="shared" ca="1" si="4"/>
        <v>145400.81385836797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310.7719681229205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310.7719681229205</v>
      </c>
    </row>
    <row r="45" spans="1:18" ht="15" thickBot="1">
      <c r="A45" s="876" t="s">
        <v>307</v>
      </c>
      <c r="B45" s="886"/>
      <c r="C45" s="713">
        <f ca="1">transport!B18</f>
        <v>0.64044159114226173</v>
      </c>
      <c r="D45" s="713">
        <f>transport!C18</f>
        <v>0</v>
      </c>
      <c r="E45" s="713">
        <f>transport!D18</f>
        <v>1.1287966361635042</v>
      </c>
      <c r="F45" s="713">
        <f>transport!E18</f>
        <v>38.105775370963407</v>
      </c>
      <c r="G45" s="713">
        <f>transport!F18</f>
        <v>0</v>
      </c>
      <c r="H45" s="713">
        <f>transport!G18</f>
        <v>11872.68680917235</v>
      </c>
      <c r="I45" s="713">
        <f>transport!H18</f>
        <v>2065.1832437646021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13977.745066535223</v>
      </c>
    </row>
    <row r="46" spans="1:18" ht="15.75" thickBot="1">
      <c r="A46" s="874" t="s">
        <v>230</v>
      </c>
      <c r="B46" s="887"/>
      <c r="C46" s="749">
        <f t="shared" ref="C46:R46" ca="1" si="5">SUM(C43:C45)</f>
        <v>0.64044159114226173</v>
      </c>
      <c r="D46" s="749">
        <f t="shared" ca="1" si="5"/>
        <v>0</v>
      </c>
      <c r="E46" s="749">
        <f t="shared" si="5"/>
        <v>1.1287966361635042</v>
      </c>
      <c r="F46" s="749">
        <f t="shared" si="5"/>
        <v>38.105775370963407</v>
      </c>
      <c r="G46" s="749">
        <f t="shared" si="5"/>
        <v>0</v>
      </c>
      <c r="H46" s="749">
        <f t="shared" si="5"/>
        <v>12183.458777295271</v>
      </c>
      <c r="I46" s="749">
        <f t="shared" si="5"/>
        <v>2065.1832437646021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14288.517034658144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1822.1268855262904</v>
      </c>
      <c r="D48" s="704">
        <f ca="1">+landbouw!C12</f>
        <v>11698.280868949842</v>
      </c>
      <c r="E48" s="704">
        <f>+landbouw!D12</f>
        <v>1831.0621158583681</v>
      </c>
      <c r="F48" s="704">
        <f>+landbouw!E12</f>
        <v>24.346580266220009</v>
      </c>
      <c r="G48" s="704">
        <f>+landbouw!F12</f>
        <v>7840.7761600821577</v>
      </c>
      <c r="H48" s="704">
        <f>+landbouw!G12</f>
        <v>0</v>
      </c>
      <c r="I48" s="704">
        <f>+landbouw!H12</f>
        <v>0</v>
      </c>
      <c r="J48" s="704">
        <f>+landbouw!I12</f>
        <v>0</v>
      </c>
      <c r="K48" s="704">
        <f>+landbouw!J12</f>
        <v>453.12230091282851</v>
      </c>
      <c r="L48" s="704">
        <f>+landbouw!K12</f>
        <v>0</v>
      </c>
      <c r="M48" s="704">
        <f>+landbouw!L12</f>
        <v>0</v>
      </c>
      <c r="N48" s="704">
        <f>+landbouw!M12</f>
        <v>0</v>
      </c>
      <c r="O48" s="704">
        <f>+landbouw!N12</f>
        <v>0</v>
      </c>
      <c r="P48" s="704">
        <f>+landbouw!O12</f>
        <v>0</v>
      </c>
      <c r="Q48" s="705">
        <f>+landbouw!P12</f>
        <v>0</v>
      </c>
      <c r="R48" s="747">
        <f ca="1">SUM(C48:Q48)</f>
        <v>23669.714911595707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43184.111309800042</v>
      </c>
      <c r="D53" s="759">
        <f t="shared" ref="D53:Q53" ca="1" si="6">D41+D46+D48</f>
        <v>12127.129411764707</v>
      </c>
      <c r="E53" s="759">
        <f t="shared" ca="1" si="6"/>
        <v>30179.023243195916</v>
      </c>
      <c r="F53" s="759">
        <f t="shared" si="6"/>
        <v>4776.7752458525165</v>
      </c>
      <c r="G53" s="759">
        <f t="shared" ca="1" si="6"/>
        <v>77241.01710462608</v>
      </c>
      <c r="H53" s="759">
        <f t="shared" si="6"/>
        <v>12183.458777295271</v>
      </c>
      <c r="I53" s="759">
        <f t="shared" si="6"/>
        <v>2065.1832437646021</v>
      </c>
      <c r="J53" s="759">
        <f t="shared" si="6"/>
        <v>0</v>
      </c>
      <c r="K53" s="759">
        <f t="shared" si="6"/>
        <v>1602.3474683226932</v>
      </c>
      <c r="L53" s="759">
        <f t="shared" si="6"/>
        <v>0</v>
      </c>
      <c r="M53" s="759">
        <f t="shared" ca="1" si="6"/>
        <v>0</v>
      </c>
      <c r="N53" s="759">
        <f t="shared" si="6"/>
        <v>0</v>
      </c>
      <c r="O53" s="759">
        <f t="shared" ca="1" si="6"/>
        <v>0</v>
      </c>
      <c r="P53" s="759">
        <f>P41+P46+P48</f>
        <v>0</v>
      </c>
      <c r="Q53" s="760">
        <f t="shared" si="6"/>
        <v>0</v>
      </c>
      <c r="R53" s="761">
        <f ca="1">R41+R46+R48</f>
        <v>183359.04580462183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0.21408263975884007</v>
      </c>
      <c r="D55" s="824">
        <f t="shared" ca="1" si="7"/>
        <v>0.22924320730844291</v>
      </c>
      <c r="E55" s="824">
        <f t="shared" ca="1" si="7"/>
        <v>0.20200000000000001</v>
      </c>
      <c r="F55" s="824">
        <f t="shared" si="7"/>
        <v>0.22700000000000006</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7695.0197103142646</v>
      </c>
      <c r="C66" s="781">
        <f>'lokale energieproductie'!B6</f>
        <v>7695.0197103142646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37030.5</v>
      </c>
      <c r="C67" s="780">
        <f>B67*IFERROR(SUM(J67:L67)/SUM(D67:M67),0)</f>
        <v>1309.5</v>
      </c>
      <c r="D67" s="812">
        <f>'lokale energieproductie'!C7</f>
        <v>42024.705882352937</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1540.5882352941176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8488.9905882352941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44725.519710314264</v>
      </c>
      <c r="C69" s="789">
        <f>SUM(C64:C68)</f>
        <v>9004.5197103142636</v>
      </c>
      <c r="D69" s="790">
        <f t="shared" ref="D69:M69" si="8">SUM(D67:D68)</f>
        <v>42024.705882352937</v>
      </c>
      <c r="E69" s="790">
        <f t="shared" si="8"/>
        <v>0</v>
      </c>
      <c r="F69" s="790">
        <f t="shared" si="8"/>
        <v>0</v>
      </c>
      <c r="G69" s="790">
        <f t="shared" si="8"/>
        <v>0</v>
      </c>
      <c r="H69" s="790">
        <f t="shared" si="8"/>
        <v>0</v>
      </c>
      <c r="I69" s="790">
        <f t="shared" si="8"/>
        <v>0</v>
      </c>
      <c r="J69" s="790">
        <f t="shared" si="8"/>
        <v>0</v>
      </c>
      <c r="K69" s="790">
        <f t="shared" si="8"/>
        <v>1540.5882352941176</v>
      </c>
      <c r="L69" s="790">
        <f t="shared" si="8"/>
        <v>0</v>
      </c>
      <c r="M69" s="918">
        <f t="shared" si="8"/>
        <v>0</v>
      </c>
      <c r="N69" s="791">
        <v>0</v>
      </c>
      <c r="O69" s="791">
        <f>SUM(O67:O68)</f>
        <v>8488.9905882352941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52900.71428571429</v>
      </c>
      <c r="C78" s="803">
        <f>B78*IFERROR(SUM(I78:L78)/SUM(D78:M78),0)</f>
        <v>1870.7142857142858</v>
      </c>
      <c r="D78" s="818">
        <f>'lokale energieproductie'!C16</f>
        <v>60035.294117647063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2200.840336134454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12127.129411764707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52900.71428571429</v>
      </c>
      <c r="C81" s="789">
        <f>SUM(C78:C80)</f>
        <v>1870.7142857142858</v>
      </c>
      <c r="D81" s="789">
        <f t="shared" ref="D81:P81" si="9">SUM(D78:D80)</f>
        <v>60035.294117647063</v>
      </c>
      <c r="E81" s="789">
        <f t="shared" si="9"/>
        <v>0</v>
      </c>
      <c r="F81" s="789">
        <f t="shared" si="9"/>
        <v>0</v>
      </c>
      <c r="G81" s="789">
        <f t="shared" si="9"/>
        <v>0</v>
      </c>
      <c r="H81" s="789">
        <f t="shared" si="9"/>
        <v>0</v>
      </c>
      <c r="I81" s="789">
        <f t="shared" si="9"/>
        <v>0</v>
      </c>
      <c r="J81" s="789">
        <f t="shared" si="9"/>
        <v>0</v>
      </c>
      <c r="K81" s="789">
        <f t="shared" si="9"/>
        <v>2200.840336134454</v>
      </c>
      <c r="L81" s="789">
        <f t="shared" si="9"/>
        <v>0</v>
      </c>
      <c r="M81" s="789">
        <f t="shared" si="9"/>
        <v>0</v>
      </c>
      <c r="N81" s="789">
        <v>0</v>
      </c>
      <c r="O81" s="789">
        <f>SUM(O78:O80)</f>
        <v>12127.129411764707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19893.325055976264</v>
      </c>
      <c r="C4" s="463">
        <f>huishoudens!C8</f>
        <v>0</v>
      </c>
      <c r="D4" s="463">
        <f>huishoudens!D8</f>
        <v>34933.843375369484</v>
      </c>
      <c r="E4" s="463">
        <f>huishoudens!E8</f>
        <v>7033.4802717171242</v>
      </c>
      <c r="F4" s="463">
        <f>huishoudens!F8</f>
        <v>25956.981614012744</v>
      </c>
      <c r="G4" s="463">
        <f>huishoudens!G8</f>
        <v>0</v>
      </c>
      <c r="H4" s="463">
        <f>huishoudens!H8</f>
        <v>0</v>
      </c>
      <c r="I4" s="463">
        <f>huishoudens!I8</f>
        <v>0</v>
      </c>
      <c r="J4" s="463">
        <f>huishoudens!J8</f>
        <v>3234.3044266444931</v>
      </c>
      <c r="K4" s="463">
        <f>huishoudens!K8</f>
        <v>0</v>
      </c>
      <c r="L4" s="463">
        <f>huishoudens!L8</f>
        <v>0</v>
      </c>
      <c r="M4" s="463">
        <f>huishoudens!M8</f>
        <v>0</v>
      </c>
      <c r="N4" s="463">
        <f>huishoudens!N8</f>
        <v>18745.028472934802</v>
      </c>
      <c r="O4" s="463">
        <f>huishoudens!O8</f>
        <v>309.54000000000002</v>
      </c>
      <c r="P4" s="464">
        <f>huishoudens!P8</f>
        <v>838.93333333333339</v>
      </c>
      <c r="Q4" s="465">
        <f>SUM(B4:P4)</f>
        <v>110945.43654998824</v>
      </c>
    </row>
    <row r="5" spans="1:17">
      <c r="A5" s="462" t="s">
        <v>156</v>
      </c>
      <c r="B5" s="463">
        <f ca="1">tertiair!B16</f>
        <v>9397.1997994250141</v>
      </c>
      <c r="C5" s="463">
        <f ca="1">tertiair!C16</f>
        <v>0</v>
      </c>
      <c r="D5" s="463">
        <f ca="1">tertiair!D16</f>
        <v>35287.609752379009</v>
      </c>
      <c r="E5" s="463">
        <f>tertiair!E16</f>
        <v>153.23750328740363</v>
      </c>
      <c r="F5" s="463">
        <f ca="1">tertiair!F16</f>
        <v>1884.336043742537</v>
      </c>
      <c r="G5" s="463">
        <f>tertiair!G16</f>
        <v>0</v>
      </c>
      <c r="H5" s="463">
        <f>tertiair!H16</f>
        <v>0</v>
      </c>
      <c r="I5" s="463">
        <f>tertiair!I16</f>
        <v>0</v>
      </c>
      <c r="J5" s="463">
        <f>tertiair!J16</f>
        <v>0</v>
      </c>
      <c r="K5" s="463">
        <f>tertiair!K16</f>
        <v>0</v>
      </c>
      <c r="L5" s="463">
        <f ca="1">tertiair!L16</f>
        <v>0</v>
      </c>
      <c r="M5" s="463">
        <f>tertiair!M16</f>
        <v>0</v>
      </c>
      <c r="N5" s="463">
        <f ca="1">tertiair!N16</f>
        <v>702.3349499970451</v>
      </c>
      <c r="O5" s="463">
        <f>tertiair!O16</f>
        <v>3.1266666666666669</v>
      </c>
      <c r="P5" s="464">
        <f>tertiair!P16</f>
        <v>19.066666666666666</v>
      </c>
      <c r="Q5" s="462">
        <f t="shared" ref="Q5:Q13" ca="1" si="0">SUM(B5:P5)</f>
        <v>47446.911382164333</v>
      </c>
    </row>
    <row r="6" spans="1:17">
      <c r="A6" s="462" t="s">
        <v>194</v>
      </c>
      <c r="B6" s="463">
        <f>'openbare verlichting'!B8</f>
        <v>921.81700000000001</v>
      </c>
      <c r="C6" s="463"/>
      <c r="D6" s="463"/>
      <c r="E6" s="463"/>
      <c r="F6" s="463"/>
      <c r="G6" s="463"/>
      <c r="H6" s="463"/>
      <c r="I6" s="463"/>
      <c r="J6" s="463"/>
      <c r="K6" s="463"/>
      <c r="L6" s="463"/>
      <c r="M6" s="463"/>
      <c r="N6" s="463"/>
      <c r="O6" s="463"/>
      <c r="P6" s="464"/>
      <c r="Q6" s="462">
        <f t="shared" si="0"/>
        <v>921.81700000000001</v>
      </c>
    </row>
    <row r="7" spans="1:17">
      <c r="A7" s="462" t="s">
        <v>112</v>
      </c>
      <c r="B7" s="463">
        <f>landbouw!B8</f>
        <v>8511.3248210078145</v>
      </c>
      <c r="C7" s="463">
        <f>landbouw!C8</f>
        <v>51030</v>
      </c>
      <c r="D7" s="463">
        <f>landbouw!D8</f>
        <v>9064.663939892911</v>
      </c>
      <c r="E7" s="463">
        <f>landbouw!E8</f>
        <v>107.25365756044057</v>
      </c>
      <c r="F7" s="463">
        <f>landbouw!F8</f>
        <v>29366.202846749653</v>
      </c>
      <c r="G7" s="463">
        <f>landbouw!G8</f>
        <v>0</v>
      </c>
      <c r="H7" s="463">
        <f>landbouw!H8</f>
        <v>0</v>
      </c>
      <c r="I7" s="463">
        <f>landbouw!I8</f>
        <v>0</v>
      </c>
      <c r="J7" s="463">
        <f>landbouw!J8</f>
        <v>1280.0064997537529</v>
      </c>
      <c r="K7" s="463">
        <f>landbouw!K8</f>
        <v>0</v>
      </c>
      <c r="L7" s="463">
        <f>landbouw!L8</f>
        <v>0</v>
      </c>
      <c r="M7" s="463">
        <f>landbouw!M8</f>
        <v>0</v>
      </c>
      <c r="N7" s="463">
        <f>landbouw!N8</f>
        <v>0</v>
      </c>
      <c r="O7" s="463">
        <f>landbouw!O8</f>
        <v>0</v>
      </c>
      <c r="P7" s="464">
        <f>landbouw!P8</f>
        <v>0</v>
      </c>
      <c r="Q7" s="462">
        <f t="shared" si="0"/>
        <v>99359.451764964586</v>
      </c>
    </row>
    <row r="8" spans="1:17">
      <c r="A8" s="462" t="s">
        <v>657</v>
      </c>
      <c r="B8" s="463">
        <f>industrie!B18</f>
        <v>162990.3579491011</v>
      </c>
      <c r="C8" s="463">
        <f>industrie!C18</f>
        <v>1870.7142857142858</v>
      </c>
      <c r="D8" s="463">
        <f>industrie!D18</f>
        <v>70109.399994535575</v>
      </c>
      <c r="E8" s="463">
        <f>industrie!E18</f>
        <v>13581.224472640106</v>
      </c>
      <c r="F8" s="463">
        <f>industrie!F18</f>
        <v>232084.67838922571</v>
      </c>
      <c r="G8" s="463">
        <f>industrie!G18</f>
        <v>0</v>
      </c>
      <c r="H8" s="463">
        <f>industrie!H18</f>
        <v>0</v>
      </c>
      <c r="I8" s="463">
        <f>industrie!I18</f>
        <v>0</v>
      </c>
      <c r="J8" s="463">
        <f>industrie!J18</f>
        <v>12.094351349475705</v>
      </c>
      <c r="K8" s="463">
        <f>industrie!K18</f>
        <v>0</v>
      </c>
      <c r="L8" s="463">
        <f>industrie!L18</f>
        <v>0</v>
      </c>
      <c r="M8" s="463">
        <f>industrie!M18</f>
        <v>0</v>
      </c>
      <c r="N8" s="463">
        <f>industrie!N18</f>
        <v>43593.864475926341</v>
      </c>
      <c r="O8" s="463">
        <f>industrie!O18</f>
        <v>0</v>
      </c>
      <c r="P8" s="464">
        <f>industrie!P18</f>
        <v>0</v>
      </c>
      <c r="Q8" s="462">
        <f t="shared" si="0"/>
        <v>524242.33391849254</v>
      </c>
    </row>
    <row r="9" spans="1:17" s="468" customFormat="1">
      <c r="A9" s="466" t="s">
        <v>574</v>
      </c>
      <c r="B9" s="467">
        <f>transport!B14</f>
        <v>2.991562472621351</v>
      </c>
      <c r="C9" s="467"/>
      <c r="D9" s="467">
        <f>transport!D14</f>
        <v>5.5881021592252678</v>
      </c>
      <c r="E9" s="467">
        <f>transport!E14</f>
        <v>167.86685185446433</v>
      </c>
      <c r="F9" s="467"/>
      <c r="G9" s="467">
        <f>transport!G14</f>
        <v>44466.991794652997</v>
      </c>
      <c r="H9" s="467">
        <f>transport!H14</f>
        <v>8293.908609496395</v>
      </c>
      <c r="I9" s="467"/>
      <c r="J9" s="467"/>
      <c r="K9" s="467"/>
      <c r="L9" s="467"/>
      <c r="M9" s="467">
        <f>transport!M14</f>
        <v>2385.2795276136239</v>
      </c>
      <c r="N9" s="467"/>
      <c r="O9" s="467"/>
      <c r="P9" s="467"/>
      <c r="Q9" s="466">
        <f>SUM(B9:P9)</f>
        <v>55322.626448249328</v>
      </c>
    </row>
    <row r="10" spans="1:17">
      <c r="A10" s="462" t="s">
        <v>564</v>
      </c>
      <c r="B10" s="463">
        <f>transport!B54</f>
        <v>0</v>
      </c>
      <c r="C10" s="463"/>
      <c r="D10" s="463">
        <f>transport!D54</f>
        <v>0</v>
      </c>
      <c r="E10" s="463"/>
      <c r="F10" s="463"/>
      <c r="G10" s="463">
        <f>transport!G54</f>
        <v>1163.9399555165562</v>
      </c>
      <c r="H10" s="463"/>
      <c r="I10" s="463"/>
      <c r="J10" s="463"/>
      <c r="K10" s="463"/>
      <c r="L10" s="463"/>
      <c r="M10" s="463">
        <f>transport!M54</f>
        <v>51.763256721621914</v>
      </c>
      <c r="N10" s="463"/>
      <c r="O10" s="463"/>
      <c r="P10" s="464"/>
      <c r="Q10" s="462">
        <f t="shared" si="0"/>
        <v>1215.7032122381781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201717.01618798284</v>
      </c>
      <c r="C14" s="473">
        <f t="shared" ref="C14:Q14" ca="1" si="1">SUM(C4:C13)</f>
        <v>52900.714285714283</v>
      </c>
      <c r="D14" s="473">
        <f t="shared" ca="1" si="1"/>
        <v>149401.10516433622</v>
      </c>
      <c r="E14" s="473">
        <f t="shared" si="1"/>
        <v>21043.062757059539</v>
      </c>
      <c r="F14" s="473">
        <f t="shared" ca="1" si="1"/>
        <v>289292.19889373065</v>
      </c>
      <c r="G14" s="473">
        <f t="shared" si="1"/>
        <v>45630.931750169555</v>
      </c>
      <c r="H14" s="473">
        <f t="shared" si="1"/>
        <v>8293.908609496395</v>
      </c>
      <c r="I14" s="473">
        <f t="shared" si="1"/>
        <v>0</v>
      </c>
      <c r="J14" s="473">
        <f t="shared" si="1"/>
        <v>4526.4052777477218</v>
      </c>
      <c r="K14" s="473">
        <f t="shared" si="1"/>
        <v>0</v>
      </c>
      <c r="L14" s="473">
        <f t="shared" ca="1" si="1"/>
        <v>0</v>
      </c>
      <c r="M14" s="473">
        <f t="shared" si="1"/>
        <v>2437.0427843352459</v>
      </c>
      <c r="N14" s="473">
        <f t="shared" ca="1" si="1"/>
        <v>63041.227898858189</v>
      </c>
      <c r="O14" s="473">
        <f t="shared" si="1"/>
        <v>312.66666666666669</v>
      </c>
      <c r="P14" s="474">
        <f t="shared" si="1"/>
        <v>858.00000000000011</v>
      </c>
      <c r="Q14" s="474">
        <f t="shared" ca="1" si="1"/>
        <v>839454.28027609724</v>
      </c>
    </row>
    <row r="16" spans="1:17">
      <c r="A16" s="476" t="s">
        <v>569</v>
      </c>
      <c r="B16" s="829">
        <f ca="1">huishoudens!B10</f>
        <v>0.21408263975884012</v>
      </c>
      <c r="C16" s="829">
        <f ca="1">huishoudens!C10</f>
        <v>0.22924320730844291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4258.815541564074</v>
      </c>
      <c r="C21" s="463">
        <f t="shared" ref="C21:C28" ca="1" si="3">C4*$C$16</f>
        <v>0</v>
      </c>
      <c r="D21" s="463">
        <f t="shared" ref="D21:D30" si="4">D4*$D$16</f>
        <v>7056.636361824636</v>
      </c>
      <c r="E21" s="463">
        <f t="shared" ref="E21:E30" si="5">E4*$E$16</f>
        <v>1596.6000216797872</v>
      </c>
      <c r="F21" s="463">
        <f t="shared" ref="F21:F28" si="6">F4*$F$16</f>
        <v>6930.5140909414031</v>
      </c>
      <c r="G21" s="463">
        <f t="shared" ref="G21:G30" si="7">G4*$G$16</f>
        <v>0</v>
      </c>
      <c r="H21" s="463">
        <f t="shared" ref="H21:H30" si="8">H4*$H$16</f>
        <v>0</v>
      </c>
      <c r="I21" s="463">
        <f t="shared" ref="I21:I28" si="9">I4*$I$16</f>
        <v>0</v>
      </c>
      <c r="J21" s="463">
        <f t="shared" ref="J21:J28" si="10">J4*$J$16</f>
        <v>1144.9437670321504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20987.509783042049</v>
      </c>
    </row>
    <row r="22" spans="1:17">
      <c r="A22" s="462" t="s">
        <v>156</v>
      </c>
      <c r="B22" s="463">
        <f t="shared" ca="1" si="2"/>
        <v>2011.7773394021499</v>
      </c>
      <c r="C22" s="463">
        <f t="shared" ca="1" si="3"/>
        <v>0</v>
      </c>
      <c r="D22" s="463">
        <f t="shared" ca="1" si="4"/>
        <v>7128.0971699805605</v>
      </c>
      <c r="E22" s="463">
        <f t="shared" si="5"/>
        <v>34.784913246240627</v>
      </c>
      <c r="F22" s="463">
        <f t="shared" ca="1" si="6"/>
        <v>503.11772367925738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9677.7771463082081</v>
      </c>
    </row>
    <row r="23" spans="1:17">
      <c r="A23" s="462" t="s">
        <v>194</v>
      </c>
      <c r="B23" s="463">
        <f t="shared" ca="1" si="2"/>
        <v>197.34501673457473</v>
      </c>
      <c r="C23" s="463"/>
      <c r="D23" s="463"/>
      <c r="E23" s="463"/>
      <c r="F23" s="463"/>
      <c r="G23" s="463"/>
      <c r="H23" s="463"/>
      <c r="I23" s="463"/>
      <c r="J23" s="463"/>
      <c r="K23" s="463"/>
      <c r="L23" s="463"/>
      <c r="M23" s="463"/>
      <c r="N23" s="463"/>
      <c r="O23" s="463"/>
      <c r="P23" s="464"/>
      <c r="Q23" s="462">
        <f t="shared" ca="1" si="17"/>
        <v>197.34501673457473</v>
      </c>
    </row>
    <row r="24" spans="1:17">
      <c r="A24" s="462" t="s">
        <v>112</v>
      </c>
      <c r="B24" s="463">
        <f t="shared" ca="1" si="2"/>
        <v>1822.1268855262904</v>
      </c>
      <c r="C24" s="463">
        <f t="shared" ca="1" si="3"/>
        <v>11698.280868949842</v>
      </c>
      <c r="D24" s="463">
        <f t="shared" si="4"/>
        <v>1831.0621158583681</v>
      </c>
      <c r="E24" s="463">
        <f t="shared" si="5"/>
        <v>24.346580266220009</v>
      </c>
      <c r="F24" s="463">
        <f t="shared" si="6"/>
        <v>7840.7761600821577</v>
      </c>
      <c r="G24" s="463">
        <f t="shared" si="7"/>
        <v>0</v>
      </c>
      <c r="H24" s="463">
        <f t="shared" si="8"/>
        <v>0</v>
      </c>
      <c r="I24" s="463">
        <f t="shared" si="9"/>
        <v>0</v>
      </c>
      <c r="J24" s="463">
        <f t="shared" si="10"/>
        <v>453.12230091282851</v>
      </c>
      <c r="K24" s="463">
        <f t="shared" si="11"/>
        <v>0</v>
      </c>
      <c r="L24" s="463">
        <f t="shared" si="12"/>
        <v>0</v>
      </c>
      <c r="M24" s="463">
        <f t="shared" si="13"/>
        <v>0</v>
      </c>
      <c r="N24" s="463">
        <f t="shared" si="14"/>
        <v>0</v>
      </c>
      <c r="O24" s="463">
        <f t="shared" si="15"/>
        <v>0</v>
      </c>
      <c r="P24" s="464">
        <f t="shared" si="16"/>
        <v>0</v>
      </c>
      <c r="Q24" s="462">
        <f t="shared" ca="1" si="17"/>
        <v>23669.714911595707</v>
      </c>
    </row>
    <row r="25" spans="1:17">
      <c r="A25" s="462" t="s">
        <v>657</v>
      </c>
      <c r="B25" s="463">
        <f t="shared" ca="1" si="2"/>
        <v>34893.406084981812</v>
      </c>
      <c r="C25" s="463">
        <f t="shared" ca="1" si="3"/>
        <v>428.84854281486571</v>
      </c>
      <c r="D25" s="463">
        <f t="shared" si="4"/>
        <v>14162.098798896188</v>
      </c>
      <c r="E25" s="463">
        <f t="shared" si="5"/>
        <v>3082.9379552893042</v>
      </c>
      <c r="F25" s="463">
        <f t="shared" si="6"/>
        <v>61966.609129923265</v>
      </c>
      <c r="G25" s="463">
        <f t="shared" si="7"/>
        <v>0</v>
      </c>
      <c r="H25" s="463">
        <f t="shared" si="8"/>
        <v>0</v>
      </c>
      <c r="I25" s="463">
        <f t="shared" si="9"/>
        <v>0</v>
      </c>
      <c r="J25" s="463">
        <f t="shared" si="10"/>
        <v>4.281400377714399</v>
      </c>
      <c r="K25" s="463">
        <f t="shared" si="11"/>
        <v>0</v>
      </c>
      <c r="L25" s="463">
        <f t="shared" si="12"/>
        <v>0</v>
      </c>
      <c r="M25" s="463">
        <f t="shared" si="13"/>
        <v>0</v>
      </c>
      <c r="N25" s="463">
        <f t="shared" si="14"/>
        <v>0</v>
      </c>
      <c r="O25" s="463">
        <f t="shared" si="15"/>
        <v>0</v>
      </c>
      <c r="P25" s="464">
        <f t="shared" si="16"/>
        <v>0</v>
      </c>
      <c r="Q25" s="462">
        <f t="shared" ca="1" si="17"/>
        <v>114538.18191228315</v>
      </c>
    </row>
    <row r="26" spans="1:17" s="468" customFormat="1">
      <c r="A26" s="466" t="s">
        <v>574</v>
      </c>
      <c r="B26" s="823">
        <f t="shared" ca="1" si="2"/>
        <v>0.64044159114226173</v>
      </c>
      <c r="C26" s="467"/>
      <c r="D26" s="467">
        <f t="shared" si="4"/>
        <v>1.1287966361635042</v>
      </c>
      <c r="E26" s="467">
        <f t="shared" si="5"/>
        <v>38.105775370963407</v>
      </c>
      <c r="F26" s="467"/>
      <c r="G26" s="467">
        <f t="shared" si="7"/>
        <v>11872.68680917235</v>
      </c>
      <c r="H26" s="467">
        <f t="shared" si="8"/>
        <v>2065.1832437646021</v>
      </c>
      <c r="I26" s="467"/>
      <c r="J26" s="467"/>
      <c r="K26" s="467"/>
      <c r="L26" s="467"/>
      <c r="M26" s="467">
        <f t="shared" si="13"/>
        <v>0</v>
      </c>
      <c r="N26" s="467"/>
      <c r="O26" s="467"/>
      <c r="P26" s="478"/>
      <c r="Q26" s="466">
        <f t="shared" ca="1" si="17"/>
        <v>13977.745066535223</v>
      </c>
    </row>
    <row r="27" spans="1:17">
      <c r="A27" s="462" t="s">
        <v>564</v>
      </c>
      <c r="B27" s="463">
        <f t="shared" ca="1" si="2"/>
        <v>0</v>
      </c>
      <c r="C27" s="463"/>
      <c r="D27" s="467">
        <f t="shared" si="4"/>
        <v>0</v>
      </c>
      <c r="E27" s="463"/>
      <c r="F27" s="463"/>
      <c r="G27" s="463">
        <f t="shared" si="7"/>
        <v>310.7719681229205</v>
      </c>
      <c r="H27" s="463"/>
      <c r="I27" s="463"/>
      <c r="J27" s="463"/>
      <c r="K27" s="463"/>
      <c r="L27" s="463"/>
      <c r="M27" s="463">
        <f t="shared" si="13"/>
        <v>0</v>
      </c>
      <c r="N27" s="463"/>
      <c r="O27" s="463"/>
      <c r="P27" s="464"/>
      <c r="Q27" s="462">
        <f t="shared" ca="1" si="17"/>
        <v>310.7719681229205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43184.111309800042</v>
      </c>
      <c r="C31" s="473">
        <f t="shared" ca="1" si="18"/>
        <v>12127.129411764707</v>
      </c>
      <c r="D31" s="473">
        <f t="shared" ca="1" si="18"/>
        <v>30179.023243195916</v>
      </c>
      <c r="E31" s="473">
        <f t="shared" si="18"/>
        <v>4776.7752458525156</v>
      </c>
      <c r="F31" s="473">
        <f t="shared" ca="1" si="18"/>
        <v>77241.01710462608</v>
      </c>
      <c r="G31" s="473">
        <f t="shared" si="18"/>
        <v>12183.458777295271</v>
      </c>
      <c r="H31" s="473">
        <f t="shared" si="18"/>
        <v>2065.1832437646021</v>
      </c>
      <c r="I31" s="473">
        <f t="shared" si="18"/>
        <v>0</v>
      </c>
      <c r="J31" s="473">
        <f t="shared" si="18"/>
        <v>1602.3474683226932</v>
      </c>
      <c r="K31" s="473">
        <f t="shared" si="18"/>
        <v>0</v>
      </c>
      <c r="L31" s="473">
        <f t="shared" ca="1" si="18"/>
        <v>0</v>
      </c>
      <c r="M31" s="473">
        <f t="shared" si="18"/>
        <v>0</v>
      </c>
      <c r="N31" s="473">
        <f t="shared" ca="1" si="18"/>
        <v>0</v>
      </c>
      <c r="O31" s="473">
        <f t="shared" si="18"/>
        <v>0</v>
      </c>
      <c r="P31" s="474">
        <f t="shared" si="18"/>
        <v>0</v>
      </c>
      <c r="Q31" s="474">
        <f t="shared" ca="1" si="18"/>
        <v>183359.04580462186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0.21408263975884012</v>
      </c>
      <c r="C17" s="513">
        <f ca="1">'EF ele_warmte'!B22</f>
        <v>0.22924320730844291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0.21408263975884012</v>
      </c>
      <c r="C17" s="513">
        <f ca="1">'EF ele_warmte'!B22</f>
        <v>0.22924320730844291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0.21408263975884012</v>
      </c>
      <c r="C29" s="514">
        <f ca="1">'EF ele_warmte'!B22</f>
        <v>0.22924320730844291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4376</v>
      </c>
      <c r="C9" s="338">
        <v>4500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3226</v>
      </c>
    </row>
    <row r="15" spans="1:6">
      <c r="A15" s="1269" t="s">
        <v>184</v>
      </c>
      <c r="B15" s="335">
        <v>14</v>
      </c>
    </row>
    <row r="16" spans="1:6">
      <c r="A16" s="1269" t="s">
        <v>6</v>
      </c>
      <c r="B16" s="335">
        <v>287</v>
      </c>
    </row>
    <row r="17" spans="1:6">
      <c r="A17" s="1269" t="s">
        <v>7</v>
      </c>
      <c r="B17" s="335">
        <v>819</v>
      </c>
    </row>
    <row r="18" spans="1:6">
      <c r="A18" s="1269" t="s">
        <v>8</v>
      </c>
      <c r="B18" s="335">
        <v>929</v>
      </c>
    </row>
    <row r="19" spans="1:6">
      <c r="A19" s="1269" t="s">
        <v>9</v>
      </c>
      <c r="B19" s="335">
        <v>868</v>
      </c>
    </row>
    <row r="20" spans="1:6">
      <c r="A20" s="1269" t="s">
        <v>10</v>
      </c>
      <c r="B20" s="335">
        <v>543</v>
      </c>
    </row>
    <row r="21" spans="1:6">
      <c r="A21" s="1269" t="s">
        <v>11</v>
      </c>
      <c r="B21" s="335">
        <v>42574</v>
      </c>
    </row>
    <row r="22" spans="1:6">
      <c r="A22" s="1269" t="s">
        <v>12</v>
      </c>
      <c r="B22" s="335">
        <v>107042</v>
      </c>
    </row>
    <row r="23" spans="1:6">
      <c r="A23" s="1269" t="s">
        <v>13</v>
      </c>
      <c r="B23" s="335">
        <v>1710</v>
      </c>
    </row>
    <row r="24" spans="1:6">
      <c r="A24" s="1269" t="s">
        <v>14</v>
      </c>
      <c r="B24" s="335">
        <v>71</v>
      </c>
    </row>
    <row r="25" spans="1:6">
      <c r="A25" s="1269" t="s">
        <v>15</v>
      </c>
      <c r="B25" s="335">
        <v>9510</v>
      </c>
    </row>
    <row r="26" spans="1:6">
      <c r="A26" s="1269" t="s">
        <v>16</v>
      </c>
      <c r="B26" s="335">
        <v>288</v>
      </c>
    </row>
    <row r="27" spans="1:6">
      <c r="A27" s="1269" t="s">
        <v>17</v>
      </c>
      <c r="B27" s="335">
        <v>2</v>
      </c>
    </row>
    <row r="28" spans="1:6" s="341" customFormat="1">
      <c r="A28" s="1270" t="s">
        <v>18</v>
      </c>
      <c r="B28" s="1270">
        <v>101816</v>
      </c>
    </row>
    <row r="29" spans="1:6">
      <c r="A29" s="1270" t="s">
        <v>874</v>
      </c>
      <c r="B29" s="1270">
        <v>36</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17780.767948667999</v>
      </c>
    </row>
    <row r="37" spans="1:6">
      <c r="A37" s="1269" t="s">
        <v>25</v>
      </c>
      <c r="B37" s="1269" t="s">
        <v>28</v>
      </c>
      <c r="C37" s="335">
        <v>0</v>
      </c>
      <c r="D37" s="335">
        <v>0</v>
      </c>
      <c r="E37" s="335">
        <v>0</v>
      </c>
      <c r="F37" s="335">
        <v>0</v>
      </c>
    </row>
    <row r="38" spans="1:6">
      <c r="A38" s="1269" t="s">
        <v>25</v>
      </c>
      <c r="B38" s="1269" t="s">
        <v>29</v>
      </c>
      <c r="C38" s="335">
        <v>0</v>
      </c>
      <c r="D38" s="335">
        <v>0</v>
      </c>
      <c r="E38" s="335">
        <v>3</v>
      </c>
      <c r="F38" s="335">
        <v>17179.1996528749</v>
      </c>
    </row>
    <row r="39" spans="1:6">
      <c r="A39" s="1269" t="s">
        <v>30</v>
      </c>
      <c r="B39" s="1269" t="s">
        <v>31</v>
      </c>
      <c r="C39" s="335">
        <v>2167</v>
      </c>
      <c r="D39" s="335">
        <v>38729316.380675703</v>
      </c>
      <c r="E39" s="335">
        <v>3953</v>
      </c>
      <c r="F39" s="335">
        <v>16295919.2468911</v>
      </c>
    </row>
    <row r="40" spans="1:6">
      <c r="A40" s="1269" t="s">
        <v>30</v>
      </c>
      <c r="B40" s="1269" t="s">
        <v>29</v>
      </c>
      <c r="C40" s="335">
        <v>0</v>
      </c>
      <c r="D40" s="335">
        <v>0</v>
      </c>
      <c r="E40" s="335">
        <v>0</v>
      </c>
      <c r="F40" s="335">
        <v>0</v>
      </c>
    </row>
    <row r="41" spans="1:6">
      <c r="A41" s="1269" t="s">
        <v>32</v>
      </c>
      <c r="B41" s="1269" t="s">
        <v>33</v>
      </c>
      <c r="C41" s="335">
        <v>38</v>
      </c>
      <c r="D41" s="335">
        <v>2025830.96017175</v>
      </c>
      <c r="E41" s="335">
        <v>116</v>
      </c>
      <c r="F41" s="335">
        <v>2996776.8478374002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9</v>
      </c>
      <c r="D44" s="335">
        <v>108494.529582377</v>
      </c>
      <c r="E44" s="335">
        <v>29</v>
      </c>
      <c r="F44" s="335">
        <v>982009.04888776003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5</v>
      </c>
      <c r="F47" s="335">
        <v>217065.038568836</v>
      </c>
    </row>
    <row r="48" spans="1:6">
      <c r="A48" s="1269" t="s">
        <v>32</v>
      </c>
      <c r="B48" s="1269" t="s">
        <v>29</v>
      </c>
      <c r="C48" s="335">
        <v>30</v>
      </c>
      <c r="D48" s="335">
        <v>37281835.009893</v>
      </c>
      <c r="E48" s="335">
        <v>31</v>
      </c>
      <c r="F48" s="335">
        <v>3926402.2403106401</v>
      </c>
    </row>
    <row r="49" spans="1:6">
      <c r="A49" s="1269" t="s">
        <v>32</v>
      </c>
      <c r="B49" s="1269" t="s">
        <v>40</v>
      </c>
      <c r="C49" s="335">
        <v>0</v>
      </c>
      <c r="D49" s="335">
        <v>0</v>
      </c>
      <c r="E49" s="335">
        <v>3</v>
      </c>
      <c r="F49" s="335">
        <v>49774.414127441603</v>
      </c>
    </row>
    <row r="50" spans="1:6">
      <c r="A50" s="1269" t="s">
        <v>32</v>
      </c>
      <c r="B50" s="1269" t="s">
        <v>41</v>
      </c>
      <c r="C50" s="335">
        <v>12</v>
      </c>
      <c r="D50" s="335">
        <v>38310447.033097401</v>
      </c>
      <c r="E50" s="335">
        <v>30</v>
      </c>
      <c r="F50" s="335">
        <v>153508830.35936901</v>
      </c>
    </row>
    <row r="51" spans="1:6">
      <c r="A51" s="1269" t="s">
        <v>42</v>
      </c>
      <c r="B51" s="1269" t="s">
        <v>43</v>
      </c>
      <c r="C51" s="335">
        <v>34</v>
      </c>
      <c r="D51" s="335">
        <v>118046624.28290901</v>
      </c>
      <c r="E51" s="335">
        <v>288</v>
      </c>
      <c r="F51" s="335">
        <v>8290647.2594691301</v>
      </c>
    </row>
    <row r="52" spans="1:6">
      <c r="A52" s="1269" t="s">
        <v>42</v>
      </c>
      <c r="B52" s="1269" t="s">
        <v>29</v>
      </c>
      <c r="C52" s="335">
        <v>2</v>
      </c>
      <c r="D52" s="335">
        <v>3656739.0140066701</v>
      </c>
      <c r="E52" s="335">
        <v>8</v>
      </c>
      <c r="F52" s="335">
        <v>220677.561538685</v>
      </c>
    </row>
    <row r="53" spans="1:6">
      <c r="A53" s="1269" t="s">
        <v>44</v>
      </c>
      <c r="B53" s="1269" t="s">
        <v>45</v>
      </c>
      <c r="C53" s="335">
        <v>70</v>
      </c>
      <c r="D53" s="335">
        <v>1494712.02447335</v>
      </c>
      <c r="E53" s="335">
        <v>135</v>
      </c>
      <c r="F53" s="335">
        <v>597087.95561074605</v>
      </c>
    </row>
    <row r="54" spans="1:6">
      <c r="A54" s="1269" t="s">
        <v>46</v>
      </c>
      <c r="B54" s="1269" t="s">
        <v>47</v>
      </c>
      <c r="C54" s="335">
        <v>0</v>
      </c>
      <c r="D54" s="335">
        <v>0</v>
      </c>
      <c r="E54" s="335">
        <v>1</v>
      </c>
      <c r="F54" s="335">
        <v>921817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17</v>
      </c>
      <c r="D57" s="335">
        <v>433427.90914783301</v>
      </c>
      <c r="E57" s="335">
        <v>40</v>
      </c>
      <c r="F57" s="335">
        <v>773797.85864136298</v>
      </c>
    </row>
    <row r="58" spans="1:6">
      <c r="A58" s="1269" t="s">
        <v>49</v>
      </c>
      <c r="B58" s="1269" t="s">
        <v>51</v>
      </c>
      <c r="C58" s="335">
        <v>4</v>
      </c>
      <c r="D58" s="335">
        <v>142840.39486192699</v>
      </c>
      <c r="E58" s="335">
        <v>10</v>
      </c>
      <c r="F58" s="335">
        <v>71540.265081884907</v>
      </c>
    </row>
    <row r="59" spans="1:6">
      <c r="A59" s="1269" t="s">
        <v>49</v>
      </c>
      <c r="B59" s="1269" t="s">
        <v>52</v>
      </c>
      <c r="C59" s="335">
        <v>30</v>
      </c>
      <c r="D59" s="335">
        <v>825076.15916162403</v>
      </c>
      <c r="E59" s="335">
        <v>89</v>
      </c>
      <c r="F59" s="335">
        <v>3602851.56752969</v>
      </c>
    </row>
    <row r="60" spans="1:6">
      <c r="A60" s="1269" t="s">
        <v>49</v>
      </c>
      <c r="B60" s="1269" t="s">
        <v>53</v>
      </c>
      <c r="C60" s="335">
        <v>24</v>
      </c>
      <c r="D60" s="335">
        <v>1345270.6347578999</v>
      </c>
      <c r="E60" s="335">
        <v>81</v>
      </c>
      <c r="F60" s="335">
        <v>1200261.39566345</v>
      </c>
    </row>
    <row r="61" spans="1:6">
      <c r="A61" s="1269" t="s">
        <v>49</v>
      </c>
      <c r="B61" s="1269" t="s">
        <v>54</v>
      </c>
      <c r="C61" s="335">
        <v>102</v>
      </c>
      <c r="D61" s="335">
        <v>4568370.0631431304</v>
      </c>
      <c r="E61" s="335">
        <v>155</v>
      </c>
      <c r="F61" s="335">
        <v>1790040.3552049401</v>
      </c>
    </row>
    <row r="62" spans="1:6">
      <c r="A62" s="1269" t="s">
        <v>49</v>
      </c>
      <c r="B62" s="1269" t="s">
        <v>55</v>
      </c>
      <c r="C62" s="335">
        <v>6</v>
      </c>
      <c r="D62" s="335">
        <v>697078.27931625803</v>
      </c>
      <c r="E62" s="335">
        <v>6</v>
      </c>
      <c r="F62" s="335">
        <v>58088.770520236802</v>
      </c>
    </row>
    <row r="63" spans="1:6">
      <c r="A63" s="1269" t="s">
        <v>49</v>
      </c>
      <c r="B63" s="1269" t="s">
        <v>29</v>
      </c>
      <c r="C63" s="335">
        <v>71</v>
      </c>
      <c r="D63" s="335">
        <v>31109455.132093601</v>
      </c>
      <c r="E63" s="335">
        <v>95</v>
      </c>
      <c r="F63" s="335">
        <v>1900619.5867834501</v>
      </c>
    </row>
    <row r="64" spans="1:6">
      <c r="A64" s="1269" t="s">
        <v>56</v>
      </c>
      <c r="B64" s="1269" t="s">
        <v>57</v>
      </c>
      <c r="C64" s="335">
        <v>0</v>
      </c>
      <c r="D64" s="335">
        <v>0</v>
      </c>
      <c r="E64" s="335">
        <v>0</v>
      </c>
      <c r="F64" s="335">
        <v>0</v>
      </c>
    </row>
    <row r="65" spans="1:6">
      <c r="A65" s="1269" t="s">
        <v>56</v>
      </c>
      <c r="B65" s="1269" t="s">
        <v>29</v>
      </c>
      <c r="C65" s="335">
        <v>2</v>
      </c>
      <c r="D65" s="335">
        <v>61433.443382654099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13</v>
      </c>
      <c r="F68" s="335">
        <v>107507.091188304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32424134</v>
      </c>
      <c r="E73" s="335">
        <v>28664036.39250917</v>
      </c>
    </row>
    <row r="74" spans="1:6">
      <c r="A74" s="1269" t="s">
        <v>64</v>
      </c>
      <c r="B74" s="1269" t="s">
        <v>727</v>
      </c>
      <c r="C74" s="1269" t="s">
        <v>728</v>
      </c>
      <c r="D74" s="335">
        <v>3646575.8542212807</v>
      </c>
      <c r="E74" s="335">
        <v>3724041.2512314063</v>
      </c>
    </row>
    <row r="75" spans="1:6">
      <c r="A75" s="1269" t="s">
        <v>65</v>
      </c>
      <c r="B75" s="1269" t="s">
        <v>725</v>
      </c>
      <c r="C75" s="1269" t="s">
        <v>729</v>
      </c>
      <c r="D75" s="335">
        <v>22362428</v>
      </c>
      <c r="E75" s="335">
        <v>23471949.521994565</v>
      </c>
    </row>
    <row r="76" spans="1:6">
      <c r="A76" s="1269" t="s">
        <v>65</v>
      </c>
      <c r="B76" s="1269" t="s">
        <v>727</v>
      </c>
      <c r="C76" s="1269" t="s">
        <v>730</v>
      </c>
      <c r="D76" s="335">
        <v>1687769.8542212807</v>
      </c>
      <c r="E76" s="335">
        <v>1776446.8589605179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321174.29155743861</v>
      </c>
      <c r="C83" s="335">
        <v>323090.42176104354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3597.4058090851622</v>
      </c>
    </row>
    <row r="92" spans="1:6">
      <c r="A92" s="1265" t="s">
        <v>69</v>
      </c>
      <c r="B92" s="338">
        <v>4097.6139012291023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1342</v>
      </c>
    </row>
    <row r="98" spans="1:6">
      <c r="A98" s="1269" t="s">
        <v>72</v>
      </c>
      <c r="B98" s="335">
        <v>2</v>
      </c>
    </row>
    <row r="99" spans="1:6">
      <c r="A99" s="1269" t="s">
        <v>73</v>
      </c>
      <c r="B99" s="335">
        <v>211</v>
      </c>
    </row>
    <row r="100" spans="1:6">
      <c r="A100" s="1269" t="s">
        <v>74</v>
      </c>
      <c r="B100" s="335">
        <v>301</v>
      </c>
    </row>
    <row r="101" spans="1:6">
      <c r="A101" s="1269" t="s">
        <v>75</v>
      </c>
      <c r="B101" s="335">
        <v>150</v>
      </c>
    </row>
    <row r="102" spans="1:6">
      <c r="A102" s="1269" t="s">
        <v>76</v>
      </c>
      <c r="B102" s="335">
        <v>64</v>
      </c>
    </row>
    <row r="103" spans="1:6">
      <c r="A103" s="1269" t="s">
        <v>77</v>
      </c>
      <c r="B103" s="335">
        <v>162</v>
      </c>
    </row>
    <row r="104" spans="1:6">
      <c r="A104" s="1269" t="s">
        <v>78</v>
      </c>
      <c r="B104" s="335">
        <v>1769</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35</v>
      </c>
      <c r="C123" s="335">
        <v>35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163</v>
      </c>
    </row>
    <row r="130" spans="1:6">
      <c r="A130" s="1269" t="s">
        <v>295</v>
      </c>
      <c r="B130" s="335">
        <v>2</v>
      </c>
    </row>
    <row r="131" spans="1:6">
      <c r="A131" s="1269" t="s">
        <v>296</v>
      </c>
      <c r="B131" s="335">
        <v>1</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201717.01618798284</v>
      </c>
      <c r="C3" s="43" t="s">
        <v>170</v>
      </c>
      <c r="D3" s="43"/>
      <c r="E3" s="156"/>
      <c r="F3" s="43"/>
      <c r="G3" s="43"/>
      <c r="H3" s="43"/>
      <c r="I3" s="43"/>
      <c r="J3" s="43"/>
      <c r="K3" s="96"/>
    </row>
    <row r="4" spans="1:11">
      <c r="A4" s="366" t="s">
        <v>171</v>
      </c>
      <c r="B4" s="49">
        <f>IF(ISERROR('SEAP template'!B69),0,'SEAP template'!B69)</f>
        <v>44725.519710314264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8488.9905882352941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0.21408263975884012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12127.129411764707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52900.714285714283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0.22924320730844291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921.81700000000001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0.21408263975884012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197.34501673457473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16295.919246891101</v>
      </c>
      <c r="C5" s="17">
        <f>IF(ISERROR('Eigen informatie GS &amp; warmtenet'!B57),0,'Eigen informatie GS &amp; warmtenet'!B57)</f>
        <v>0</v>
      </c>
      <c r="D5" s="30">
        <f>(SUM(HH_hh_gas_kWh,HH_rest_gas_kWh)/1000)*0.902</f>
        <v>34933.843375369484</v>
      </c>
      <c r="E5" s="17">
        <f>B46*B57</f>
        <v>7033.4802717171242</v>
      </c>
      <c r="F5" s="17">
        <f>B51*B62</f>
        <v>25956.981614012744</v>
      </c>
      <c r="G5" s="18"/>
      <c r="H5" s="17"/>
      <c r="I5" s="17"/>
      <c r="J5" s="17">
        <f>B50*B61+C50*C61</f>
        <v>3234.3044266444931</v>
      </c>
      <c r="K5" s="17"/>
      <c r="L5" s="17"/>
      <c r="M5" s="17"/>
      <c r="N5" s="17">
        <f>B48*B59+C48*C59</f>
        <v>18745.028472934802</v>
      </c>
      <c r="O5" s="17">
        <f>B69*B70*B71</f>
        <v>309.54000000000002</v>
      </c>
      <c r="P5" s="17">
        <f>B77*B78*B79/1000-B77*B78*B79/1000/B80</f>
        <v>838.93333333333339</v>
      </c>
    </row>
    <row r="6" spans="1:16">
      <c r="A6" s="16" t="s">
        <v>634</v>
      </c>
      <c r="B6" s="831">
        <f>kWh_PV_kleiner_dan_10kW</f>
        <v>3597.4058090851622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19893.325055976264</v>
      </c>
      <c r="C8" s="21">
        <f>C5</f>
        <v>0</v>
      </c>
      <c r="D8" s="21">
        <f>D5</f>
        <v>34933.843375369484</v>
      </c>
      <c r="E8" s="21">
        <f>E5</f>
        <v>7033.4802717171242</v>
      </c>
      <c r="F8" s="21">
        <f>F5</f>
        <v>25956.981614012744</v>
      </c>
      <c r="G8" s="21"/>
      <c r="H8" s="21"/>
      <c r="I8" s="21"/>
      <c r="J8" s="21">
        <f>J5</f>
        <v>3234.3044266444931</v>
      </c>
      <c r="K8" s="21"/>
      <c r="L8" s="21">
        <f>L5</f>
        <v>0</v>
      </c>
      <c r="M8" s="21">
        <f>M5</f>
        <v>0</v>
      </c>
      <c r="N8" s="21">
        <f>N5</f>
        <v>18745.028472934802</v>
      </c>
      <c r="O8" s="21">
        <f>O5</f>
        <v>309.54000000000002</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0.21408263975884012</v>
      </c>
      <c r="C10" s="25">
        <f ca="1">'EF ele_warmte'!B22</f>
        <v>0.22924320730844291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4258.815541564074</v>
      </c>
      <c r="C12" s="23">
        <f ca="1">C10*C8</f>
        <v>0</v>
      </c>
      <c r="D12" s="23">
        <f>D8*D10</f>
        <v>7056.636361824636</v>
      </c>
      <c r="E12" s="23">
        <f>E10*E8</f>
        <v>1596.6000216797872</v>
      </c>
      <c r="F12" s="23">
        <f>F10*F8</f>
        <v>6930.5140909414031</v>
      </c>
      <c r="G12" s="23"/>
      <c r="H12" s="23"/>
      <c r="I12" s="23"/>
      <c r="J12" s="23">
        <f>J10*J8</f>
        <v>1144.9437670321504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1342</v>
      </c>
      <c r="C18" s="168" t="s">
        <v>111</v>
      </c>
      <c r="D18" s="230"/>
      <c r="E18" s="15"/>
    </row>
    <row r="19" spans="1:7">
      <c r="A19" s="173" t="s">
        <v>72</v>
      </c>
      <c r="B19" s="37">
        <f>aantalw2001_ander</f>
        <v>2</v>
      </c>
      <c r="C19" s="168" t="s">
        <v>111</v>
      </c>
      <c r="D19" s="231"/>
      <c r="E19" s="15"/>
    </row>
    <row r="20" spans="1:7">
      <c r="A20" s="173" t="s">
        <v>73</v>
      </c>
      <c r="B20" s="37">
        <f>aantalw2001_propaan</f>
        <v>211</v>
      </c>
      <c r="C20" s="169">
        <f>IF(ISERROR(B20/SUM($B$20,$B$21,$B$22)*100),0,B20/SUM($B$20,$B$21,$B$22)*100)</f>
        <v>31.873111782477341</v>
      </c>
      <c r="D20" s="231"/>
      <c r="E20" s="15"/>
    </row>
    <row r="21" spans="1:7">
      <c r="A21" s="173" t="s">
        <v>74</v>
      </c>
      <c r="B21" s="37">
        <f>aantalw2001_elektriciteit</f>
        <v>301</v>
      </c>
      <c r="C21" s="169">
        <f>IF(ISERROR(B21/SUM($B$20,$B$21,$B$22)*100),0,B21/SUM($B$20,$B$21,$B$22)*100)</f>
        <v>45.468277945619334</v>
      </c>
      <c r="D21" s="231"/>
      <c r="E21" s="15"/>
    </row>
    <row r="22" spans="1:7">
      <c r="A22" s="173" t="s">
        <v>75</v>
      </c>
      <c r="B22" s="37">
        <f>aantalw2001_hout</f>
        <v>150</v>
      </c>
      <c r="C22" s="169">
        <f>IF(ISERROR(B22/SUM($B$20,$B$21,$B$22)*100),0,B22/SUM($B$20,$B$21,$B$22)*100)</f>
        <v>22.658610271903324</v>
      </c>
      <c r="D22" s="231"/>
      <c r="E22" s="15"/>
    </row>
    <row r="23" spans="1:7">
      <c r="A23" s="173" t="s">
        <v>76</v>
      </c>
      <c r="B23" s="37">
        <f>aantalw2001_niet_gespec</f>
        <v>64</v>
      </c>
      <c r="C23" s="168" t="s">
        <v>111</v>
      </c>
      <c r="D23" s="230"/>
      <c r="E23" s="15"/>
    </row>
    <row r="24" spans="1:7">
      <c r="A24" s="173" t="s">
        <v>77</v>
      </c>
      <c r="B24" s="37">
        <f>aantalw2001_steenkool</f>
        <v>162</v>
      </c>
      <c r="C24" s="168" t="s">
        <v>111</v>
      </c>
      <c r="D24" s="231"/>
      <c r="E24" s="15"/>
    </row>
    <row r="25" spans="1:7">
      <c r="A25" s="173" t="s">
        <v>78</v>
      </c>
      <c r="B25" s="37">
        <f>aantalw2001_stookolie</f>
        <v>1769</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4376</v>
      </c>
      <c r="C28" s="36"/>
      <c r="D28" s="230"/>
    </row>
    <row r="29" spans="1:7" s="15" customFormat="1">
      <c r="A29" s="232" t="s">
        <v>746</v>
      </c>
      <c r="B29" s="37">
        <f>SUM(HH_hh_gas_aantal,HH_rest_gas_aantal)</f>
        <v>2167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2167</v>
      </c>
      <c r="C32" s="169">
        <f>IF(ISERROR(B32/SUM($B$32,$B$34,$B$35,$B$36,$B$38,$B$39)*100),0,B32/SUM($B$32,$B$34,$B$35,$B$36,$B$38,$B$39)*100)</f>
        <v>50.023084025854118</v>
      </c>
      <c r="D32" s="235"/>
      <c r="G32" s="15"/>
    </row>
    <row r="33" spans="1:7">
      <c r="A33" s="173" t="s">
        <v>72</v>
      </c>
      <c r="B33" s="34" t="s">
        <v>111</v>
      </c>
      <c r="C33" s="169"/>
      <c r="D33" s="235"/>
      <c r="G33" s="15"/>
    </row>
    <row r="34" spans="1:7">
      <c r="A34" s="173" t="s">
        <v>73</v>
      </c>
      <c r="B34" s="33">
        <f>IF((($B$28-$B$32-$B$39-$B$77-$B$38)*C20/100)&lt;0,0,($B$28-$B$32-$B$39-$B$77-$B$38)*C20/100)</f>
        <v>337.53625377643505</v>
      </c>
      <c r="C34" s="169">
        <f>IF(ISERROR(B34/SUM($B$32,$B$34,$B$35,$B$36,$B$38,$B$39)*100),0,B34/SUM($B$32,$B$34,$B$35,$B$36,$B$38,$B$39)*100)</f>
        <v>7.791695608874309</v>
      </c>
      <c r="D34" s="235"/>
      <c r="G34" s="15"/>
    </row>
    <row r="35" spans="1:7">
      <c r="A35" s="173" t="s">
        <v>74</v>
      </c>
      <c r="B35" s="33">
        <f>IF((($B$28-$B$32-$B$39-$B$77-$B$38)*C21/100)&lt;0,0,($B$28-$B$32-$B$39-$B$77-$B$38)*C21/100)</f>
        <v>481.50906344410873</v>
      </c>
      <c r="C35" s="169">
        <f>IF(ISERROR(B35/SUM($B$32,$B$34,$B$35,$B$36,$B$38,$B$39)*100),0,B35/SUM($B$32,$B$34,$B$35,$B$36,$B$38,$B$39)*100)</f>
        <v>11.115167669531596</v>
      </c>
      <c r="D35" s="235"/>
      <c r="G35" s="15"/>
    </row>
    <row r="36" spans="1:7">
      <c r="A36" s="173" t="s">
        <v>75</v>
      </c>
      <c r="B36" s="33">
        <f>IF((($B$28-$B$32-$B$39-$B$77-$B$38)*C22/100)&lt;0,0,($B$28-$B$32-$B$39-$B$77-$B$38)*C22/100)</f>
        <v>239.95468277945619</v>
      </c>
      <c r="C36" s="169">
        <f>IF(ISERROR(B36/SUM($B$32,$B$34,$B$35,$B$36,$B$38,$B$39)*100),0,B36/SUM($B$32,$B$34,$B$35,$B$36,$B$38,$B$39)*100)</f>
        <v>5.53912010109548</v>
      </c>
      <c r="D36" s="235"/>
      <c r="G36" s="15"/>
    </row>
    <row r="37" spans="1:7">
      <c r="A37" s="173" t="s">
        <v>76</v>
      </c>
      <c r="B37" s="34" t="s">
        <v>111</v>
      </c>
      <c r="C37" s="169"/>
      <c r="D37" s="175"/>
      <c r="G37" s="15"/>
    </row>
    <row r="38" spans="1:7">
      <c r="A38" s="173" t="s">
        <v>77</v>
      </c>
      <c r="B38" s="33">
        <f>IF((B24-(B29-B18)*0.1)&lt;0,0,B24-(B29-B18)*0.1)</f>
        <v>79.5</v>
      </c>
      <c r="C38" s="169">
        <f>IF(ISERROR(B38/SUM($B$32,$B$34,$B$35,$B$36,$B$38,$B$39)*100),0,B38/SUM($B$32,$B$34,$B$35,$B$36,$B$38,$B$39)*100)</f>
        <v>1.8351800554016622</v>
      </c>
      <c r="D38" s="236"/>
      <c r="G38" s="15"/>
    </row>
    <row r="39" spans="1:7">
      <c r="A39" s="173" t="s">
        <v>78</v>
      </c>
      <c r="B39" s="33">
        <f>IF((B25-(B29-B18))&lt;0,0,B25-(B29-B18)*0.9)</f>
        <v>1026.5</v>
      </c>
      <c r="C39" s="169">
        <f>IF(ISERROR(B39/SUM($B$32,$B$34,$B$35,$B$36,$B$38,$B$39)*100),0,B39/SUM($B$32,$B$34,$B$35,$B$36,$B$38,$B$39)*100)</f>
        <v>23.695752539242847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2167</v>
      </c>
      <c r="C44" s="34" t="s">
        <v>111</v>
      </c>
      <c r="D44" s="176"/>
    </row>
    <row r="45" spans="1:7">
      <c r="A45" s="173" t="s">
        <v>72</v>
      </c>
      <c r="B45" s="33" t="str">
        <f t="shared" si="0"/>
        <v>-</v>
      </c>
      <c r="C45" s="34" t="s">
        <v>111</v>
      </c>
      <c r="D45" s="176"/>
    </row>
    <row r="46" spans="1:7">
      <c r="A46" s="173" t="s">
        <v>73</v>
      </c>
      <c r="B46" s="33">
        <f t="shared" si="0"/>
        <v>337.53625377643505</v>
      </c>
      <c r="C46" s="34" t="s">
        <v>111</v>
      </c>
      <c r="D46" s="176"/>
    </row>
    <row r="47" spans="1:7">
      <c r="A47" s="173" t="s">
        <v>74</v>
      </c>
      <c r="B47" s="33">
        <f t="shared" si="0"/>
        <v>481.50906344410873</v>
      </c>
      <c r="C47" s="34" t="s">
        <v>111</v>
      </c>
      <c r="D47" s="176"/>
    </row>
    <row r="48" spans="1:7">
      <c r="A48" s="173" t="s">
        <v>75</v>
      </c>
      <c r="B48" s="33">
        <f t="shared" si="0"/>
        <v>239.95468277945619</v>
      </c>
      <c r="C48" s="33">
        <f>B48*10</f>
        <v>2399.546827794562</v>
      </c>
      <c r="D48" s="236"/>
    </row>
    <row r="49" spans="1:6">
      <c r="A49" s="173" t="s">
        <v>76</v>
      </c>
      <c r="B49" s="33" t="str">
        <f t="shared" si="0"/>
        <v>-</v>
      </c>
      <c r="C49" s="34" t="s">
        <v>111</v>
      </c>
      <c r="D49" s="236"/>
    </row>
    <row r="50" spans="1:6">
      <c r="A50" s="173" t="s">
        <v>77</v>
      </c>
      <c r="B50" s="33">
        <f t="shared" si="0"/>
        <v>79.5</v>
      </c>
      <c r="C50" s="33">
        <f>B50*2</f>
        <v>159</v>
      </c>
      <c r="D50" s="236"/>
    </row>
    <row r="51" spans="1:6">
      <c r="A51" s="173" t="s">
        <v>78</v>
      </c>
      <c r="B51" s="33">
        <f t="shared" si="0"/>
        <v>1026.5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9397.1997994250141</v>
      </c>
      <c r="C5" s="17">
        <f>IF(ISERROR('Eigen informatie GS &amp; warmtenet'!B58),0,'Eigen informatie GS &amp; warmtenet'!B58)</f>
        <v>0</v>
      </c>
      <c r="D5" s="30">
        <f>SUM(D6:D12)</f>
        <v>35287.609752379009</v>
      </c>
      <c r="E5" s="17">
        <f>SUM(E6:E12)</f>
        <v>153.23750328740363</v>
      </c>
      <c r="F5" s="17">
        <f>SUM(F6:F12)</f>
        <v>1884.336043742537</v>
      </c>
      <c r="G5" s="18"/>
      <c r="H5" s="17"/>
      <c r="I5" s="17"/>
      <c r="J5" s="17">
        <f>SUM(J6:J12)</f>
        <v>0</v>
      </c>
      <c r="K5" s="17"/>
      <c r="L5" s="17"/>
      <c r="M5" s="17"/>
      <c r="N5" s="17">
        <f>SUM(N6:N12)</f>
        <v>702.3349499970451</v>
      </c>
      <c r="O5" s="17">
        <f>B38*B39*B40</f>
        <v>3.1266666666666669</v>
      </c>
      <c r="P5" s="17">
        <f>B46*B47*B48/1000-B46*B47*B48/1000/B49</f>
        <v>19.066666666666666</v>
      </c>
      <c r="R5" s="32"/>
    </row>
    <row r="6" spans="1:18">
      <c r="A6" s="32" t="s">
        <v>54</v>
      </c>
      <c r="B6" s="37">
        <f>B26</f>
        <v>1790.0403552049402</v>
      </c>
      <c r="C6" s="33"/>
      <c r="D6" s="37">
        <f>IF(ISERROR(TER_kantoor_gas_kWh/1000),0,TER_kantoor_gas_kWh/1000)*0.902</f>
        <v>4120.6697969551033</v>
      </c>
      <c r="E6" s="33">
        <f>$C$26*'E Balans VL '!I12/100/3.6*1000000</f>
        <v>6.9546857535952267</v>
      </c>
      <c r="F6" s="33">
        <f>$C$26*('E Balans VL '!L12+'E Balans VL '!N12)/100/3.6*1000000</f>
        <v>272.24884995803649</v>
      </c>
      <c r="G6" s="34"/>
      <c r="H6" s="33"/>
      <c r="I6" s="33"/>
      <c r="J6" s="33">
        <f>$C$26*('E Balans VL '!D12+'E Balans VL '!E12)/100/3.6*1000000</f>
        <v>0</v>
      </c>
      <c r="K6" s="33"/>
      <c r="L6" s="33"/>
      <c r="M6" s="33"/>
      <c r="N6" s="33">
        <f>$C$26*'E Balans VL '!Y12/100/3.6*1000000</f>
        <v>0.98652667727143561</v>
      </c>
      <c r="O6" s="33"/>
      <c r="P6" s="33"/>
      <c r="R6" s="32"/>
    </row>
    <row r="7" spans="1:18">
      <c r="A7" s="32" t="s">
        <v>53</v>
      </c>
      <c r="B7" s="37">
        <f t="shared" ref="B7:B12" si="0">B27</f>
        <v>1200.26139566345</v>
      </c>
      <c r="C7" s="33"/>
      <c r="D7" s="37">
        <f>IF(ISERROR(TER_horeca_gas_kWh/1000),0,TER_horeca_gas_kWh/1000)*0.902</f>
        <v>1213.4341125516257</v>
      </c>
      <c r="E7" s="33">
        <f>$C$27*'E Balans VL '!I9/100/3.6*1000000</f>
        <v>67.611045314452355</v>
      </c>
      <c r="F7" s="33">
        <f>$C$27*('E Balans VL '!L9+'E Balans VL '!N9)/100/3.6*1000000</f>
        <v>346.08352832649337</v>
      </c>
      <c r="G7" s="34"/>
      <c r="H7" s="33"/>
      <c r="I7" s="33"/>
      <c r="J7" s="33">
        <f>$C$27*('E Balans VL '!D9+'E Balans VL '!E9)/100/3.6*1000000</f>
        <v>0</v>
      </c>
      <c r="K7" s="33"/>
      <c r="L7" s="33"/>
      <c r="M7" s="33"/>
      <c r="N7" s="33">
        <f>$C$27*'E Balans VL '!Y9/100/3.6*1000000</f>
        <v>0.3313859341976329</v>
      </c>
      <c r="O7" s="33"/>
      <c r="P7" s="33"/>
      <c r="R7" s="32"/>
    </row>
    <row r="8" spans="1:18">
      <c r="A8" s="6" t="s">
        <v>52</v>
      </c>
      <c r="B8" s="37">
        <f t="shared" si="0"/>
        <v>3602.8515675296899</v>
      </c>
      <c r="C8" s="33"/>
      <c r="D8" s="37">
        <f>IF(ISERROR(TER_handel_gas_kWh/1000),0,TER_handel_gas_kWh/1000)*0.902</f>
        <v>744.21869556378488</v>
      </c>
      <c r="E8" s="33">
        <f>$C$28*'E Balans VL '!I13/100/3.6*1000000</f>
        <v>51.92931434755446</v>
      </c>
      <c r="F8" s="33">
        <f>$C$28*('E Balans VL '!L13+'E Balans VL '!N13)/100/3.6*1000000</f>
        <v>625.89922203111871</v>
      </c>
      <c r="G8" s="34"/>
      <c r="H8" s="33"/>
      <c r="I8" s="33"/>
      <c r="J8" s="33">
        <f>$C$28*('E Balans VL '!D13+'E Balans VL '!E13)/100/3.6*1000000</f>
        <v>0</v>
      </c>
      <c r="K8" s="33"/>
      <c r="L8" s="33"/>
      <c r="M8" s="33"/>
      <c r="N8" s="33">
        <f>$C$28*'E Balans VL '!Y13/100/3.6*1000000</f>
        <v>10.794544374017711</v>
      </c>
      <c r="O8" s="33"/>
      <c r="P8" s="33"/>
      <c r="R8" s="32"/>
    </row>
    <row r="9" spans="1:18">
      <c r="A9" s="32" t="s">
        <v>51</v>
      </c>
      <c r="B9" s="37">
        <f t="shared" si="0"/>
        <v>71.540265081884911</v>
      </c>
      <c r="C9" s="33"/>
      <c r="D9" s="37">
        <f>IF(ISERROR(TER_gezond_gas_kWh/1000),0,TER_gezond_gas_kWh/1000)*0.902</f>
        <v>128.84203616545815</v>
      </c>
      <c r="E9" s="33">
        <f>$C$29*'E Balans VL '!I10/100/3.6*1000000</f>
        <v>7.6423545663208525E-2</v>
      </c>
      <c r="F9" s="33">
        <f>$C$29*('E Balans VL '!L10+'E Balans VL '!N10)/100/3.6*1000000</f>
        <v>11.670391425098275</v>
      </c>
      <c r="G9" s="34"/>
      <c r="H9" s="33"/>
      <c r="I9" s="33"/>
      <c r="J9" s="33">
        <f>$C$29*('E Balans VL '!D10+'E Balans VL '!E10)/100/3.6*1000000</f>
        <v>0</v>
      </c>
      <c r="K9" s="33"/>
      <c r="L9" s="33"/>
      <c r="M9" s="33"/>
      <c r="N9" s="33">
        <f>$C$29*'E Balans VL '!Y10/100/3.6*1000000</f>
        <v>0.73646620895712211</v>
      </c>
      <c r="O9" s="33"/>
      <c r="P9" s="33"/>
      <c r="R9" s="32"/>
    </row>
    <row r="10" spans="1:18">
      <c r="A10" s="32" t="s">
        <v>50</v>
      </c>
      <c r="B10" s="37">
        <f t="shared" si="0"/>
        <v>773.79785864136295</v>
      </c>
      <c r="C10" s="33"/>
      <c r="D10" s="37">
        <f>IF(ISERROR(TER_ander_gas_kWh/1000),0,TER_ander_gas_kWh/1000)*0.902</f>
        <v>390.95197405134542</v>
      </c>
      <c r="E10" s="33">
        <f>$C$30*'E Balans VL '!I14/100/3.6*1000000</f>
        <v>3.5585786484997781</v>
      </c>
      <c r="F10" s="33">
        <f>$C$30*('E Balans VL '!L14+'E Balans VL '!N14)/100/3.6*1000000</f>
        <v>231.93162601300756</v>
      </c>
      <c r="G10" s="34"/>
      <c r="H10" s="33"/>
      <c r="I10" s="33"/>
      <c r="J10" s="33">
        <f>$C$30*('E Balans VL '!D14+'E Balans VL '!E14)/100/3.6*1000000</f>
        <v>0</v>
      </c>
      <c r="K10" s="33"/>
      <c r="L10" s="33"/>
      <c r="M10" s="33"/>
      <c r="N10" s="33">
        <f>$C$30*'E Balans VL '!Y14/100/3.6*1000000</f>
        <v>538.61438860584474</v>
      </c>
      <c r="O10" s="33"/>
      <c r="P10" s="33"/>
      <c r="R10" s="32"/>
    </row>
    <row r="11" spans="1:18">
      <c r="A11" s="32" t="s">
        <v>55</v>
      </c>
      <c r="B11" s="37">
        <f t="shared" si="0"/>
        <v>58.0887705202368</v>
      </c>
      <c r="C11" s="33"/>
      <c r="D11" s="37">
        <f>IF(ISERROR(TER_onderwijs_gas_kWh/1000),0,TER_onderwijs_gas_kWh/1000)*0.902</f>
        <v>628.76460794326476</v>
      </c>
      <c r="E11" s="33">
        <f>$C$31*'E Balans VL '!I11/100/3.6*1000000</f>
        <v>5.388497384075925E-2</v>
      </c>
      <c r="F11" s="33">
        <f>$C$31*('E Balans VL '!L11+'E Balans VL '!N11)/100/3.6*1000000</f>
        <v>20.405250009355566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1900.6195867834501</v>
      </c>
      <c r="C12" s="33"/>
      <c r="D12" s="37">
        <f>IF(ISERROR(TER_rest_gas_kWh/1000),0,TER_rest_gas_kWh/1000)*0.902</f>
        <v>28060.72852914843</v>
      </c>
      <c r="E12" s="33">
        <f>$C$32*'E Balans VL '!I8/100/3.6*1000000</f>
        <v>23.053570703797845</v>
      </c>
      <c r="F12" s="33">
        <f>$C$32*('E Balans VL '!L8+'E Balans VL '!N8)/100/3.6*1000000</f>
        <v>376.09717597942699</v>
      </c>
      <c r="G12" s="34"/>
      <c r="H12" s="33"/>
      <c r="I12" s="33"/>
      <c r="J12" s="33">
        <f>$C$32*('E Balans VL '!D8+'E Balans VL '!E8)/100/3.6*1000000</f>
        <v>0</v>
      </c>
      <c r="K12" s="33"/>
      <c r="L12" s="33"/>
      <c r="M12" s="33"/>
      <c r="N12" s="33">
        <f>$C$32*'E Balans VL '!Y8/100/3.6*1000000</f>
        <v>150.87163819675638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9397.1997994250141</v>
      </c>
      <c r="C16" s="21">
        <f t="shared" ca="1" si="1"/>
        <v>0</v>
      </c>
      <c r="D16" s="21">
        <f t="shared" ca="1" si="1"/>
        <v>35287.609752379009</v>
      </c>
      <c r="E16" s="21">
        <f t="shared" si="1"/>
        <v>153.23750328740363</v>
      </c>
      <c r="F16" s="21">
        <f t="shared" ca="1" si="1"/>
        <v>1884.336043742537</v>
      </c>
      <c r="G16" s="21">
        <f t="shared" si="1"/>
        <v>0</v>
      </c>
      <c r="H16" s="21">
        <f t="shared" si="1"/>
        <v>0</v>
      </c>
      <c r="I16" s="21">
        <f t="shared" si="1"/>
        <v>0</v>
      </c>
      <c r="J16" s="21">
        <f t="shared" si="1"/>
        <v>0</v>
      </c>
      <c r="K16" s="21">
        <f t="shared" si="1"/>
        <v>0</v>
      </c>
      <c r="L16" s="21">
        <f t="shared" ca="1" si="1"/>
        <v>0</v>
      </c>
      <c r="M16" s="21">
        <f t="shared" si="1"/>
        <v>0</v>
      </c>
      <c r="N16" s="21">
        <f t="shared" ca="1" si="1"/>
        <v>702.3349499970451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0.21408263975884012</v>
      </c>
      <c r="C18" s="25">
        <f ca="1">'EF ele_warmte'!B22</f>
        <v>0.22924320730844291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2011.7773394021499</v>
      </c>
      <c r="C20" s="23">
        <f t="shared" ref="C20:P20" ca="1" si="2">C16*C18</f>
        <v>0</v>
      </c>
      <c r="D20" s="23">
        <f t="shared" ca="1" si="2"/>
        <v>7128.0971699805605</v>
      </c>
      <c r="E20" s="23">
        <f t="shared" si="2"/>
        <v>34.784913246240627</v>
      </c>
      <c r="F20" s="23">
        <f t="shared" ca="1" si="2"/>
        <v>503.11772367925738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1790.0403552049402</v>
      </c>
      <c r="C26" s="39">
        <f>IF(ISERROR(B26*3.6/1000000/'E Balans VL '!Z12*100),0,B26*3.6/1000000/'E Balans VL '!Z12*100)</f>
        <v>3.8021343815279274E-2</v>
      </c>
      <c r="D26" s="239" t="s">
        <v>692</v>
      </c>
      <c r="F26" s="6"/>
    </row>
    <row r="27" spans="1:18">
      <c r="A27" s="233" t="s">
        <v>53</v>
      </c>
      <c r="B27" s="33">
        <f>IF(ISERROR(TER_horeca_ele_kWh/1000),0,TER_horeca_ele_kWh/1000)</f>
        <v>1200.26139566345</v>
      </c>
      <c r="C27" s="39">
        <f>IF(ISERROR(B27*3.6/1000000/'E Balans VL '!Z9*100),0,B27*3.6/1000000/'E Balans VL '!Z9*100)</f>
        <v>9.3327633198708237E-2</v>
      </c>
      <c r="D27" s="239" t="s">
        <v>692</v>
      </c>
      <c r="F27" s="6"/>
    </row>
    <row r="28" spans="1:18">
      <c r="A28" s="173" t="s">
        <v>52</v>
      </c>
      <c r="B28" s="33">
        <f>IF(ISERROR(TER_handel_ele_kWh/1000),0,TER_handel_ele_kWh/1000)</f>
        <v>3602.8515675296899</v>
      </c>
      <c r="C28" s="39">
        <f>IF(ISERROR(B28*3.6/1000000/'E Balans VL '!Z13*100),0,B28*3.6/1000000/'E Balans VL '!Z13*100)</f>
        <v>0.10308182347915747</v>
      </c>
      <c r="D28" s="239" t="s">
        <v>692</v>
      </c>
      <c r="F28" s="6"/>
    </row>
    <row r="29" spans="1:18">
      <c r="A29" s="233" t="s">
        <v>51</v>
      </c>
      <c r="B29" s="33">
        <f>IF(ISERROR(TER_gezond_ele_kWh/1000),0,TER_gezond_ele_kWh/1000)</f>
        <v>71.540265081884911</v>
      </c>
      <c r="C29" s="39">
        <f>IF(ISERROR(B29*3.6/1000000/'E Balans VL '!Z10*100),0,B29*3.6/1000000/'E Balans VL '!Z10*100)</f>
        <v>7.7995512903117235E-3</v>
      </c>
      <c r="D29" s="239" t="s">
        <v>692</v>
      </c>
      <c r="F29" s="6"/>
    </row>
    <row r="30" spans="1:18">
      <c r="A30" s="233" t="s">
        <v>50</v>
      </c>
      <c r="B30" s="33">
        <f>IF(ISERROR(TER_ander_ele_kWh/1000),0,TER_ander_ele_kWh/1000)</f>
        <v>773.79785864136295</v>
      </c>
      <c r="C30" s="39">
        <f>IF(ISERROR(B30*3.6/1000000/'E Balans VL '!Z14*100),0,B30*3.6/1000000/'E Balans VL '!Z14*100)</f>
        <v>5.6624771976543233E-2</v>
      </c>
      <c r="D30" s="239" t="s">
        <v>692</v>
      </c>
      <c r="F30" s="6"/>
    </row>
    <row r="31" spans="1:18">
      <c r="A31" s="233" t="s">
        <v>55</v>
      </c>
      <c r="B31" s="33">
        <f>IF(ISERROR(TER_onderwijs_ele_kWh/1000),0,TER_onderwijs_ele_kWh/1000)</f>
        <v>58.0887705202368</v>
      </c>
      <c r="C31" s="39">
        <f>IF(ISERROR(B31*3.6/1000000/'E Balans VL '!Z11*100),0,B31*3.6/1000000/'E Balans VL '!Z11*100)</f>
        <v>1.166717269452109E-2</v>
      </c>
      <c r="D31" s="239" t="s">
        <v>692</v>
      </c>
    </row>
    <row r="32" spans="1:18">
      <c r="A32" s="233" t="s">
        <v>260</v>
      </c>
      <c r="B32" s="33">
        <f>IF(ISERROR(TER_rest_ele_kWh/1000),0,TER_rest_ele_kWh/1000)</f>
        <v>1900.6195867834501</v>
      </c>
      <c r="C32" s="39">
        <f>IF(ISERROR(B32*3.6/1000000/'E Balans VL '!Z8*100),0,B32*3.6/1000000/'E Balans VL '!Z8*100)</f>
        <v>1.5488896204862617E-2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161680.8579491011</v>
      </c>
      <c r="C5" s="17">
        <f>IF(ISERROR('Eigen informatie GS &amp; warmtenet'!B59),0,'Eigen informatie GS &amp; warmtenet'!B59)</f>
        <v>0</v>
      </c>
      <c r="D5" s="30">
        <f>SUM(D6:D15)</f>
        <v>70109.399994535575</v>
      </c>
      <c r="E5" s="17">
        <f>SUM(E6:E15)</f>
        <v>13581.224472640106</v>
      </c>
      <c r="F5" s="17">
        <f>SUM(F6:F15)</f>
        <v>232084.67838922571</v>
      </c>
      <c r="G5" s="18"/>
      <c r="H5" s="17"/>
      <c r="I5" s="17"/>
      <c r="J5" s="17">
        <f>SUM(J6:J15)</f>
        <v>12.094351349475705</v>
      </c>
      <c r="K5" s="17"/>
      <c r="L5" s="17"/>
      <c r="M5" s="17"/>
      <c r="N5" s="17">
        <f>SUM(N6:N15)</f>
        <v>47335.293047354913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982.00904888776006</v>
      </c>
      <c r="C8" s="33"/>
      <c r="D8" s="37">
        <f>IF( ISERROR(IND_metaal_Gas_kWH/1000),0,IND_metaal_Gas_kWH/1000)*0.902</f>
        <v>97.862065683304053</v>
      </c>
      <c r="E8" s="33">
        <f>C30*'E Balans VL '!I18/100/3.6*1000000</f>
        <v>28.206985893831632</v>
      </c>
      <c r="F8" s="33">
        <f>C30*'E Balans VL '!L18/100/3.6*1000000+C30*'E Balans VL '!N18/100/3.6*1000000</f>
        <v>251.8664342914615</v>
      </c>
      <c r="G8" s="34"/>
      <c r="H8" s="33"/>
      <c r="I8" s="33"/>
      <c r="J8" s="40">
        <f>C30*'E Balans VL '!D18/100/3.6*1000000+C30*'E Balans VL '!E18/100/3.6*1000000</f>
        <v>0</v>
      </c>
      <c r="K8" s="33"/>
      <c r="L8" s="33"/>
      <c r="M8" s="33"/>
      <c r="N8" s="33">
        <f>C30*'E Balans VL '!Y18/100/3.6*1000000</f>
        <v>26.663550241773596</v>
      </c>
      <c r="O8" s="33"/>
      <c r="P8" s="33"/>
      <c r="R8" s="32"/>
    </row>
    <row r="9" spans="1:18">
      <c r="A9" s="6" t="s">
        <v>33</v>
      </c>
      <c r="B9" s="37">
        <f t="shared" si="0"/>
        <v>2996.7768478374001</v>
      </c>
      <c r="C9" s="33"/>
      <c r="D9" s="37">
        <f>IF( ISERROR(IND_andere_gas_kWh/1000),0,IND_andere_gas_kWh/1000)*0.902</f>
        <v>1827.2995260749187</v>
      </c>
      <c r="E9" s="33">
        <f>C31*'E Balans VL '!I19/100/3.6*1000000</f>
        <v>811.15381083601937</v>
      </c>
      <c r="F9" s="33">
        <f>C31*'E Balans VL '!L19/100/3.6*1000000+C31*'E Balans VL '!N19/100/3.6*1000000</f>
        <v>1996.170505894579</v>
      </c>
      <c r="G9" s="34"/>
      <c r="H9" s="33"/>
      <c r="I9" s="33"/>
      <c r="J9" s="40">
        <f>C31*'E Balans VL '!D19/100/3.6*1000000+C31*'E Balans VL '!E19/100/3.6*1000000</f>
        <v>0</v>
      </c>
      <c r="K9" s="33"/>
      <c r="L9" s="33"/>
      <c r="M9" s="33"/>
      <c r="N9" s="33">
        <f>C31*'E Balans VL '!Y19/100/3.6*1000000</f>
        <v>978.3978600936905</v>
      </c>
      <c r="O9" s="33"/>
      <c r="P9" s="33"/>
      <c r="R9" s="32"/>
    </row>
    <row r="10" spans="1:18">
      <c r="A10" s="6" t="s">
        <v>41</v>
      </c>
      <c r="B10" s="37">
        <f t="shared" si="0"/>
        <v>153508.83035936902</v>
      </c>
      <c r="C10" s="33"/>
      <c r="D10" s="37">
        <f>IF( ISERROR(IND_voed_gas_kWh/1000),0,IND_voed_gas_kWh/1000)*0.902</f>
        <v>34556.023223853859</v>
      </c>
      <c r="E10" s="33">
        <f>C32*'E Balans VL '!I20/100/3.6*1000000</f>
        <v>12520.532881470748</v>
      </c>
      <c r="F10" s="33">
        <f>C32*'E Balans VL '!L20/100/3.6*1000000+C32*'E Balans VL '!N20/100/3.6*1000000</f>
        <v>228895.59360725858</v>
      </c>
      <c r="G10" s="34"/>
      <c r="H10" s="33"/>
      <c r="I10" s="33"/>
      <c r="J10" s="40">
        <f>C32*'E Balans VL '!D20/100/3.6*1000000+C32*'E Balans VL '!E20/100/3.6*1000000</f>
        <v>2.0307354909313129</v>
      </c>
      <c r="K10" s="33"/>
      <c r="L10" s="33"/>
      <c r="M10" s="33"/>
      <c r="N10" s="33">
        <f>C32*'E Balans VL '!Y20/100/3.6*1000000</f>
        <v>45095.477617034994</v>
      </c>
      <c r="O10" s="33"/>
      <c r="P10" s="33"/>
      <c r="R10" s="32"/>
    </row>
    <row r="11" spans="1:18">
      <c r="A11" s="6" t="s">
        <v>40</v>
      </c>
      <c r="B11" s="37">
        <f t="shared" si="0"/>
        <v>49.774414127441602</v>
      </c>
      <c r="C11" s="33"/>
      <c r="D11" s="37">
        <f>IF( ISERROR(IND_textiel_gas_kWh/1000),0,IND_textiel_gas_kWh/1000)*0.902</f>
        <v>0</v>
      </c>
      <c r="E11" s="33">
        <f>C33*'E Balans VL '!I21/100/3.6*1000000</f>
        <v>9.8663072501247902E-3</v>
      </c>
      <c r="F11" s="33">
        <f>C33*'E Balans VL '!L21/100/3.6*1000000+C33*'E Balans VL '!N21/100/3.6*1000000</f>
        <v>1.8332517253360274</v>
      </c>
      <c r="G11" s="34"/>
      <c r="H11" s="33"/>
      <c r="I11" s="33"/>
      <c r="J11" s="40">
        <f>C33*'E Balans VL '!D21/100/3.6*1000000+C33*'E Balans VL '!E21/100/3.6*1000000</f>
        <v>0</v>
      </c>
      <c r="K11" s="33"/>
      <c r="L11" s="33"/>
      <c r="M11" s="33"/>
      <c r="N11" s="33">
        <f>C33*'E Balans VL '!Y21/100/3.6*1000000</f>
        <v>0.2314384605475846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217.065038568836</v>
      </c>
      <c r="C13" s="33"/>
      <c r="D13" s="37">
        <f>IF( ISERROR(IND_papier_gas_kWh/1000),0,IND_papier_gas_kWh/1000)*0.902</f>
        <v>0</v>
      </c>
      <c r="E13" s="33">
        <f>C35*'E Balans VL '!I23/100/3.6*1000000</f>
        <v>2.2741517232487145</v>
      </c>
      <c r="F13" s="33">
        <f>C35*'E Balans VL '!L23/100/3.6*1000000+C35*'E Balans VL '!N23/100/3.6*1000000</f>
        <v>16.197431651923534</v>
      </c>
      <c r="G13" s="34"/>
      <c r="H13" s="33"/>
      <c r="I13" s="33"/>
      <c r="J13" s="40">
        <f>C35*'E Balans VL '!D23/100/3.6*1000000+C35*'E Balans VL '!E23/100/3.6*1000000</f>
        <v>0</v>
      </c>
      <c r="K13" s="33"/>
      <c r="L13" s="33"/>
      <c r="M13" s="33"/>
      <c r="N13" s="33">
        <f>C35*'E Balans VL '!Y23/100/3.6*1000000</f>
        <v>463.95386338055704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3926.4022403106401</v>
      </c>
      <c r="C15" s="33"/>
      <c r="D15" s="37">
        <f>IF( ISERROR(IND_rest_gas_kWh/1000),0,IND_rest_gas_kWh/1000)*0.902</f>
        <v>33628.215178923492</v>
      </c>
      <c r="E15" s="33">
        <f>C37*'E Balans VL '!I15/100/3.6*1000000</f>
        <v>219.04677640900942</v>
      </c>
      <c r="F15" s="33">
        <f>C37*'E Balans VL '!L15/100/3.6*1000000+C37*'E Balans VL '!N15/100/3.6*1000000</f>
        <v>923.01715840381621</v>
      </c>
      <c r="G15" s="34"/>
      <c r="H15" s="33"/>
      <c r="I15" s="33"/>
      <c r="J15" s="40">
        <f>C37*'E Balans VL '!D15/100/3.6*1000000+C37*'E Balans VL '!E15/100/3.6*1000000</f>
        <v>10.063615858544392</v>
      </c>
      <c r="K15" s="33"/>
      <c r="L15" s="33"/>
      <c r="M15" s="33"/>
      <c r="N15" s="33">
        <f>C37*'E Balans VL '!Y15/100/3.6*1000000</f>
        <v>770.56871814334806</v>
      </c>
      <c r="O15" s="33"/>
      <c r="P15" s="33"/>
      <c r="R15" s="32"/>
    </row>
    <row r="16" spans="1:18">
      <c r="A16" s="16" t="s">
        <v>497</v>
      </c>
      <c r="B16" s="249">
        <f>'lokale energieproductie'!N89+'lokale energieproductie'!N58</f>
        <v>1309.5</v>
      </c>
      <c r="C16" s="249">
        <f>'lokale energieproductie'!O89+'lokale energieproductie'!O58</f>
        <v>1870.7142857142858</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-3741.4285714285716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162990.3579491011</v>
      </c>
      <c r="C18" s="21">
        <f>C5+C16</f>
        <v>1870.7142857142858</v>
      </c>
      <c r="D18" s="21">
        <f>MAX((D5+D16),0)</f>
        <v>70109.399994535575</v>
      </c>
      <c r="E18" s="21">
        <f>MAX((E5+E16),0)</f>
        <v>13581.224472640106</v>
      </c>
      <c r="F18" s="21">
        <f>MAX((F5+F16),0)</f>
        <v>232084.67838922571</v>
      </c>
      <c r="G18" s="21"/>
      <c r="H18" s="21"/>
      <c r="I18" s="21"/>
      <c r="J18" s="21">
        <f>MAX((J5+J16),0)</f>
        <v>12.094351349475705</v>
      </c>
      <c r="K18" s="21"/>
      <c r="L18" s="21">
        <f>MAX((L5+L16),0)</f>
        <v>0</v>
      </c>
      <c r="M18" s="21"/>
      <c r="N18" s="21">
        <f>MAX((N5+N16),0)</f>
        <v>43593.864475926341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0.21408263975884012</v>
      </c>
      <c r="C20" s="25">
        <f ca="1">'EF ele_warmte'!B22</f>
        <v>0.22924320730844291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34893.406084981812</v>
      </c>
      <c r="C22" s="23">
        <f ca="1">C18*C20</f>
        <v>428.84854281486571</v>
      </c>
      <c r="D22" s="23">
        <f>D18*D20</f>
        <v>14162.098798896188</v>
      </c>
      <c r="E22" s="23">
        <f>E18*E20</f>
        <v>3082.9379552893042</v>
      </c>
      <c r="F22" s="23">
        <f>F18*F20</f>
        <v>61966.609129923265</v>
      </c>
      <c r="G22" s="23"/>
      <c r="H22" s="23"/>
      <c r="I22" s="23"/>
      <c r="J22" s="23">
        <f>J18*J20</f>
        <v>4.281400377714399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982.00904888776006</v>
      </c>
      <c r="C30" s="39">
        <f>IF(ISERROR(B30*3.6/1000000/'E Balans VL '!Z18*100),0,B30*3.6/1000000/'E Balans VL '!Z18*100)</f>
        <v>9.6627183608491013E-2</v>
      </c>
      <c r="D30" s="239" t="s">
        <v>692</v>
      </c>
    </row>
    <row r="31" spans="1:18">
      <c r="A31" s="6" t="s">
        <v>33</v>
      </c>
      <c r="B31" s="37">
        <f>IF( ISERROR(IND_ander_ele_kWh/1000),0,IND_ander_ele_kWh/1000)</f>
        <v>2996.7768478374001</v>
      </c>
      <c r="C31" s="39">
        <f>IF(ISERROR(B31*3.6/1000000/'E Balans VL '!Z19*100),0,B31*3.6/1000000/'E Balans VL '!Z19*100)</f>
        <v>0.13050724121797527</v>
      </c>
      <c r="D31" s="239" t="s">
        <v>692</v>
      </c>
    </row>
    <row r="32" spans="1:18">
      <c r="A32" s="173" t="s">
        <v>41</v>
      </c>
      <c r="B32" s="37">
        <f>IF( ISERROR(IND_voed_ele_kWh/1000),0,IND_voed_ele_kWh/1000)</f>
        <v>153508.83035936902</v>
      </c>
      <c r="C32" s="39">
        <f>IF(ISERROR(B32*3.6/1000000/'E Balans VL '!Z20*100),0,B32*3.6/1000000/'E Balans VL '!Z20*100)</f>
        <v>29.126086722519677</v>
      </c>
      <c r="D32" s="239" t="s">
        <v>692</v>
      </c>
    </row>
    <row r="33" spans="1:5">
      <c r="A33" s="173" t="s">
        <v>40</v>
      </c>
      <c r="B33" s="37">
        <f>IF( ISERROR(IND_textiel_ele_kWh/1000),0,IND_textiel_ele_kWh/1000)</f>
        <v>49.774414127441602</v>
      </c>
      <c r="C33" s="39">
        <f>IF(ISERROR(B33*3.6/1000000/'E Balans VL '!Z21*100),0,B33*3.6/1000000/'E Balans VL '!Z21*100)</f>
        <v>2.8418666279122198E-3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217.065038568836</v>
      </c>
      <c r="C35" s="39">
        <f>IF(ISERROR(B35*3.6/1000000/'E Balans VL '!Z22*100),0,B35*3.6/1000000/'E Balans VL '!Z22*100)</f>
        <v>3.0521524121955232E-2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3926.4022403106401</v>
      </c>
      <c r="C37" s="39">
        <f>IF(ISERROR(B37*3.6/1000000/'E Balans VL '!Z15*100),0,B37*3.6/1000000/'E Balans VL '!Z15*100)</f>
        <v>3.0257751877623414E-2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8511.3248210078145</v>
      </c>
      <c r="C5" s="17">
        <f>'Eigen informatie GS &amp; warmtenet'!B60</f>
        <v>0</v>
      </c>
      <c r="D5" s="30">
        <f>IF(ISERROR(SUM(LB_lb_gas_kWh,LB_rest_gas_kWh,onbekend_gas_kWh)/1000),0,SUM(LB_lb_gas_kWh,LB_rest_gas_kWh,onbekend_gas_kWh)/1000)*0.902</f>
        <v>111124.66393989291</v>
      </c>
      <c r="E5" s="17">
        <f>B17*'E Balans VL '!I25/3.6*1000000/100</f>
        <v>107.25365756044057</v>
      </c>
      <c r="F5" s="17">
        <f>B17*('E Balans VL '!L25/3.6*1000000+'E Balans VL '!N25/3.6*1000000)/100</f>
        <v>29366.202846749653</v>
      </c>
      <c r="G5" s="18"/>
      <c r="H5" s="17"/>
      <c r="I5" s="17"/>
      <c r="J5" s="17">
        <f>('E Balans VL '!D25+'E Balans VL '!E25)/3.6*1000000*landbouw!B17/100</f>
        <v>1280.0064997537529</v>
      </c>
      <c r="K5" s="17"/>
      <c r="L5" s="17">
        <f>L6*(-1)</f>
        <v>0</v>
      </c>
      <c r="M5" s="17"/>
      <c r="N5" s="17">
        <f>N6*(-1)</f>
        <v>0</v>
      </c>
      <c r="O5" s="17"/>
      <c r="P5" s="17"/>
      <c r="R5" s="32"/>
    </row>
    <row r="6" spans="1:18">
      <c r="A6" s="16" t="s">
        <v>497</v>
      </c>
      <c r="B6" s="17" t="s">
        <v>211</v>
      </c>
      <c r="C6" s="17">
        <f>'lokale energieproductie'!O91+'lokale energieproductie'!O60</f>
        <v>51030</v>
      </c>
      <c r="D6" s="312">
        <f>('lokale energieproductie'!P60+'lokale energieproductie'!P91)*(-1)</f>
        <v>-102060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8511.3248210078145</v>
      </c>
      <c r="C8" s="21">
        <f>C5+C6</f>
        <v>51030</v>
      </c>
      <c r="D8" s="21">
        <f>MAX((D5+D6),0)</f>
        <v>9064.663939892911</v>
      </c>
      <c r="E8" s="21">
        <f>MAX((E5+E6),0)</f>
        <v>107.25365756044057</v>
      </c>
      <c r="F8" s="21">
        <f>MAX((F5+F6),0)</f>
        <v>29366.202846749653</v>
      </c>
      <c r="G8" s="21"/>
      <c r="H8" s="21"/>
      <c r="I8" s="21"/>
      <c r="J8" s="21">
        <f>MAX((J5+J6),0)</f>
        <v>1280.0064997537529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0.21408263975884012</v>
      </c>
      <c r="C10" s="31">
        <f ca="1">'EF ele_warmte'!B22</f>
        <v>0.22924320730844291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1822.1268855262904</v>
      </c>
      <c r="C12" s="23">
        <f ca="1">C8*C10</f>
        <v>11698.280868949842</v>
      </c>
      <c r="D12" s="23">
        <f>D8*D10</f>
        <v>1831.0621158583681</v>
      </c>
      <c r="E12" s="23">
        <f>E8*E10</f>
        <v>24.346580266220009</v>
      </c>
      <c r="F12" s="23">
        <f>F8*F10</f>
        <v>7840.7761600821577</v>
      </c>
      <c r="G12" s="23"/>
      <c r="H12" s="23"/>
      <c r="I12" s="23"/>
      <c r="J12" s="23">
        <f>J8*J10</f>
        <v>453.12230091282851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1.187061551143813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457.39426249238625</v>
      </c>
      <c r="C26" s="249">
        <f>B26*'GWP N2O_CH4'!B5</f>
        <v>9605.279512340112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739.96175983972648</v>
      </c>
      <c r="C27" s="249">
        <f>B27*'GWP N2O_CH4'!B5</f>
        <v>15539.196956634256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8.6331049324699727</v>
      </c>
      <c r="C28" s="249">
        <f>B28*'GWP N2O_CH4'!B4</f>
        <v>2676.2625290656915</v>
      </c>
      <c r="D28" s="50"/>
    </row>
    <row r="29" spans="1:4">
      <c r="A29" s="41" t="s">
        <v>277</v>
      </c>
      <c r="B29" s="249">
        <f>B34*'ha_N2O bodem landbouw'!B4</f>
        <v>19.216069526218803</v>
      </c>
      <c r="C29" s="249">
        <f>B29*'GWP N2O_CH4'!B4</f>
        <v>5956.9815531278291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4.7980605483710246E-3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1.0769624901436864E-5</v>
      </c>
      <c r="C5" s="448" t="s">
        <v>211</v>
      </c>
      <c r="D5" s="433">
        <f>SUM(D6:D11)</f>
        <v>2.0117167773210964E-5</v>
      </c>
      <c r="E5" s="433">
        <f>SUM(E6:E11)</f>
        <v>6.0432066667607154E-4</v>
      </c>
      <c r="F5" s="446" t="s">
        <v>211</v>
      </c>
      <c r="G5" s="433">
        <f>SUM(G6:G11)</f>
        <v>0.16008117046075079</v>
      </c>
      <c r="H5" s="433">
        <f>SUM(H6:H11)</f>
        <v>2.9858070994187021E-2</v>
      </c>
      <c r="I5" s="448" t="s">
        <v>211</v>
      </c>
      <c r="J5" s="448" t="s">
        <v>211</v>
      </c>
      <c r="K5" s="448" t="s">
        <v>211</v>
      </c>
      <c r="L5" s="448" t="s">
        <v>211</v>
      </c>
      <c r="M5" s="433">
        <f>SUM(M6:M11)</f>
        <v>8.5870062994090474E-3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6.3737483825673469E-6</v>
      </c>
      <c r="C6" s="949"/>
      <c r="D6" s="949">
        <f>vkm_2011_GW_PW*SUMIFS(TableVerdeelsleutelVkm[CNG],TableVerdeelsleutelVkm[Voertuigtype],"Lichte voertuigen")*SUMIFS(TableECFTransport[EnergieConsumptieFactor (PJ per km)],TableECFTransport[Index],CONCATENATE($A6,"_CNG_CNG"))</f>
        <v>9.0264742913403513E-6</v>
      </c>
      <c r="E6" s="949">
        <f>vkm_2011_GW_PW*SUMIFS(TableVerdeelsleutelVkm[LPG],TableVerdeelsleutelVkm[Voertuigtype],"Lichte voertuigen")*SUMIFS(TableECFTransport[EnergieConsumptieFactor (PJ per km)],TableECFTransport[Index],CONCATENATE($A6,"_LPG_LPG"))</f>
        <v>2.8349184155312647E-4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5.0951246511825393E-2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1.3652796487271995E-2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2.922893332939794E-3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3.4422758463552409E-2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1.2230049229538789E-5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1.5533901489436651E-3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4.3958765188695169E-6</v>
      </c>
      <c r="C8" s="949"/>
      <c r="D8" s="436">
        <f>vkm_2011_NGW_PW*SUMIFS(TableVerdeelsleutelVkm[CNG],TableVerdeelsleutelVkm[Voertuigtype],"Lichte voertuigen")*SUMIFS(TableECFTransport[EnergieConsumptieFactor (PJ per km)],TableECFTransport[Index],CONCATENATE($A8,"_CNG_CNG"))</f>
        <v>1.1090693481870613E-5</v>
      </c>
      <c r="E8" s="436">
        <f>vkm_2011_NGW_PW*SUMIFS(TableVerdeelsleutelVkm[LPG],TableVerdeelsleutelVkm[Voertuigtype],"Lichte voertuigen")*SUMIFS(TableECFTransport[EnergieConsumptieFactor (PJ per km)],TableECFTransport[Index],CONCATENATE($A8,"_LPG_LPG"))</f>
        <v>3.2082882512294501E-4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5.4383596934364571E-2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1.6186211524027726E-2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3.1936022266015182E-3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2.032356855100843E-2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6.8329336577587762E-6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9.1712059092406934E-4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2.991562472621351</v>
      </c>
      <c r="C14" s="21"/>
      <c r="D14" s="21">
        <f t="shared" ref="D14:M14" si="0">((D5)*10^9/3600)+D12</f>
        <v>5.5881021592252678</v>
      </c>
      <c r="E14" s="21">
        <f t="shared" si="0"/>
        <v>167.86685185446433</v>
      </c>
      <c r="F14" s="21"/>
      <c r="G14" s="21">
        <f t="shared" si="0"/>
        <v>44466.991794652997</v>
      </c>
      <c r="H14" s="21">
        <f t="shared" si="0"/>
        <v>8293.908609496395</v>
      </c>
      <c r="I14" s="21"/>
      <c r="J14" s="21"/>
      <c r="K14" s="21"/>
      <c r="L14" s="21"/>
      <c r="M14" s="21">
        <f t="shared" si="0"/>
        <v>2385.2795276136239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0.21408263975884012</v>
      </c>
      <c r="C16" s="56">
        <f ca="1">'EF ele_warmte'!B22</f>
        <v>0.22924320730844291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0.64044159114226173</v>
      </c>
      <c r="C18" s="23"/>
      <c r="D18" s="23">
        <f t="shared" ref="D18:M18" si="1">D14*D16</f>
        <v>1.1287966361635042</v>
      </c>
      <c r="E18" s="23">
        <f t="shared" si="1"/>
        <v>38.105775370963407</v>
      </c>
      <c r="F18" s="23"/>
      <c r="G18" s="23">
        <f t="shared" si="1"/>
        <v>11872.68680917235</v>
      </c>
      <c r="H18" s="23">
        <f t="shared" si="1"/>
        <v>2065.1832437646021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4.1901838398596021E-3</v>
      </c>
      <c r="H50" s="323">
        <f t="shared" si="2"/>
        <v>0</v>
      </c>
      <c r="I50" s="323">
        <f t="shared" si="2"/>
        <v>0</v>
      </c>
      <c r="J50" s="323">
        <f t="shared" si="2"/>
        <v>0</v>
      </c>
      <c r="K50" s="323">
        <f t="shared" si="2"/>
        <v>0</v>
      </c>
      <c r="L50" s="323">
        <f t="shared" si="2"/>
        <v>0</v>
      </c>
      <c r="M50" s="323">
        <f t="shared" si="2"/>
        <v>1.8634772419783889E-4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4.1901838398596021E-3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1.8634772419783889E-4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1163.9399555165562</v>
      </c>
      <c r="H54" s="21">
        <f t="shared" si="3"/>
        <v>0</v>
      </c>
      <c r="I54" s="21">
        <f t="shared" si="3"/>
        <v>0</v>
      </c>
      <c r="J54" s="21">
        <f t="shared" si="3"/>
        <v>0</v>
      </c>
      <c r="K54" s="21">
        <f t="shared" si="3"/>
        <v>0</v>
      </c>
      <c r="L54" s="21">
        <f t="shared" si="3"/>
        <v>0</v>
      </c>
      <c r="M54" s="21">
        <f t="shared" si="3"/>
        <v>51.763256721621914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0.21408263975884012</v>
      </c>
      <c r="C56" s="56">
        <f ca="1">'EF ele_warmte'!B22</f>
        <v>0.22924320730844291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310.7719681229205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7695.0197103142646</v>
      </c>
      <c r="C6" s="1251"/>
      <c r="D6" s="1236"/>
      <c r="E6" s="1236"/>
      <c r="F6" s="1254"/>
      <c r="G6" s="1257"/>
      <c r="H6" s="1248"/>
      <c r="I6" s="1236"/>
      <c r="J6" s="1236"/>
      <c r="K6" s="1236"/>
      <c r="L6" s="1240"/>
      <c r="M6" s="561"/>
      <c r="N6" s="1214"/>
      <c r="O6" s="1215"/>
      <c r="Q6" s="559"/>
      <c r="R6" s="1202"/>
      <c r="S6" s="1202"/>
    </row>
    <row r="7" spans="1:19" s="549" customFormat="1">
      <c r="A7" s="562" t="s">
        <v>252</v>
      </c>
      <c r="B7" s="563">
        <f>N57</f>
        <v>37030.5</v>
      </c>
      <c r="C7" s="564">
        <f>B100</f>
        <v>42024.705882352937</v>
      </c>
      <c r="D7" s="565"/>
      <c r="E7" s="565">
        <f>E100</f>
        <v>0</v>
      </c>
      <c r="F7" s="566"/>
      <c r="G7" s="567"/>
      <c r="H7" s="565">
        <f>I100</f>
        <v>0</v>
      </c>
      <c r="I7" s="565">
        <f>G100+F100</f>
        <v>0</v>
      </c>
      <c r="J7" s="565">
        <f>H100+D100+C100</f>
        <v>1540.5882352941176</v>
      </c>
      <c r="K7" s="565"/>
      <c r="L7" s="568"/>
      <c r="M7" s="569">
        <f>C7*$C$11+D7*$D$11+E7*$E$11+F7*$F$11+G7*$G$11+H7*$H$11+I7*$I$11+J7*$J$11</f>
        <v>8488.9905882352941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44725.519710314264</v>
      </c>
      <c r="C9" s="580">
        <f t="shared" ref="C9:L9" si="0">SUM(C7:C8)</f>
        <v>42024.705882352937</v>
      </c>
      <c r="D9" s="580">
        <f t="shared" si="0"/>
        <v>0</v>
      </c>
      <c r="E9" s="580">
        <f t="shared" si="0"/>
        <v>0</v>
      </c>
      <c r="F9" s="580">
        <f t="shared" si="0"/>
        <v>0</v>
      </c>
      <c r="G9" s="580">
        <f t="shared" si="0"/>
        <v>0</v>
      </c>
      <c r="H9" s="580">
        <f t="shared" si="0"/>
        <v>0</v>
      </c>
      <c r="I9" s="580">
        <f t="shared" si="0"/>
        <v>0</v>
      </c>
      <c r="J9" s="580">
        <f t="shared" si="0"/>
        <v>1540.5882352941176</v>
      </c>
      <c r="K9" s="580">
        <f t="shared" si="0"/>
        <v>0</v>
      </c>
      <c r="L9" s="580">
        <f t="shared" si="0"/>
        <v>0</v>
      </c>
      <c r="M9" s="581">
        <f>SUM(M4:M8)</f>
        <v>8488.9905882352941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52900.71428571429</v>
      </c>
      <c r="C16" s="596">
        <f>B101</f>
        <v>60035.294117647063</v>
      </c>
      <c r="D16" s="597"/>
      <c r="E16" s="597">
        <f>E101</f>
        <v>0</v>
      </c>
      <c r="F16" s="598"/>
      <c r="G16" s="599"/>
      <c r="H16" s="596">
        <f>I101</f>
        <v>0</v>
      </c>
      <c r="I16" s="597">
        <f>G101+F101</f>
        <v>0</v>
      </c>
      <c r="J16" s="597">
        <f>H101+D101+C101</f>
        <v>2200.840336134454</v>
      </c>
      <c r="K16" s="597"/>
      <c r="L16" s="600"/>
      <c r="M16" s="601">
        <f>C16*$C$21+E16*$E$21+H16*$H$21+I16*$I$21+J16*$J$21+D16*$D$21+F16*$F$21+G16*$G$21+K16*$K$21+L16*$L$21</f>
        <v>12127.129411764707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52900.71428571429</v>
      </c>
      <c r="C19" s="579">
        <f>SUM(C16:C18)</f>
        <v>60035.294117647063</v>
      </c>
      <c r="D19" s="579">
        <f t="shared" ref="D19:M19" si="1">SUM(D16:D18)</f>
        <v>0</v>
      </c>
      <c r="E19" s="579">
        <f t="shared" si="1"/>
        <v>0</v>
      </c>
      <c r="F19" s="579">
        <f t="shared" si="1"/>
        <v>0</v>
      </c>
      <c r="G19" s="579">
        <f t="shared" si="1"/>
        <v>0</v>
      </c>
      <c r="H19" s="579">
        <f t="shared" si="1"/>
        <v>0</v>
      </c>
      <c r="I19" s="579">
        <f t="shared" si="1"/>
        <v>0</v>
      </c>
      <c r="J19" s="579">
        <f t="shared" si="1"/>
        <v>2200.840336134454</v>
      </c>
      <c r="K19" s="579">
        <f t="shared" si="1"/>
        <v>0</v>
      </c>
      <c r="L19" s="579">
        <f t="shared" si="1"/>
        <v>0</v>
      </c>
      <c r="M19" s="606">
        <f t="shared" si="1"/>
        <v>12127.129411764707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36019</v>
      </c>
      <c r="C27" s="839">
        <v>8840</v>
      </c>
      <c r="D27" s="658" t="s">
        <v>878</v>
      </c>
      <c r="E27" s="657" t="s">
        <v>879</v>
      </c>
      <c r="F27" s="657" t="s">
        <v>880</v>
      </c>
      <c r="G27" s="657" t="s">
        <v>881</v>
      </c>
      <c r="H27" s="657" t="s">
        <v>882</v>
      </c>
      <c r="I27" s="657" t="s">
        <v>883</v>
      </c>
      <c r="J27" s="838">
        <v>38990</v>
      </c>
      <c r="K27" s="838">
        <v>38412</v>
      </c>
      <c r="L27" s="657" t="s">
        <v>884</v>
      </c>
      <c r="M27" s="657">
        <v>291</v>
      </c>
      <c r="N27" s="657">
        <v>1309.5</v>
      </c>
      <c r="O27" s="657">
        <v>1870.7142857142858</v>
      </c>
      <c r="P27" s="657">
        <v>0</v>
      </c>
      <c r="Q27" s="657">
        <v>3741.4285714285716</v>
      </c>
      <c r="R27" s="657">
        <v>0</v>
      </c>
      <c r="S27" s="657">
        <v>0</v>
      </c>
      <c r="T27" s="657">
        <v>0</v>
      </c>
      <c r="U27" s="657">
        <v>0</v>
      </c>
      <c r="V27" s="657">
        <v>0</v>
      </c>
      <c r="W27" s="657">
        <v>0</v>
      </c>
      <c r="X27" s="657">
        <v>500</v>
      </c>
      <c r="Y27" s="657" t="s">
        <v>41</v>
      </c>
      <c r="Z27" s="659" t="s">
        <v>390</v>
      </c>
    </row>
    <row r="28" spans="1:26" s="611" customFormat="1" ht="25.5">
      <c r="A28" s="610"/>
      <c r="B28" s="839">
        <v>36019</v>
      </c>
      <c r="C28" s="839">
        <v>884</v>
      </c>
      <c r="D28" s="658" t="s">
        <v>885</v>
      </c>
      <c r="E28" s="657" t="s">
        <v>886</v>
      </c>
      <c r="F28" s="657" t="s">
        <v>887</v>
      </c>
      <c r="G28" s="657" t="s">
        <v>881</v>
      </c>
      <c r="H28" s="657" t="s">
        <v>882</v>
      </c>
      <c r="I28" s="657" t="s">
        <v>886</v>
      </c>
      <c r="J28" s="838">
        <v>39912</v>
      </c>
      <c r="K28" s="838">
        <v>39923</v>
      </c>
      <c r="L28" s="657" t="s">
        <v>884</v>
      </c>
      <c r="M28" s="657">
        <v>2000</v>
      </c>
      <c r="N28" s="657">
        <v>9000</v>
      </c>
      <c r="O28" s="657">
        <v>12857.142857142857</v>
      </c>
      <c r="P28" s="657">
        <v>25714.285714285717</v>
      </c>
      <c r="Q28" s="657">
        <v>0</v>
      </c>
      <c r="R28" s="657">
        <v>0</v>
      </c>
      <c r="S28" s="657">
        <v>0</v>
      </c>
      <c r="T28" s="657">
        <v>0</v>
      </c>
      <c r="U28" s="657">
        <v>0</v>
      </c>
      <c r="V28" s="657">
        <v>0</v>
      </c>
      <c r="W28" s="657">
        <v>0</v>
      </c>
      <c r="X28" s="657">
        <v>10</v>
      </c>
      <c r="Y28" s="657" t="s">
        <v>112</v>
      </c>
      <c r="Z28" s="659" t="s">
        <v>112</v>
      </c>
    </row>
    <row r="29" spans="1:26" s="611" customFormat="1" ht="25.5">
      <c r="A29" s="610"/>
      <c r="B29" s="839">
        <v>36019</v>
      </c>
      <c r="C29" s="839">
        <v>8840</v>
      </c>
      <c r="D29" s="658" t="s">
        <v>885</v>
      </c>
      <c r="E29" s="657" t="s">
        <v>886</v>
      </c>
      <c r="F29" s="657" t="s">
        <v>888</v>
      </c>
      <c r="G29" s="657" t="s">
        <v>881</v>
      </c>
      <c r="H29" s="657" t="s">
        <v>882</v>
      </c>
      <c r="I29" s="657" t="s">
        <v>889</v>
      </c>
      <c r="J29" s="838">
        <v>40557</v>
      </c>
      <c r="K29" s="838">
        <v>40576</v>
      </c>
      <c r="L29" s="657" t="s">
        <v>884</v>
      </c>
      <c r="M29" s="657">
        <v>2000</v>
      </c>
      <c r="N29" s="657">
        <v>9000</v>
      </c>
      <c r="O29" s="657">
        <v>12857.142857142857</v>
      </c>
      <c r="P29" s="657">
        <v>25714.285714285717</v>
      </c>
      <c r="Q29" s="657">
        <v>0</v>
      </c>
      <c r="R29" s="657">
        <v>0</v>
      </c>
      <c r="S29" s="657">
        <v>0</v>
      </c>
      <c r="T29" s="657">
        <v>0</v>
      </c>
      <c r="U29" s="657">
        <v>0</v>
      </c>
      <c r="V29" s="657">
        <v>0</v>
      </c>
      <c r="W29" s="657">
        <v>0</v>
      </c>
      <c r="X29" s="657">
        <v>10</v>
      </c>
      <c r="Y29" s="657" t="s">
        <v>112</v>
      </c>
      <c r="Z29" s="659" t="s">
        <v>112</v>
      </c>
    </row>
    <row r="30" spans="1:26" s="611" customFormat="1" ht="25.5">
      <c r="A30" s="610"/>
      <c r="B30" s="839">
        <v>36019</v>
      </c>
      <c r="C30" s="839">
        <v>8840</v>
      </c>
      <c r="D30" s="658" t="s">
        <v>890</v>
      </c>
      <c r="E30" s="657" t="s">
        <v>891</v>
      </c>
      <c r="F30" s="657" t="s">
        <v>892</v>
      </c>
      <c r="G30" s="657" t="s">
        <v>881</v>
      </c>
      <c r="H30" s="657" t="s">
        <v>882</v>
      </c>
      <c r="I30" s="657" t="s">
        <v>891</v>
      </c>
      <c r="J30" s="838">
        <v>40910</v>
      </c>
      <c r="K30" s="838">
        <v>39792</v>
      </c>
      <c r="L30" s="657" t="s">
        <v>884</v>
      </c>
      <c r="M30" s="657">
        <v>3938</v>
      </c>
      <c r="N30" s="657">
        <v>17721</v>
      </c>
      <c r="O30" s="657">
        <v>25315.714285714286</v>
      </c>
      <c r="P30" s="657">
        <v>50631.428571428572</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8229</v>
      </c>
      <c r="N57" s="615">
        <f>SUM(N27:N56)</f>
        <v>37030.5</v>
      </c>
      <c r="O57" s="615">
        <f t="shared" ref="O57:W57" si="2">SUM(O27:O56)</f>
        <v>52900.71428571429</v>
      </c>
      <c r="P57" s="615">
        <f t="shared" si="2"/>
        <v>102060</v>
      </c>
      <c r="Q57" s="615">
        <f t="shared" si="2"/>
        <v>3741.4285714285716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291</v>
      </c>
      <c r="N58" s="615">
        <f t="shared" ref="N58:W58" si="3">SUMIF($Z$27:$Z$56,"industrie",N27:N56)</f>
        <v>1309.5</v>
      </c>
      <c r="O58" s="615">
        <f t="shared" si="3"/>
        <v>1870.7142857142858</v>
      </c>
      <c r="P58" s="615">
        <f t="shared" si="3"/>
        <v>0</v>
      </c>
      <c r="Q58" s="615">
        <f t="shared" si="3"/>
        <v>3741.4285714285716</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7938</v>
      </c>
      <c r="N60" s="620">
        <f t="shared" ref="N60:W60" si="4">SUMIF($Z$27:$Z$56,"landbouw",N27:N56)</f>
        <v>35721</v>
      </c>
      <c r="O60" s="620">
        <f t="shared" si="4"/>
        <v>51030</v>
      </c>
      <c r="P60" s="620">
        <f t="shared" si="4"/>
        <v>102060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42024.705882352937</v>
      </c>
      <c r="C100" s="649">
        <f t="shared" si="9"/>
        <v>1540.5882352941176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60035.294117647063</v>
      </c>
      <c r="C101" s="652">
        <f t="shared" ref="C101:H101" si="10">$B$97*Q57</f>
        <v>2200.840336134454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2019-01-02T18:04:20Z</dcterms:modified>
</cp:coreProperties>
</file>