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F13"/>
  <c r="F15" s="1"/>
  <c r="F23" s="1"/>
  <c r="N55"/>
  <c r="N22" i="16"/>
  <c r="O39" i="14" s="1"/>
  <c r="O41" s="1"/>
  <c r="O53" s="1"/>
  <c r="E22" i="16"/>
  <c r="F39" i="14" s="1"/>
  <c r="F41" s="1"/>
  <c r="F53" s="1"/>
  <c r="F55" s="1"/>
  <c r="K13"/>
  <c r="K15" s="1"/>
  <c r="K23" s="1"/>
  <c r="K55" s="1"/>
  <c r="N25" i="48"/>
  <c r="N31" s="1"/>
  <c r="N14"/>
  <c r="E25"/>
  <c r="E31" s="1"/>
  <c r="E14"/>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<sst xmlns="http://schemas.openxmlformats.org/spreadsheetml/2006/main" count="2151" uniqueCount="878">
  <si>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</si>
  <si>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</si>
  <si>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</si>
  <si>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</si>
  <si>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</si>
  <si>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</si>
  <si>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</si>
  <si>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</si>
  <si>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</si>
  <si>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</si>
  <si>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</si>
  <si>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</si>
  <si>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</si>
  <si>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</si>
  <si>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</si>
  <si>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</si>
  <si>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</si>
  <si>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</si>
  <si>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</si>
  <si>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</si>
  <si>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</si>
  <si>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</si>
  <si>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</si>
  <si>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</si>
  <si>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</si>
  <si>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</si>
  <si>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</si>
  <si>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</si>
  <si>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</si>
  <si>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</si>
  <si>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</si>
  <si>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</si>
  <si>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</si>
  <si>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</si>
  <si>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</si>
  <si>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</si>
  <si>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</si>
  <si>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</si>
  <si>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</si>
  <si>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</si>
  <si>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</si>
  <si>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</si>
  <si>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</si>
  <si>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</si>
  <si>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</si>
  <si>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</si>
  <si>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</si>
  <si>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</si>
  <si>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</si>
  <si>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</si>
  <si>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</si>
  <si>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</si>
  <si>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</si>
  <si>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</si>
  <si>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</si>
  <si>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</si>
  <si>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</si>
  <si>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</si>
  <si>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</si>
  <si>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</si>
  <si>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</si>
  <si>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</si>
  <si>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</si>
  <si>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</si>
  <si>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</si>
  <si>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</si>
  <si>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</si>
  <si>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</si>
  <si>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</si>
  <si>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</si>
  <si>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</si>
  <si>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</si>
  <si>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</si>
  <si>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</si>
  <si>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</si>
  <si>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</si>
  <si>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</si>
  <si>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</si>
  <si>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</si>
  <si>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</si>
  <si>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</si>
  <si>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</si>
  <si>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</si>
  <si>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</si>
  <si>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</si>
  <si>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</si>
  <si>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</si>
  <si>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</si>
  <si>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</si>
  <si>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</si>
  <si>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</si>
  <si>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</si>
  <si>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</si>
  <si>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</si>
  <si>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</si>
  <si>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</si>
  <si>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</si>
  <si>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</si>
  <si>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</si>
  <si>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</si>
  <si>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</si>
  <si>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</si>
  <si>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</si>
  <si>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</si>
  <si>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</si>
  <si>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</si>
  <si>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</si>
  <si>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</si>
  <si>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</si>
  <si>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</si>
  <si>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</si>
  <si>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</si>
  <si>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</si>
  <si>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</si>
  <si>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</si>
  <si>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</si>
  <si>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</si>
  <si>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</si>
  <si>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</si>
  <si>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</si>
  <si>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</si>
  <si>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</si>
  <si>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</si>
  <si>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</si>
  <si>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</si>
  <si>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</si>
  <si>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</si>
  <si>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</si>
  <si>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</si>
  <si>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</si>
  <si>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</si>
  <si>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</si>
  <si>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</si>
  <si>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</si>
  <si>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</si>
  <si>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</si>
  <si>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</si>
  <si>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</si>
  <si>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</si>
  <si>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</si>
  <si>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</si>
  <si>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</si>
  <si>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</si>
  <si>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</si>
  <si>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</si>
  <si>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</si>
  <si>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</si>
  <si>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</si>
  <si>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</si>
  <si>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</si>
  <si>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</si>
  <si>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</si>
  <si>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</si>
  <si>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</si>
  <si>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</si>
  <si>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</si>
  <si>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</si>
  <si>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</si>
  <si>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</si>
  <si>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</si>
  <si>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</si>
  <si>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</si>
  <si>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</si>
  <si>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</si>
  <si>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</si>
  <si>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</si>
  <si>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</si>
  <si>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</si>
  <si>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</si>
  <si>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</si>
  <si>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</si>
  <si>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</si>
  <si>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</si>
  <si>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</si>
  <si>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</si>
  <si>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</si>
  <si>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</si>
  <si>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</si>
  <si>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</si>
  <si>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</si>
  <si>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</si>
  <si>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</si>
  <si>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</si>
  <si>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</si>
  <si>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</si>
  <si>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</si>
  <si>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</si>
  <si>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</si>
  <si>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</si>
  <si>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</si>
  <si>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</si>
  <si>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</si>
  <si>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</si>
  <si>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</si>
  <si>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</si>
  <si>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</si>
  <si>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</si>
  <si>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</si>
  <si>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</si>
  <si>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</si>
  <si>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</si>
  <si>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</si>
  <si>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</si>
  <si>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</si>
  <si>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</si>
  <si>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</si>
  <si>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</si>
  <si>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</si>
  <si>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</si>
  <si>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</si>
  <si>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</si>
  <si>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</si>
  <si>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</si>
  <si>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</si>
  <si>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</si>
  <si>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</si>
  <si>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</si>
  <si>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</si>
  <si>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</si>
  <si>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</si>
  <si>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</si>
  <si>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</si>
  <si>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</si>
  <si>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</si>
  <si>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</si>
  <si>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</si>
  <si>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</si>
  <si>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</si>
  <si>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</si>
  <si>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</si>
  <si>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</si>
  <si>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</si>
  <si>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</si>
  <si>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</si>
  <si>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</si>
  <si>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</si>
  <si>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</si>
  <si>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</si>
  <si>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</si>
  <si>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</si>
  <si>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</si>
  <si>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</si>
  <si>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</si>
  <si>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</si>
  <si>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</si>
  <si>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</si>
  <si>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</si>
  <si>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</si>
  <si>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</si>
  <si>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</si>
  <si>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</si>
  <si>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</si>
  <si>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</si>
  <si>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</si>
  <si>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</si>
  <si>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</si>
  <si>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</si>
  <si>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</si>
  <si>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</si>
  <si>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</si>
  <si>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</si>
  <si>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</si>
  <si>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</si>
  <si>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</si>
  <si>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</si>
  <si>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</si>
  <si>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</si>
  <si>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</si>
  <si>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</si>
  <si>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</si>
  <si>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</si>
  <si>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</si>
  <si>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</si>
  <si>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</si>
  <si>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</si>
  <si>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</si>
  <si>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</si>
  <si>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</si>
  <si>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</si>
  <si>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</si>
  <si>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</si>
  <si>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</si>
  <si>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</si>
  <si>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</si>
  <si>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</si>
  <si>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</si>
  <si>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</si>
  <si>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</si>
  <si>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</si>
  <si>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</si>
  <si>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</si>
  <si>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</si>
  <si>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</si>
  <si>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</si>
  <si>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</si>
  <si>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</si>
  <si>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</si>
  <si>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</si>
  <si>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</si>
  <si>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</si>
  <si>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</si>
  <si>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</si>
  <si>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</si>
  <si>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</si>
  <si>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</si>
  <si>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</si>
  <si>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</si>
  <si>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</si>
  <si>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</si>
  <si>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</si>
  <si>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</si>
  <si>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</si>
  <si>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</si>
  <si>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</si>
  <si>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</si>
  <si>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</si>
  <si>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</si>
  <si>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</si>
  <si>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</si>
  <si>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</si>
  <si>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</si>
  <si>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</si>
  <si>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</si>
  <si>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</si>
  <si>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</si>
  <si>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</si>
  <si>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</si>
  <si>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</si>
  <si>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</si>
  <si>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</si>
  <si>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</si>
  <si>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</si>
  <si>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</si>
  <si>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</si>
  <si>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</si>
  <si>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</si>
  <si>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</si>
  <si>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</si>
  <si>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</si>
  <si>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</si>
  <si>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</si>
  <si>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</si>
  <si>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</si>
  <si>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</si>
  <si>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</si>
  <si>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</si>
  <si>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</si>
  <si>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</si>
  <si>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</si>
  <si>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</si>
  <si>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</si>
  <si>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</si>
  <si>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</si>
  <si>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</si>
  <si>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</si>
  <si>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</si>
  <si>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</si>
  <si>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</si>
  <si>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</si>
  <si>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</si>
  <si>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</si>
  <si>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</si>
  <si>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</si>
  <si>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</si>
  <si>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</si>
  <si>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</si>
  <si>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</si>
  <si>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</si>
  <si>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</si>
  <si>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</si>
  <si>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</si>
  <si>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</si>
  <si>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</si>
  <si>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</si>
  <si>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</si>
  <si>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</si>
  <si>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</si>
  <si>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</si>
  <si>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</si>
  <si>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</si>
  <si>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</si>
  <si>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</si>
  <si>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</si>
  <si>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</si>
  <si>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</si>
  <si>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</si>
  <si>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</si>
  <si>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</si>
  <si>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</si>
  <si>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</si>
  <si>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</si>
  <si>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</si>
  <si>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</si>
  <si>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</si>
  <si>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</si>
  <si>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</si>
  <si>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</si>
  <si>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</si>
  <si>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</si>
  <si>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</si>
  <si>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</si>
  <si>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</si>
  <si>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</si>
  <si>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</si>
  <si>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</si>
  <si>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</si>
  <si>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</si>
  <si>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</si>
  <si>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</si>
  <si>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</si>
  <si>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</si>
  <si>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</si>
  <si>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</si>
  <si>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</si>
  <si>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</si>
  <si>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</si>
  <si>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</si>
  <si>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</si>
  <si>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</si>
  <si>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</si>
  <si>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</si>
  <si>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</si>
  <si>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</si>
  <si>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</si>
  <si>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</si>
  <si>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</si>
  <si>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</si>
  <si>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</si>
  <si>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</si>
  <si>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</si>
  <si>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</si>
  <si>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</si>
  <si>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</si>
  <si>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</si>
  <si>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</si>
  <si>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</si>
  <si>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</si>
  <si>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</si>
  <si>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</si>
  <si>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</si>
  <si>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</si>
  <si>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</si>
  <si>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</si>
  <si>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</si>
  <si>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</si>
  <si>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</si>
  <si>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</si>
  <si>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</si>
  <si>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</si>
  <si>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</si>
  <si>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</si>
  <si>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</si>
  <si>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</si>
  <si>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</si>
  <si>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</si>
  <si>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</si>
  <si>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</si>
  <si>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</si>
  <si>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</si>
  <si>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</si>
  <si>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</si>
  <si>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</si>
  <si>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</si>
  <si>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</si>
  <si>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</si>
  <si>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</si>
  <si>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</si>
  <si>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</si>
  <si>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</si>
  <si>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</si>
  <si>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</si>
  <si>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</si>
  <si>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</si>
  <si>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</si>
  <si>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</si>
  <si>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</si>
  <si>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</si>
  <si>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</si>
  <si>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</si>
  <si>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</si>
  <si>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</si>
  <si>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</si>
  <si>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</si>
  <si>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</si>
  <si>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</si>
  <si>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</si>
  <si>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</si>
  <si>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</si>
  <si>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</si>
  <si>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</si>
  <si>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</si>
  <si>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</si>
  <si>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</si>
  <si>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</si>
  <si>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</si>
  <si>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</si>
  <si>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</si>
  <si>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</si>
  <si>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</si>
  <si>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</si>
  <si>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</si>
  <si>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</si>
  <si>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</si>
  <si>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</si>
  <si>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</si>
  <si>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</si>
  <si>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</si>
  <si>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</si>
  <si>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</si>
  <si>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</si>
  <si>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</si>
  <si>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</si>
  <si>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</si>
  <si>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</si>
  <si>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</si>
  <si>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</si>
  <si>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</si>
  <si>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</si>
  <si>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</si>
  <si>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</si>
  <si>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</si>
  <si>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</si>
  <si>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</si>
  <si>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</si>
  <si>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</si>
  <si>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</si>
  <si>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</si>
  <si>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</si>
  <si>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</si>
  <si>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</si>
  <si>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</si>
  <si>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</si>
  <si>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</si>
  <si>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</si>
  <si>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</si>
  <si>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</si>
  <si>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</si>
  <si>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</si>
  <si>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</si>
  <si>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</si>
  <si>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</si>
  <si>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</si>
  <si>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</si>
  <si>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</si>
  <si>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</si>
  <si>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</si>
  <si>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</si>
  <si>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</si>
  <si>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</si>
  <si>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</si>
  <si>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</si>
  <si>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</si>
  <si>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</si>
  <si>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</si>
  <si>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</si>
  <si>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</si>
  <si>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</si>
  <si>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</si>
  <si>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</si>
  <si>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</si>
  <si>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</si>
  <si>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</si>
  <si>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</si>
  <si>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</si>
  <si>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</si>
  <si>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</si>
  <si>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</si>
  <si>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</si>
  <si>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</si>
  <si>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</si>
  <si>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</si>
  <si>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</si>
  <si>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</si>
  <si>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</si>
  <si>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</si>
  <si>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</si>
  <si>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</si>
  <si>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</si>
  <si>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</si>
  <si>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</si>
  <si>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</si>
  <si>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</si>
  <si>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</si>
  <si>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</si>
  <si>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</si>
  <si>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</si>
  <si>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</si>
  <si>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</si>
  <si>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</si>
  <si>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</si>
  <si>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</si>
  <si>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</si>
  <si>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</si>
  <si>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</si>
  <si>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</si>
  <si>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</si>
  <si>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</si>
  <si>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</si>
  <si>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</si>
  <si>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</si>
  <si>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</si>
  <si>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</si>
  <si>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</si>
  <si>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</si>
  <si>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</si>
  <si>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</si>
  <si>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</si>
  <si>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</si>
  <si>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</si>
  <si>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</si>
  <si>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</si>
  <si>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</si>
  <si>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</si>
  <si>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</si>
  <si>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</si>
  <si>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</si>
  <si>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</si>
  <si>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</si>
  <si>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</si>
  <si>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</si>
  <si>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</si>
  <si>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</si>
  <si>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</si>
  <si>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</si>
  <si>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</si>
  <si>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</si>
  <si>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</si>
  <si>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</si>
  <si>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</si>
  <si>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</si>
  <si>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</si>
  <si>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</si>
  <si>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</si>
  <si>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</si>
  <si>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</si>
  <si>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</si>
  <si>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</si>
  <si>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</si>
  <si>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</si>
  <si>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</si>
  <si>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</si>
  <si>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</si>
  <si>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</si>
  <si>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</si>
  <si>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</si>
  <si>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</si>
  <si>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</si>
  <si>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</si>
  <si>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</si>
  <si>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</si>
  <si>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</si>
  <si>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</si>
  <si>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</si>
  <si>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</si>
  <si>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</si>
  <si>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</si>
  <si>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</si>
  <si>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</si>
  <si>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</si>
  <si>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</si>
  <si>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</si>
  <si>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</si>
  <si>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</si>
  <si>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</si>
  <si>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</si>
  <si>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</si>
  <si>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</si>
  <si>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</si>
  <si>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</si>
  <si>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</si>
  <si>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</si>
  <si>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</si>
  <si>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</si>
  <si>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</si>
  <si>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</si>
  <si>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</si>
  <si>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</si>
  <si>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</si>
  <si>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</si>
  <si>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</si>
  <si>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</si>
  <si>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</si>
  <si>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</si>
  <si>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</si>
  <si>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</si>
  <si>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</si>
  <si>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</si>
  <si>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</si>
  <si>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</si>
  <si>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</si>
  <si>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</si>
  <si>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</si>
  <si>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</si>
  <si>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</si>
  <si>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</si>
  <si>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</si>
  <si>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</si>
  <si>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</si>
  <si>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</si>
  <si>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</si>
  <si>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</si>
  <si>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</si>
  <si>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</si>
  <si>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</si>
  <si>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</si>
  <si>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</si>
  <si>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</si>
  <si>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</si>
  <si>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</si>
  <si>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</si>
  <si>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</si>
  <si>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</si>
  <si>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</si>
  <si>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</si>
  <si>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</si>
  <si>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</si>
  <si>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</si>
  <si>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</si>
  <si>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</si>
  <si>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</si>
  <si>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</si>
  <si>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</si>
  <si>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</si>
  <si>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</si>
  <si>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</si>
  <si>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</si>
  <si>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</si>
  <si>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</si>
  <si>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</si>
  <si>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</si>
  <si>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</si>
  <si>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</si>
  <si>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</si>
  <si>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</si>
  <si>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</si>
  <si>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</si>
  <si>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</si>
  <si>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</si>
  <si>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</si>
  <si>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</si>
  <si>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</si>
  <si>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</si>
  <si>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</si>
  <si>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</si>
  <si>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</si>
  <si>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</si>
  <si>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</si>
  <si>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</si>
  <si>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</si>
  <si>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</si>
  <si>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</si>
  <si>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</si>
  <si>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</si>
  <si>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</si>
  <si>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</si>
  <si>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</si>
  <si>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</si>
  <si>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</si>
  <si>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</si>
  <si>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</si>
  <si>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</si>
  <si>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</si>
  <si>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</si>
  <si>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</si>
  <si>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</si>
  <si>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</si>
  <si>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</si>
  <si>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</si>
  <si>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</si>
  <si>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</si>
  <si>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</si>
  <si>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</si>
  <si>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</si>
  <si>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</si>
  <si>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</si>
  <si>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</si>
  <si>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</si>
  <si>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</si>
  <si>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</si>
  <si>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</si>
  <si>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</si>
  <si>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</si>
  <si>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</si>
  <si>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</si>
  <si>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</si>
  <si>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</si>
  <si>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</si>
  <si>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</si>
  <si>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</si>
  <si>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</si>
  <si>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</si>
  <si>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</si>
  <si>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</si>
  <si>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</si>
  <si>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</si>
  <si>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</si>
  <si>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</si>
  <si>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</si>
  <si>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</si>
  <si>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</si>
  <si>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</si>
  <si>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</si>
  <si>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</si>
  <si>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</si>
  <si>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</si>
  <si>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</si>
  <si>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</si>
  <si>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</si>
  <si>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</si>
  <si>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</si>
  <si>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</si>
  <si>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</si>
  <si>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</si>
  <si>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</si>
  <si>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</si>
  <si>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</si>
  <si>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</si>
  <si>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</si>
  <si>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</si>
  <si>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</si>
  <si>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</si>
  <si>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</si>
  <si>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</si>
  <si>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</si>
  <si>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</si>
  <si>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</si>
  <si>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</si>
  <si>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</si>
  <si>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</si>
  <si>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</si>
  <si>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</si>
  <si>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</si>
  <si>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</si>
  <si>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</si>
  <si>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</si>
  <si>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</si>
  <si>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</si>
  <si>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</si>
  <si>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</si>
  <si>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</si>
  <si>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</si>
  <si>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</si>
  <si>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</si>
  <si>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</si>
  <si>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</si>
  <si>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</si>
  <si>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</si>
  <si>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</si>
  <si>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</si>
  <si>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</si>
  <si>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</si>
  <si>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</si>
  <si>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</si>
  <si>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</si>
  <si>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</si>
  <si>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</si>
  <si>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</si>
  <si>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</si>
  <si>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</si>
  <si>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</si>
  <si>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</si>
  <si>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</si>
  <si>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</si>
  <si>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</si>
  <si>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</si>
  <si>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</si>
  <si>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</si>
  <si>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</si>
  <si>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</si>
  <si>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</si>
  <si>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</si>
  <si>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34043</t>
  </si>
  <si>
    <t>SPIERE-HELKIJN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</si>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</sst>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20351.848935297097</c:v>
                </c:pt>
                <c:pt idx="1">
                  <c:v>4433.9167818303058</c:v>
                </c:pt>
                <c:pt idx="2">
                  <c:v>196.53700000000001</c:v>
                </c:pt>
                <c:pt idx="3">
                  <c:v>1376.265141113535</c:v>
                </c:pt>
                <c:pt idx="4">
                  <c:v>22711.310796543541</c:v>
                </c:pt>
                <c:pt idx="5">
                  <c:v>19788.320139647483</c:v>
                </c:pt>
                <c:pt idx="6">
                  <c:v>280.96066369536783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20351.848935297097</c:v>
                </c:pt>
                <c:pt idx="1">
                  <c:v>4433.9167818303058</c:v>
                </c:pt>
                <c:pt idx="2">
                  <c:v>196.53700000000001</c:v>
                </c:pt>
                <c:pt idx="3">
                  <c:v>1376.265141113535</c:v>
                </c:pt>
                <c:pt idx="4">
                  <c:v>22711.310796543541</c:v>
                </c:pt>
                <c:pt idx="5">
                  <c:v>19788.320139647483</c:v>
                </c:pt>
                <c:pt idx="6">
                  <c:v>280.96066369536783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4088.5568797219685</c:v>
                </c:pt>
                <c:pt idx="1">
                  <c:v>894.02083026363778</c:v>
                </c:pt>
                <c:pt idx="2">
                  <c:v>42.054147379402529</c:v>
                </c:pt>
                <c:pt idx="3">
                  <c:v>334.43743143498779</c:v>
                </c:pt>
                <c:pt idx="4">
                  <c:v>4441.0471380756208</c:v>
                </c:pt>
                <c:pt idx="5">
                  <c:v>5001.0458245972814</c:v>
                </c:pt>
                <c:pt idx="6">
                  <c:v>71.822380283901822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1264"/>
      </c:barChart>
      <c:catAx>
        <c:axId val="182388992"/>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4088.5568797219685</c:v>
                </c:pt>
                <c:pt idx="1">
                  <c:v>894.02083026363778</c:v>
                </c:pt>
                <c:pt idx="2">
                  <c:v>42.054147379402529</c:v>
                </c:pt>
                <c:pt idx="3">
                  <c:v>334.43743143498779</c:v>
                </c:pt>
                <c:pt idx="4">
                  <c:v>4441.0471380756208</c:v>
                </c:pt>
                <c:pt idx="5">
                  <c:v>5001.0458245972814</c:v>
                </c:pt>
                <c:pt idx="6">
                  <c:v>71.822380283901822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34043</v>
      </c>
      <c r="B6" s="398"/>
      <c r="C6" s="399"/>
    </row>
    <row r="7" spans="1:7" s="396" customFormat="1" ht="15.75" customHeight="1">
      <c r="A7" s="400" t="str">
        <f>txtMunicipality</f>
        <v>SPIERE-HELKIJN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34043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874</v>
      </c>
      <c r="C9" s="338">
        <v>892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767</v>
      </c>
    </row>
    <row r="15" spans="1:6">
      <c r="A15" s="1269" t="s">
        <v>184</v>
      </c>
      <c r="B15" s="335">
        <v>1</v>
      </c>
    </row>
    <row r="16" spans="1:6">
      <c r="A16" s="1269" t="s">
        <v>6</v>
      </c>
      <c r="B16" s="335">
        <v>1</v>
      </c>
    </row>
    <row r="17" spans="1:6">
      <c r="A17" s="1269" t="s">
        <v>7</v>
      </c>
      <c r="B17" s="335">
        <v>148</v>
      </c>
    </row>
    <row r="18" spans="1:6">
      <c r="A18" s="1269" t="s">
        <v>8</v>
      </c>
      <c r="B18" s="335">
        <v>151</v>
      </c>
    </row>
    <row r="19" spans="1:6">
      <c r="A19" s="1269" t="s">
        <v>9</v>
      </c>
      <c r="B19" s="335">
        <v>118</v>
      </c>
    </row>
    <row r="20" spans="1:6">
      <c r="A20" s="1269" t="s">
        <v>10</v>
      </c>
      <c r="B20" s="335">
        <v>50</v>
      </c>
    </row>
    <row r="21" spans="1:6">
      <c r="A21" s="1269" t="s">
        <v>11</v>
      </c>
      <c r="B21" s="335">
        <v>574</v>
      </c>
    </row>
    <row r="22" spans="1:6">
      <c r="A22" s="1269" t="s">
        <v>12</v>
      </c>
      <c r="B22" s="335">
        <v>1750</v>
      </c>
    </row>
    <row r="23" spans="1:6">
      <c r="A23" s="1269" t="s">
        <v>13</v>
      </c>
      <c r="B23" s="335">
        <v>22</v>
      </c>
    </row>
    <row r="24" spans="1:6">
      <c r="A24" s="1269" t="s">
        <v>14</v>
      </c>
      <c r="B24" s="335">
        <v>5</v>
      </c>
    </row>
    <row r="25" spans="1:6">
      <c r="A25" s="1269" t="s">
        <v>15</v>
      </c>
      <c r="B25" s="335">
        <v>234</v>
      </c>
    </row>
    <row r="26" spans="1:6">
      <c r="A26" s="1269" t="s">
        <v>16</v>
      </c>
      <c r="B26" s="335">
        <v>37</v>
      </c>
    </row>
    <row r="27" spans="1:6">
      <c r="A27" s="1269" t="s">
        <v>17</v>
      </c>
      <c r="B27" s="335">
        <v>0</v>
      </c>
    </row>
    <row r="28" spans="1:6" s="341" customFormat="1">
      <c r="A28" s="1270" t="s">
        <v>18</v>
      </c>
      <c r="B28" s="1270">
        <v>0</v>
      </c>
    </row>
    <row r="29" spans="1:6">
      <c r="A29" s="1270" t="s">
        <v>874</v>
      </c>
      <c r="B29" s="1270">
        <v>55</v>
      </c>
      <c r="C29" s="341"/>
      <c r="D29" s="341"/>
      <c r="E29" s="341"/>
      <c r="F29" s="341"/>
    </row>
    <row r="30" spans="1:6">
      <c r="A30" s="1265" t="s">
        <v>875</v>
      </c>
      <c r="B30" s="1265">
        <v>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0</v>
      </c>
      <c r="E38" s="335">
        <v>1</v>
      </c>
      <c r="F38" s="335">
        <v>1417</v>
      </c>
    </row>
    <row r="39" spans="1:6">
      <c r="A39" s="1269" t="s">
        <v>30</v>
      </c>
      <c r="B39" s="1269" t="s">
        <v>31</v>
      </c>
      <c r="C39" s="335">
        <v>399</v>
      </c>
      <c r="D39" s="335">
        <v>6530240.2301015602</v>
      </c>
      <c r="E39" s="335">
        <v>834</v>
      </c>
      <c r="F39" s="335">
        <v>3733170.47347466</v>
      </c>
    </row>
    <row r="40" spans="1:6">
      <c r="A40" s="1269" t="s">
        <v>30</v>
      </c>
      <c r="B40" s="1269" t="s">
        <v>29</v>
      </c>
      <c r="C40" s="335">
        <v>0</v>
      </c>
      <c r="D40" s="335">
        <v>0</v>
      </c>
      <c r="E40" s="335">
        <v>0</v>
      </c>
      <c r="F40" s="335">
        <v>0</v>
      </c>
    </row>
    <row r="41" spans="1:6">
      <c r="A41" s="1269" t="s">
        <v>32</v>
      </c>
      <c r="B41" s="1269" t="s">
        <v>33</v>
      </c>
      <c r="C41" s="335">
        <v>4</v>
      </c>
      <c r="D41" s="335">
        <v>25334.881920024</v>
      </c>
      <c r="E41" s="335">
        <v>17</v>
      </c>
      <c r="F41" s="335">
        <v>150767.661727862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8</v>
      </c>
      <c r="D48" s="335">
        <v>1240531.6308778999</v>
      </c>
      <c r="E48" s="335">
        <v>19</v>
      </c>
      <c r="F48" s="335">
        <v>14106725.852225101</v>
      </c>
    </row>
    <row r="49" spans="1:6">
      <c r="A49" s="1269" t="s">
        <v>32</v>
      </c>
      <c r="B49" s="1269" t="s">
        <v>40</v>
      </c>
      <c r="C49" s="335">
        <v>0</v>
      </c>
      <c r="D49" s="335">
        <v>0</v>
      </c>
      <c r="E49" s="335">
        <v>4</v>
      </c>
      <c r="F49" s="335">
        <v>60620.427693506499</v>
      </c>
    </row>
    <row r="50" spans="1:6">
      <c r="A50" s="1269" t="s">
        <v>32</v>
      </c>
      <c r="B50" s="1269" t="s">
        <v>41</v>
      </c>
      <c r="C50" s="335">
        <v>0</v>
      </c>
      <c r="D50" s="335">
        <v>0</v>
      </c>
      <c r="E50" s="335">
        <v>3</v>
      </c>
      <c r="F50" s="335">
        <v>52525.794392371201</v>
      </c>
    </row>
    <row r="51" spans="1:6">
      <c r="A51" s="1269" t="s">
        <v>42</v>
      </c>
      <c r="B51" s="1269" t="s">
        <v>43</v>
      </c>
      <c r="C51" s="335">
        <v>0</v>
      </c>
      <c r="D51" s="335">
        <v>0</v>
      </c>
      <c r="E51" s="335">
        <v>14</v>
      </c>
      <c r="F51" s="335">
        <v>161075.87365238299</v>
      </c>
    </row>
    <row r="52" spans="1:6">
      <c r="A52" s="1269" t="s">
        <v>42</v>
      </c>
      <c r="B52" s="1269" t="s">
        <v>29</v>
      </c>
      <c r="C52" s="335">
        <v>0</v>
      </c>
      <c r="D52" s="335">
        <v>0</v>
      </c>
      <c r="E52" s="335">
        <v>6</v>
      </c>
      <c r="F52" s="335">
        <v>56458.310987261102</v>
      </c>
    </row>
    <row r="53" spans="1:6">
      <c r="A53" s="1269" t="s">
        <v>44</v>
      </c>
      <c r="B53" s="1269" t="s">
        <v>45</v>
      </c>
      <c r="C53" s="335">
        <v>10</v>
      </c>
      <c r="D53" s="335">
        <v>413223.55255176098</v>
      </c>
      <c r="E53" s="335">
        <v>28</v>
      </c>
      <c r="F53" s="335">
        <v>118324.457274284</v>
      </c>
    </row>
    <row r="54" spans="1:6">
      <c r="A54" s="1269" t="s">
        <v>46</v>
      </c>
      <c r="B54" s="1269" t="s">
        <v>47</v>
      </c>
      <c r="C54" s="335">
        <v>0</v>
      </c>
      <c r="D54" s="335">
        <v>0</v>
      </c>
      <c r="E54" s="335">
        <v>1</v>
      </c>
      <c r="F54" s="335">
        <v>196537</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0</v>
      </c>
      <c r="D57" s="335">
        <v>0</v>
      </c>
      <c r="E57" s="335">
        <v>20</v>
      </c>
      <c r="F57" s="335">
        <v>348464.14209224301</v>
      </c>
    </row>
    <row r="58" spans="1:6">
      <c r="A58" s="1269" t="s">
        <v>49</v>
      </c>
      <c r="B58" s="1269" t="s">
        <v>51</v>
      </c>
      <c r="C58" s="335">
        <v>0</v>
      </c>
      <c r="D58" s="335">
        <v>0</v>
      </c>
      <c r="E58" s="335">
        <v>0</v>
      </c>
      <c r="F58" s="335">
        <v>0</v>
      </c>
    </row>
    <row r="59" spans="1:6">
      <c r="A59" s="1269" t="s">
        <v>49</v>
      </c>
      <c r="B59" s="1269" t="s">
        <v>52</v>
      </c>
      <c r="C59" s="335">
        <v>0</v>
      </c>
      <c r="D59" s="335">
        <v>0</v>
      </c>
      <c r="E59" s="335">
        <v>22</v>
      </c>
      <c r="F59" s="335">
        <v>630648.82062705804</v>
      </c>
    </row>
    <row r="60" spans="1:6">
      <c r="A60" s="1269" t="s">
        <v>49</v>
      </c>
      <c r="B60" s="1269" t="s">
        <v>53</v>
      </c>
      <c r="C60" s="335">
        <v>5</v>
      </c>
      <c r="D60" s="335">
        <v>280964.315301492</v>
      </c>
      <c r="E60" s="335">
        <v>9</v>
      </c>
      <c r="F60" s="335">
        <v>152239.949823893</v>
      </c>
    </row>
    <row r="61" spans="1:6">
      <c r="A61" s="1269" t="s">
        <v>49</v>
      </c>
      <c r="B61" s="1269" t="s">
        <v>54</v>
      </c>
      <c r="C61" s="335">
        <v>8</v>
      </c>
      <c r="D61" s="335">
        <v>275546.693756758</v>
      </c>
      <c r="E61" s="335">
        <v>27</v>
      </c>
      <c r="F61" s="335">
        <v>245626.52808816201</v>
      </c>
    </row>
    <row r="62" spans="1:6">
      <c r="A62" s="1269" t="s">
        <v>49</v>
      </c>
      <c r="B62" s="1269" t="s">
        <v>55</v>
      </c>
      <c r="C62" s="335">
        <v>0</v>
      </c>
      <c r="D62" s="335">
        <v>0</v>
      </c>
      <c r="E62" s="335">
        <v>3</v>
      </c>
      <c r="F62" s="335">
        <v>78017.416572247705</v>
      </c>
    </row>
    <row r="63" spans="1:6">
      <c r="A63" s="1269" t="s">
        <v>49</v>
      </c>
      <c r="B63" s="1269" t="s">
        <v>29</v>
      </c>
      <c r="C63" s="335">
        <v>19</v>
      </c>
      <c r="D63" s="335">
        <v>701040.31807483395</v>
      </c>
      <c r="E63" s="335">
        <v>54</v>
      </c>
      <c r="F63" s="335">
        <v>974901.03161587904</v>
      </c>
    </row>
    <row r="64" spans="1:6">
      <c r="A64" s="1269" t="s">
        <v>56</v>
      </c>
      <c r="B64" s="1269" t="s">
        <v>57</v>
      </c>
      <c r="C64" s="335">
        <v>0</v>
      </c>
      <c r="D64" s="335">
        <v>0</v>
      </c>
      <c r="E64" s="335">
        <v>0</v>
      </c>
      <c r="F64" s="335">
        <v>0</v>
      </c>
    </row>
    <row r="65" spans="1:6">
      <c r="A65" s="1269" t="s">
        <v>56</v>
      </c>
      <c r="B65" s="1269" t="s">
        <v>29</v>
      </c>
      <c r="C65" s="335">
        <v>1</v>
      </c>
      <c r="D65" s="335">
        <v>42465.474231300002</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4</v>
      </c>
      <c r="F68" s="335">
        <v>17809.886636543401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23055998</v>
      </c>
      <c r="E73" s="335">
        <v>22175833.454098884</v>
      </c>
    </row>
    <row r="74" spans="1:6">
      <c r="A74" s="1269" t="s">
        <v>64</v>
      </c>
      <c r="B74" s="1269" t="s">
        <v>727</v>
      </c>
      <c r="C74" s="1269" t="s">
        <v>728</v>
      </c>
      <c r="D74" s="335">
        <v>2000723.7715370532</v>
      </c>
      <c r="E74" s="335">
        <v>2047756.3819109444</v>
      </c>
    </row>
    <row r="75" spans="1:6">
      <c r="A75" s="1269" t="s">
        <v>65</v>
      </c>
      <c r="B75" s="1269" t="s">
        <v>725</v>
      </c>
      <c r="C75" s="1269" t="s">
        <v>729</v>
      </c>
      <c r="D75" s="335">
        <v>962572</v>
      </c>
      <c r="E75" s="335">
        <v>957322.13440763927</v>
      </c>
    </row>
    <row r="76" spans="1:6">
      <c r="A76" s="1269" t="s">
        <v>65</v>
      </c>
      <c r="B76" s="1269" t="s">
        <v>727</v>
      </c>
      <c r="C76" s="1269" t="s">
        <v>730</v>
      </c>
      <c r="D76" s="335">
        <v>5862.7715370532387</v>
      </c>
      <c r="E76" s="335">
        <v>5682.9687856957171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74226.456925893523</v>
      </c>
      <c r="C83" s="335">
        <v>74669.292980213431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230.64911704248749</v>
      </c>
    </row>
    <row r="92" spans="1:6">
      <c r="A92" s="1265" t="s">
        <v>69</v>
      </c>
      <c r="B92" s="338">
        <v>442.52863677229203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110</v>
      </c>
    </row>
    <row r="98" spans="1:6">
      <c r="A98" s="1269" t="s">
        <v>72</v>
      </c>
      <c r="B98" s="335">
        <v>0</v>
      </c>
    </row>
    <row r="99" spans="1:6">
      <c r="A99" s="1269" t="s">
        <v>73</v>
      </c>
      <c r="B99" s="335">
        <v>20</v>
      </c>
    </row>
    <row r="100" spans="1:6">
      <c r="A100" s="1269" t="s">
        <v>74</v>
      </c>
      <c r="B100" s="335">
        <v>71</v>
      </c>
    </row>
    <row r="101" spans="1:6">
      <c r="A101" s="1269" t="s">
        <v>75</v>
      </c>
      <c r="B101" s="335">
        <v>18</v>
      </c>
    </row>
    <row r="102" spans="1:6">
      <c r="A102" s="1269" t="s">
        <v>76</v>
      </c>
      <c r="B102" s="335">
        <v>11</v>
      </c>
    </row>
    <row r="103" spans="1:6">
      <c r="A103" s="1269" t="s">
        <v>77</v>
      </c>
      <c r="B103" s="335">
        <v>62</v>
      </c>
    </row>
    <row r="104" spans="1:6">
      <c r="A104" s="1269" t="s">
        <v>78</v>
      </c>
      <c r="B104" s="335">
        <v>463</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0</v>
      </c>
      <c r="C123" s="335">
        <v>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v>
      </c>
    </row>
    <row r="130" spans="1:6">
      <c r="A130" s="1269" t="s">
        <v>295</v>
      </c>
      <c r="B130" s="335">
        <v>0</v>
      </c>
    </row>
    <row r="131" spans="1:6">
      <c r="A131" s="1269" t="s">
        <v>296</v>
      </c>
      <c r="B131" s="335">
        <v>0</v>
      </c>
    </row>
    <row r="132" spans="1:6">
      <c r="A132" s="1265" t="s">
        <v>297</v>
      </c>
      <c r="B132" s="338">
        <v>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21179.73990871424</v>
      </c>
      <c r="C3" s="43" t="s">
        <v>170</v>
      </c>
      <c r="D3" s="43"/>
      <c r="E3" s="156"/>
      <c r="F3" s="43"/>
      <c r="G3" s="43"/>
      <c r="H3" s="43"/>
      <c r="I3" s="43"/>
      <c r="J3" s="43"/>
      <c r="K3" s="96"/>
    </row>
    <row r="4" spans="1:11">
      <c r="A4" s="366" t="s">
        <v>171</v>
      </c>
      <c r="B4" s="49">
        <f>IF(ISERROR('SEAP template'!B69),0,'SEAP template'!B69)</f>
        <v>673.17775381477952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0.21397572660314612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196.53700000000001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196.53700000000001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0.21397572660314612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42.054147379402529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3733.17047347466</v>
      </c>
      <c r="C5" s="17">
        <f>IF(ISERROR('Eigen informatie GS &amp; warmtenet'!B57),0,'Eigen informatie GS &amp; warmtenet'!B57)</f>
        <v>0</v>
      </c>
      <c r="D5" s="30">
        <f>(SUM(HH_hh_gas_kWh,HH_rest_gas_kWh)/1000)*0.902</f>
        <v>5890.2766875516072</v>
      </c>
      <c r="E5" s="17">
        <f>B46*B57</f>
        <v>898.50646778215878</v>
      </c>
      <c r="F5" s="17">
        <f>B51*B62</f>
        <v>5130.7078124531763</v>
      </c>
      <c r="G5" s="18"/>
      <c r="H5" s="17"/>
      <c r="I5" s="17"/>
      <c r="J5" s="17">
        <f>B50*B61+C50*C61</f>
        <v>1346.6097675714807</v>
      </c>
      <c r="K5" s="17"/>
      <c r="L5" s="17"/>
      <c r="M5" s="17"/>
      <c r="N5" s="17">
        <f>B48*B59+C48*C59</f>
        <v>3031.5919427548597</v>
      </c>
      <c r="O5" s="17">
        <f>B69*B70*B71</f>
        <v>14.070000000000002</v>
      </c>
      <c r="P5" s="17">
        <f>B77*B78*B79/1000-B77*B78*B79/1000/B80</f>
        <v>76.266666666666666</v>
      </c>
    </row>
    <row r="6" spans="1:16">
      <c r="A6" s="16" t="s">
        <v>634</v>
      </c>
      <c r="B6" s="831">
        <f>kWh_PV_kleiner_dan_10kW</f>
        <v>230.64911704248749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3963.8195905171474</v>
      </c>
      <c r="C8" s="21">
        <f>C5</f>
        <v>0</v>
      </c>
      <c r="D8" s="21">
        <f>D5</f>
        <v>5890.2766875516072</v>
      </c>
      <c r="E8" s="21">
        <f>E5</f>
        <v>898.50646778215878</v>
      </c>
      <c r="F8" s="21">
        <f>F5</f>
        <v>5130.7078124531763</v>
      </c>
      <c r="G8" s="21"/>
      <c r="H8" s="21"/>
      <c r="I8" s="21"/>
      <c r="J8" s="21">
        <f>J5</f>
        <v>1346.6097675714807</v>
      </c>
      <c r="K8" s="21"/>
      <c r="L8" s="21">
        <f>L5</f>
        <v>0</v>
      </c>
      <c r="M8" s="21">
        <f>M5</f>
        <v>0</v>
      </c>
      <c r="N8" s="21">
        <f>N5</f>
        <v>3031.5919427548597</v>
      </c>
      <c r="O8" s="21">
        <f>O5</f>
        <v>14.070000000000002</v>
      </c>
      <c r="P8" s="21">
        <f>P5</f>
        <v>76.266666666666666</v>
      </c>
    </row>
    <row r="9" spans="1:16">
      <c r="B9" s="19"/>
      <c r="C9" s="19"/>
      <c r="D9" s="261"/>
      <c r="E9" s="19"/>
      <c r="F9" s="19"/>
      <c r="G9" s="19"/>
      <c r="H9" s="19"/>
      <c r="I9" s="19"/>
      <c r="J9" s="19"/>
      <c r="K9" s="19"/>
      <c r="L9" s="19"/>
      <c r="M9" s="19"/>
      <c r="N9" s="19"/>
      <c r="O9" s="19"/>
      <c r="P9" s="19"/>
    </row>
    <row r="10" spans="1:16">
      <c r="A10" s="24" t="s">
        <v>214</v>
      </c>
      <c r="B10" s="25">
        <f ca="1">'EF ele_warmte'!B12</f>
        <v>0.21397572660314612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848.16117700469169</v>
      </c>
      <c r="C12" s="23">
        <f ca="1">C10*C8</f>
        <v>0</v>
      </c>
      <c r="D12" s="23">
        <f>D8*D10</f>
        <v>1189.8358908854248</v>
      </c>
      <c r="E12" s="23">
        <f>E10*E8</f>
        <v>203.96096818655005</v>
      </c>
      <c r="F12" s="23">
        <f>F10*F8</f>
        <v>1369.8989859249982</v>
      </c>
      <c r="G12" s="23"/>
      <c r="H12" s="23"/>
      <c r="I12" s="23"/>
      <c r="J12" s="23">
        <f>J10*J8</f>
        <v>476.69985772030412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110</v>
      </c>
      <c r="C18" s="168" t="s">
        <v>111</v>
      </c>
      <c r="D18" s="230"/>
      <c r="E18" s="15"/>
    </row>
    <row r="19" spans="1:7">
      <c r="A19" s="173" t="s">
        <v>72</v>
      </c>
      <c r="B19" s="37">
        <f>aantalw2001_ander</f>
        <v>0</v>
      </c>
      <c r="C19" s="168" t="s">
        <v>111</v>
      </c>
      <c r="D19" s="231"/>
      <c r="E19" s="15"/>
    </row>
    <row r="20" spans="1:7">
      <c r="A20" s="173" t="s">
        <v>73</v>
      </c>
      <c r="B20" s="37">
        <f>aantalw2001_propaan</f>
        <v>20</v>
      </c>
      <c r="C20" s="169">
        <f>IF(ISERROR(B20/SUM($B$20,$B$21,$B$22)*100),0,B20/SUM($B$20,$B$21,$B$22)*100)</f>
        <v>18.348623853211009</v>
      </c>
      <c r="D20" s="231"/>
      <c r="E20" s="15"/>
    </row>
    <row r="21" spans="1:7">
      <c r="A21" s="173" t="s">
        <v>74</v>
      </c>
      <c r="B21" s="37">
        <f>aantalw2001_elektriciteit</f>
        <v>71</v>
      </c>
      <c r="C21" s="169">
        <f>IF(ISERROR(B21/SUM($B$20,$B$21,$B$22)*100),0,B21/SUM($B$20,$B$21,$B$22)*100)</f>
        <v>65.137614678899084</v>
      </c>
      <c r="D21" s="231"/>
      <c r="E21" s="15"/>
    </row>
    <row r="22" spans="1:7">
      <c r="A22" s="173" t="s">
        <v>75</v>
      </c>
      <c r="B22" s="37">
        <f>aantalw2001_hout</f>
        <v>18</v>
      </c>
      <c r="C22" s="169">
        <f>IF(ISERROR(B22/SUM($B$20,$B$21,$B$22)*100),0,B22/SUM($B$20,$B$21,$B$22)*100)</f>
        <v>16.513761467889911</v>
      </c>
      <c r="D22" s="231"/>
      <c r="E22" s="15"/>
    </row>
    <row r="23" spans="1:7">
      <c r="A23" s="173" t="s">
        <v>76</v>
      </c>
      <c r="B23" s="37">
        <f>aantalw2001_niet_gespec</f>
        <v>11</v>
      </c>
      <c r="C23" s="168" t="s">
        <v>111</v>
      </c>
      <c r="D23" s="230"/>
      <c r="E23" s="15"/>
    </row>
    <row r="24" spans="1:7">
      <c r="A24" s="173" t="s">
        <v>77</v>
      </c>
      <c r="B24" s="37">
        <f>aantalw2001_steenkool</f>
        <v>62</v>
      </c>
      <c r="C24" s="168" t="s">
        <v>111</v>
      </c>
      <c r="D24" s="231"/>
      <c r="E24" s="15"/>
    </row>
    <row r="25" spans="1:7">
      <c r="A25" s="173" t="s">
        <v>78</v>
      </c>
      <c r="B25" s="37">
        <f>aantalw2001_stookolie</f>
        <v>463</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874</v>
      </c>
      <c r="C28" s="36"/>
      <c r="D28" s="230"/>
    </row>
    <row r="29" spans="1:7" s="15" customFormat="1">
      <c r="A29" s="232" t="s">
        <v>746</v>
      </c>
      <c r="B29" s="37">
        <f>SUM(HH_hh_gas_aantal,HH_rest_gas_aantal)</f>
        <v>399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399</v>
      </c>
      <c r="C32" s="169">
        <f>IF(ISERROR(B32/SUM($B$32,$B$34,$B$35,$B$36,$B$38,$B$39)*100),0,B32/SUM($B$32,$B$34,$B$35,$B$36,$B$38,$B$39)*100)</f>
        <v>45.862068965517253</v>
      </c>
      <c r="D32" s="235"/>
      <c r="G32" s="15"/>
    </row>
    <row r="33" spans="1:7">
      <c r="A33" s="173" t="s">
        <v>72</v>
      </c>
      <c r="B33" s="34" t="s">
        <v>111</v>
      </c>
      <c r="C33" s="169"/>
      <c r="D33" s="235"/>
      <c r="G33" s="15"/>
    </row>
    <row r="34" spans="1:7">
      <c r="A34" s="173" t="s">
        <v>73</v>
      </c>
      <c r="B34" s="33">
        <f>IF((($B$28-$B$32-$B$39-$B$77-$B$38)*C20/100)&lt;0,0,($B$28-$B$32-$B$39-$B$77-$B$38)*C20/100)</f>
        <v>43.11926605504587</v>
      </c>
      <c r="C34" s="169">
        <f>IF(ISERROR(B34/SUM($B$32,$B$34,$B$35,$B$36,$B$38,$B$39)*100),0,B34/SUM($B$32,$B$34,$B$35,$B$36,$B$38,$B$39)*100)</f>
        <v>4.9562374775914799</v>
      </c>
      <c r="D34" s="235"/>
      <c r="G34" s="15"/>
    </row>
    <row r="35" spans="1:7">
      <c r="A35" s="173" t="s">
        <v>74</v>
      </c>
      <c r="B35" s="33">
        <f>IF((($B$28-$B$32-$B$39-$B$77-$B$38)*C21/100)&lt;0,0,($B$28-$B$32-$B$39-$B$77-$B$38)*C21/100)</f>
        <v>153.07339449541286</v>
      </c>
      <c r="C35" s="169">
        <f>IF(ISERROR(B35/SUM($B$32,$B$34,$B$35,$B$36,$B$38,$B$39)*100),0,B35/SUM($B$32,$B$34,$B$35,$B$36,$B$38,$B$39)*100)</f>
        <v>17.594643045449757</v>
      </c>
      <c r="D35" s="235"/>
      <c r="G35" s="15"/>
    </row>
    <row r="36" spans="1:7">
      <c r="A36" s="173" t="s">
        <v>75</v>
      </c>
      <c r="B36" s="33">
        <f>IF((($B$28-$B$32-$B$39-$B$77-$B$38)*C22/100)&lt;0,0,($B$28-$B$32-$B$39-$B$77-$B$38)*C22/100)</f>
        <v>38.807339449541296</v>
      </c>
      <c r="C36" s="169">
        <f>IF(ISERROR(B36/SUM($B$32,$B$34,$B$35,$B$36,$B$38,$B$39)*100),0,B36/SUM($B$32,$B$34,$B$35,$B$36,$B$38,$B$39)*100)</f>
        <v>4.4606137298323336</v>
      </c>
      <c r="D36" s="235"/>
      <c r="G36" s="15"/>
    </row>
    <row r="37" spans="1:7">
      <c r="A37" s="173" t="s">
        <v>76</v>
      </c>
      <c r="B37" s="34" t="s">
        <v>111</v>
      </c>
      <c r="C37" s="169"/>
      <c r="D37" s="175"/>
      <c r="G37" s="15"/>
    </row>
    <row r="38" spans="1:7">
      <c r="A38" s="173" t="s">
        <v>77</v>
      </c>
      <c r="B38" s="33">
        <f>IF((B24-(B29-B18)*0.1)&lt;0,0,B24-(B29-B18)*0.1)</f>
        <v>33.099999999999994</v>
      </c>
      <c r="C38" s="169">
        <f>IF(ISERROR(B38/SUM($B$32,$B$34,$B$35,$B$36,$B$38,$B$39)*100),0,B38/SUM($B$32,$B$34,$B$35,$B$36,$B$38,$B$39)*100)</f>
        <v>3.804597701149425</v>
      </c>
      <c r="D38" s="236"/>
      <c r="G38" s="15"/>
    </row>
    <row r="39" spans="1:7">
      <c r="A39" s="173" t="s">
        <v>78</v>
      </c>
      <c r="B39" s="33">
        <f>IF((B25-(B29-B18))&lt;0,0,B25-(B29-B18)*0.9)</f>
        <v>202.89999999999998</v>
      </c>
      <c r="C39" s="169">
        <f>IF(ISERROR(B39/SUM($B$32,$B$34,$B$35,$B$36,$B$38,$B$39)*100),0,B39/SUM($B$32,$B$34,$B$35,$B$36,$B$38,$B$39)*100)</f>
        <v>23.321839080459768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399</v>
      </c>
      <c r="C44" s="34" t="s">
        <v>111</v>
      </c>
      <c r="D44" s="176"/>
    </row>
    <row r="45" spans="1:7">
      <c r="A45" s="173" t="s">
        <v>72</v>
      </c>
      <c r="B45" s="33" t="str">
        <f t="shared" si="0"/>
        <v>-</v>
      </c>
      <c r="C45" s="34" t="s">
        <v>111</v>
      </c>
      <c r="D45" s="176"/>
    </row>
    <row r="46" spans="1:7">
      <c r="A46" s="173" t="s">
        <v>73</v>
      </c>
      <c r="B46" s="33">
        <f t="shared" si="0"/>
        <v>43.11926605504587</v>
      </c>
      <c r="C46" s="34" t="s">
        <v>111</v>
      </c>
      <c r="D46" s="176"/>
    </row>
    <row r="47" spans="1:7">
      <c r="A47" s="173" t="s">
        <v>74</v>
      </c>
      <c r="B47" s="33">
        <f t="shared" si="0"/>
        <v>153.07339449541286</v>
      </c>
      <c r="C47" s="34" t="s">
        <v>111</v>
      </c>
      <c r="D47" s="176"/>
    </row>
    <row r="48" spans="1:7">
      <c r="A48" s="173" t="s">
        <v>75</v>
      </c>
      <c r="B48" s="33">
        <f t="shared" si="0"/>
        <v>38.807339449541296</v>
      </c>
      <c r="C48" s="33">
        <f>B48*10</f>
        <v>388.07339449541297</v>
      </c>
      <c r="D48" s="236"/>
    </row>
    <row r="49" spans="1:6">
      <c r="A49" s="173" t="s">
        <v>76</v>
      </c>
      <c r="B49" s="33" t="str">
        <f t="shared" si="0"/>
        <v>-</v>
      </c>
      <c r="C49" s="34" t="s">
        <v>111</v>
      </c>
      <c r="D49" s="236"/>
    </row>
    <row r="50" spans="1:6">
      <c r="A50" s="173" t="s">
        <v>77</v>
      </c>
      <c r="B50" s="33">
        <f t="shared" si="0"/>
        <v>33.099999999999994</v>
      </c>
      <c r="C50" s="33">
        <f>B50*2</f>
        <v>66.199999999999989</v>
      </c>
      <c r="D50" s="236"/>
    </row>
    <row r="51" spans="1:6">
      <c r="A51" s="173" t="s">
        <v>78</v>
      </c>
      <c r="B51" s="33">
        <f t="shared" si="0"/>
        <v>202.89999999999998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2429.8978888194824</v>
      </c>
      <c r="C5" s="17">
        <f>IF(ISERROR('Eigen informatie GS &amp; warmtenet'!B58),0,'Eigen informatie GS &amp; warmtenet'!B58)</f>
        <v>0</v>
      </c>
      <c r="D5" s="30">
        <f>SUM(D6:D12)</f>
        <v>1134.3112970740417</v>
      </c>
      <c r="E5" s="17">
        <f>SUM(E6:E12)</f>
        <v>32.119787067574947</v>
      </c>
      <c r="F5" s="17">
        <f>SUM(F6:F12)</f>
        <v>515.57898973311728</v>
      </c>
      <c r="G5" s="18"/>
      <c r="H5" s="17"/>
      <c r="I5" s="17"/>
      <c r="J5" s="17">
        <f>SUM(J6:J12)</f>
        <v>0</v>
      </c>
      <c r="K5" s="17"/>
      <c r="L5" s="17"/>
      <c r="M5" s="17"/>
      <c r="N5" s="17">
        <f>SUM(N6:N12)</f>
        <v>322.00881913608907</v>
      </c>
      <c r="O5" s="17">
        <f>B38*B39*B40</f>
        <v>0</v>
      </c>
      <c r="P5" s="17">
        <f>B46*B47*B48/1000-B46*B47*B48/1000/B49</f>
        <v>0</v>
      </c>
      <c r="R5" s="32"/>
    </row>
    <row r="6" spans="1:18">
      <c r="A6" s="32" t="s">
        <v>54</v>
      </c>
      <c r="B6" s="37">
        <f>B26</f>
        <v>245.62652808816202</v>
      </c>
      <c r="C6" s="33"/>
      <c r="D6" s="37">
        <f>IF(ISERROR(TER_kantoor_gas_kWh/1000),0,TER_kantoor_gas_kWh/1000)*0.902</f>
        <v>248.54311776859569</v>
      </c>
      <c r="E6" s="33">
        <f>$C$26*'E Balans VL '!I12/100/3.6*1000000</f>
        <v>0.95431106378840358</v>
      </c>
      <c r="F6" s="33">
        <f>$C$26*('E Balans VL '!L12+'E Balans VL '!N12)/100/3.6*1000000</f>
        <v>37.357559898995355</v>
      </c>
      <c r="G6" s="34"/>
      <c r="H6" s="33"/>
      <c r="I6" s="33"/>
      <c r="J6" s="33">
        <f>$C$26*('E Balans VL '!D12+'E Balans VL '!E12)/100/3.6*1000000</f>
        <v>0</v>
      </c>
      <c r="K6" s="33"/>
      <c r="L6" s="33"/>
      <c r="M6" s="33"/>
      <c r="N6" s="33">
        <f>$C$26*'E Balans VL '!Y12/100/3.6*1000000</f>
        <v>0.13536964230998622</v>
      </c>
      <c r="O6" s="33"/>
      <c r="P6" s="33"/>
      <c r="R6" s="32"/>
    </row>
    <row r="7" spans="1:18">
      <c r="A7" s="32" t="s">
        <v>53</v>
      </c>
      <c r="B7" s="37">
        <f t="shared" ref="B7:B12" si="0">B27</f>
        <v>152.239949823893</v>
      </c>
      <c r="C7" s="33"/>
      <c r="D7" s="37">
        <f>IF(ISERROR(TER_horeca_gas_kWh/1000),0,TER_horeca_gas_kWh/1000)*0.902</f>
        <v>253.42981240194578</v>
      </c>
      <c r="E7" s="33">
        <f>$C$27*'E Balans VL '!I9/100/3.6*1000000</f>
        <v>8.5757170757988295</v>
      </c>
      <c r="F7" s="33">
        <f>$C$27*('E Balans VL '!L9+'E Balans VL '!N9)/100/3.6*1000000</f>
        <v>43.896887109476516</v>
      </c>
      <c r="G7" s="34"/>
      <c r="H7" s="33"/>
      <c r="I7" s="33"/>
      <c r="J7" s="33">
        <f>$C$27*('E Balans VL '!D9+'E Balans VL '!E9)/100/3.6*1000000</f>
        <v>0</v>
      </c>
      <c r="K7" s="33"/>
      <c r="L7" s="33"/>
      <c r="M7" s="33"/>
      <c r="N7" s="33">
        <f>$C$27*'E Balans VL '!Y9/100/3.6*1000000</f>
        <v>4.2032659033164166E-2</v>
      </c>
      <c r="O7" s="33"/>
      <c r="P7" s="33"/>
      <c r="R7" s="32"/>
    </row>
    <row r="8" spans="1:18">
      <c r="A8" s="6" t="s">
        <v>52</v>
      </c>
      <c r="B8" s="37">
        <f t="shared" si="0"/>
        <v>630.64882062705806</v>
      </c>
      <c r="C8" s="33"/>
      <c r="D8" s="37">
        <f>IF(ISERROR(TER_handel_gas_kWh/1000),0,TER_handel_gas_kWh/1000)*0.902</f>
        <v>0</v>
      </c>
      <c r="E8" s="33">
        <f>$C$28*'E Balans VL '!I13/100/3.6*1000000</f>
        <v>9.0897890838482667</v>
      </c>
      <c r="F8" s="33">
        <f>$C$28*('E Balans VL '!L13+'E Balans VL '!N13)/100/3.6*1000000</f>
        <v>109.55838696290265</v>
      </c>
      <c r="G8" s="34"/>
      <c r="H8" s="33"/>
      <c r="I8" s="33"/>
      <c r="J8" s="33">
        <f>$C$28*('E Balans VL '!D13+'E Balans VL '!E13)/100/3.6*1000000</f>
        <v>0</v>
      </c>
      <c r="K8" s="33"/>
      <c r="L8" s="33"/>
      <c r="M8" s="33"/>
      <c r="N8" s="33">
        <f>$C$28*'E Balans VL '!Y13/100/3.6*1000000</f>
        <v>1.8894940718716178</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348.46414209224304</v>
      </c>
      <c r="C10" s="33"/>
      <c r="D10" s="37">
        <f>IF(ISERROR(TER_ander_gas_kWh/1000),0,TER_ander_gas_kWh/1000)*0.902</f>
        <v>0</v>
      </c>
      <c r="E10" s="33">
        <f>$C$30*'E Balans VL '!I14/100/3.6*1000000</f>
        <v>1.6025335841514352</v>
      </c>
      <c r="F10" s="33">
        <f>$C$30*('E Balans VL '!L14+'E Balans VL '!N14)/100/3.6*1000000</f>
        <v>104.44569493198837</v>
      </c>
      <c r="G10" s="34"/>
      <c r="H10" s="33"/>
      <c r="I10" s="33"/>
      <c r="J10" s="33">
        <f>$C$30*('E Balans VL '!D14+'E Balans VL '!E14)/100/3.6*1000000</f>
        <v>0</v>
      </c>
      <c r="K10" s="33"/>
      <c r="L10" s="33"/>
      <c r="M10" s="33"/>
      <c r="N10" s="33">
        <f>$C$30*'E Balans VL '!Y14/100/3.6*1000000</f>
        <v>242.55404528208004</v>
      </c>
      <c r="O10" s="33"/>
      <c r="P10" s="33"/>
      <c r="R10" s="32"/>
    </row>
    <row r="11" spans="1:18">
      <c r="A11" s="32" t="s">
        <v>55</v>
      </c>
      <c r="B11" s="37">
        <f t="shared" si="0"/>
        <v>78.017416572247711</v>
      </c>
      <c r="C11" s="33"/>
      <c r="D11" s="37">
        <f>IF(ISERROR(TER_onderwijs_gas_kWh/1000),0,TER_onderwijs_gas_kWh/1000)*0.902</f>
        <v>0</v>
      </c>
      <c r="E11" s="33">
        <f>$C$31*'E Balans VL '!I11/100/3.6*1000000</f>
        <v>7.2371413845893337E-2</v>
      </c>
      <c r="F11" s="33">
        <f>$C$31*('E Balans VL '!L11+'E Balans VL '!N11)/100/3.6*1000000</f>
        <v>27.405725340427907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974.90103161587899</v>
      </c>
      <c r="C12" s="33"/>
      <c r="D12" s="37">
        <f>IF(ISERROR(TER_rest_gas_kWh/1000),0,TER_rest_gas_kWh/1000)*0.902</f>
        <v>632.33836690350029</v>
      </c>
      <c r="E12" s="33">
        <f>$C$32*'E Balans VL '!I8/100/3.6*1000000</f>
        <v>11.825064846142116</v>
      </c>
      <c r="F12" s="33">
        <f>$C$32*('E Balans VL '!L8+'E Balans VL '!N8)/100/3.6*1000000</f>
        <v>192.91473548932643</v>
      </c>
      <c r="G12" s="34"/>
      <c r="H12" s="33"/>
      <c r="I12" s="33"/>
      <c r="J12" s="33">
        <f>$C$32*('E Balans VL '!D8+'E Balans VL '!E8)/100/3.6*1000000</f>
        <v>0</v>
      </c>
      <c r="K12" s="33"/>
      <c r="L12" s="33"/>
      <c r="M12" s="33"/>
      <c r="N12" s="33">
        <f>$C$32*'E Balans VL '!Y8/100/3.6*1000000</f>
        <v>77.387877480794273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2429.8978888194824</v>
      </c>
      <c r="C16" s="21">
        <f t="shared" ca="1" si="1"/>
        <v>0</v>
      </c>
      <c r="D16" s="21">
        <f t="shared" ca="1" si="1"/>
        <v>1134.3112970740417</v>
      </c>
      <c r="E16" s="21">
        <f t="shared" si="1"/>
        <v>32.119787067574947</v>
      </c>
      <c r="F16" s="21">
        <f t="shared" ca="1" si="1"/>
        <v>515.57898973311728</v>
      </c>
      <c r="G16" s="21">
        <f t="shared" si="1"/>
        <v>0</v>
      </c>
      <c r="H16" s="21">
        <f t="shared" si="1"/>
        <v>0</v>
      </c>
      <c r="I16" s="21">
        <f t="shared" si="1"/>
        <v>0</v>
      </c>
      <c r="J16" s="21">
        <f t="shared" si="1"/>
        <v>0</v>
      </c>
      <c r="K16" s="21">
        <f t="shared" si="1"/>
        <v>0</v>
      </c>
      <c r="L16" s="21">
        <f t="shared" ca="1" si="1"/>
        <v>0</v>
      </c>
      <c r="M16" s="21">
        <f t="shared" si="1"/>
        <v>0</v>
      </c>
      <c r="N16" s="21">
        <f t="shared" ca="1" si="1"/>
        <v>322.00881913608907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0.21397572660314612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519.93916633159949</v>
      </c>
      <c r="C20" s="23">
        <f t="shared" ref="C20:P20" ca="1" si="2">C16*C18</f>
        <v>0</v>
      </c>
      <c r="D20" s="23">
        <f t="shared" ca="1" si="2"/>
        <v>229.13088200895643</v>
      </c>
      <c r="E20" s="23">
        <f t="shared" si="2"/>
        <v>7.2911916643395136</v>
      </c>
      <c r="F20" s="23">
        <f t="shared" ca="1" si="2"/>
        <v>137.65959025874233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245.62652808816202</v>
      </c>
      <c r="C26" s="39">
        <f>IF(ISERROR(B26*3.6/1000000/'E Balans VL '!Z12*100),0,B26*3.6/1000000/'E Balans VL '!Z12*100)</f>
        <v>5.217229124158008E-3</v>
      </c>
      <c r="D26" s="239" t="s">
        <v>692</v>
      </c>
      <c r="F26" s="6"/>
    </row>
    <row r="27" spans="1:18">
      <c r="A27" s="233" t="s">
        <v>53</v>
      </c>
      <c r="B27" s="33">
        <f>IF(ISERROR(TER_horeca_ele_kWh/1000),0,TER_horeca_ele_kWh/1000)</f>
        <v>152.239949823893</v>
      </c>
      <c r="C27" s="39">
        <f>IF(ISERROR(B27*3.6/1000000/'E Balans VL '!Z9*100),0,B27*3.6/1000000/'E Balans VL '!Z9*100)</f>
        <v>1.1837583252021855E-2</v>
      </c>
      <c r="D27" s="239" t="s">
        <v>692</v>
      </c>
      <c r="F27" s="6"/>
    </row>
    <row r="28" spans="1:18">
      <c r="A28" s="173" t="s">
        <v>52</v>
      </c>
      <c r="B28" s="33">
        <f>IF(ISERROR(TER_handel_ele_kWh/1000),0,TER_handel_ele_kWh/1000)</f>
        <v>630.64882062705806</v>
      </c>
      <c r="C28" s="39">
        <f>IF(ISERROR(B28*3.6/1000000/'E Balans VL '!Z13*100),0,B28*3.6/1000000/'E Balans VL '!Z13*100)</f>
        <v>1.8043604957556032E-2</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348.46414209224304</v>
      </c>
      <c r="C30" s="39">
        <f>IF(ISERROR(B30*3.6/1000000/'E Balans VL '!Z14*100),0,B30*3.6/1000000/'E Balans VL '!Z14*100)</f>
        <v>2.5499815446142507E-2</v>
      </c>
      <c r="D30" s="239" t="s">
        <v>692</v>
      </c>
      <c r="F30" s="6"/>
    </row>
    <row r="31" spans="1:18">
      <c r="A31" s="233" t="s">
        <v>55</v>
      </c>
      <c r="B31" s="33">
        <f>IF(ISERROR(TER_onderwijs_ele_kWh/1000),0,TER_onderwijs_ele_kWh/1000)</f>
        <v>78.017416572247711</v>
      </c>
      <c r="C31" s="39">
        <f>IF(ISERROR(B31*3.6/1000000/'E Balans VL '!Z11*100),0,B31*3.6/1000000/'E Balans VL '!Z11*100)</f>
        <v>1.5669856052671974E-2</v>
      </c>
      <c r="D31" s="239" t="s">
        <v>692</v>
      </c>
    </row>
    <row r="32" spans="1:18">
      <c r="A32" s="233" t="s">
        <v>260</v>
      </c>
      <c r="B32" s="33">
        <f>IF(ISERROR(TER_rest_ele_kWh/1000),0,TER_rest_ele_kWh/1000)</f>
        <v>974.90103161587899</v>
      </c>
      <c r="C32" s="39">
        <f>IF(ISERROR(B32*3.6/1000000/'E Balans VL '!Z8*100),0,B32*3.6/1000000/'E Balans VL '!Z8*100)</f>
        <v>7.9448517702939443E-3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14370.639736038842</v>
      </c>
      <c r="C5" s="17">
        <f>IF(ISERROR('Eigen informatie GS &amp; warmtenet'!B59),0,'Eigen informatie GS &amp; warmtenet'!B59)</f>
        <v>0</v>
      </c>
      <c r="D5" s="30">
        <f>SUM(D6:D15)</f>
        <v>1141.8115945437273</v>
      </c>
      <c r="E5" s="17">
        <f>SUM(E6:E15)</f>
        <v>832.09359055740742</v>
      </c>
      <c r="F5" s="17">
        <f>SUM(F6:F15)</f>
        <v>3497.184460873746</v>
      </c>
      <c r="G5" s="18"/>
      <c r="H5" s="17"/>
      <c r="I5" s="17"/>
      <c r="J5" s="17">
        <f>SUM(J6:J15)</f>
        <v>36.157120330539421</v>
      </c>
      <c r="K5" s="17"/>
      <c r="L5" s="17"/>
      <c r="M5" s="17"/>
      <c r="N5" s="17">
        <f>SUM(N6:N15)</f>
        <v>2833.4242941992761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150.76766172786199</v>
      </c>
      <c r="C9" s="33"/>
      <c r="D9" s="37">
        <f>IF( ISERROR(IND_andere_gas_kWh/1000),0,IND_andere_gas_kWh/1000)*0.902</f>
        <v>22.852063491861649</v>
      </c>
      <c r="E9" s="33">
        <f>C31*'E Balans VL '!I19/100/3.6*1000000</f>
        <v>40.809099099135423</v>
      </c>
      <c r="F9" s="33">
        <f>C31*'E Balans VL '!L19/100/3.6*1000000+C31*'E Balans VL '!N19/100/3.6*1000000</f>
        <v>100.4272172621171</v>
      </c>
      <c r="G9" s="34"/>
      <c r="H9" s="33"/>
      <c r="I9" s="33"/>
      <c r="J9" s="40">
        <f>C31*'E Balans VL '!D19/100/3.6*1000000+C31*'E Balans VL '!E19/100/3.6*1000000</f>
        <v>0</v>
      </c>
      <c r="K9" s="33"/>
      <c r="L9" s="33"/>
      <c r="M9" s="33"/>
      <c r="N9" s="33">
        <f>C31*'E Balans VL '!Y19/100/3.6*1000000</f>
        <v>49.223137088875838</v>
      </c>
      <c r="O9" s="33"/>
      <c r="P9" s="33"/>
      <c r="R9" s="32"/>
    </row>
    <row r="10" spans="1:18">
      <c r="A10" s="6" t="s">
        <v>41</v>
      </c>
      <c r="B10" s="37">
        <f t="shared" si="0"/>
        <v>52.525794392371203</v>
      </c>
      <c r="C10" s="33"/>
      <c r="D10" s="37">
        <f>IF( ISERROR(IND_voed_gas_kWh/1000),0,IND_voed_gas_kWh/1000)*0.902</f>
        <v>0</v>
      </c>
      <c r="E10" s="33">
        <f>C32*'E Balans VL '!I20/100/3.6*1000000</f>
        <v>4.2841244655142887</v>
      </c>
      <c r="F10" s="33">
        <f>C32*'E Balans VL '!L20/100/3.6*1000000+C32*'E Balans VL '!N20/100/3.6*1000000</f>
        <v>78.320724996657063</v>
      </c>
      <c r="G10" s="34"/>
      <c r="H10" s="33"/>
      <c r="I10" s="33"/>
      <c r="J10" s="40">
        <f>C32*'E Balans VL '!D20/100/3.6*1000000+C32*'E Balans VL '!E20/100/3.6*1000000</f>
        <v>6.9485250204982135E-4</v>
      </c>
      <c r="K10" s="33"/>
      <c r="L10" s="33"/>
      <c r="M10" s="33"/>
      <c r="N10" s="33">
        <f>C32*'E Balans VL '!Y20/100/3.6*1000000</f>
        <v>15.43022495704653</v>
      </c>
      <c r="O10" s="33"/>
      <c r="P10" s="33"/>
      <c r="R10" s="32"/>
    </row>
    <row r="11" spans="1:18">
      <c r="A11" s="6" t="s">
        <v>40</v>
      </c>
      <c r="B11" s="37">
        <f t="shared" si="0"/>
        <v>60.6204276935065</v>
      </c>
      <c r="C11" s="33"/>
      <c r="D11" s="37">
        <f>IF( ISERROR(IND_textiel_gas_kWh/1000),0,IND_textiel_gas_kWh/1000)*0.902</f>
        <v>0</v>
      </c>
      <c r="E11" s="33">
        <f>C33*'E Balans VL '!I21/100/3.6*1000000</f>
        <v>1.2016209045208327E-2</v>
      </c>
      <c r="F11" s="33">
        <f>C33*'E Balans VL '!L21/100/3.6*1000000+C33*'E Balans VL '!N21/100/3.6*1000000</f>
        <v>2.2327234907313391</v>
      </c>
      <c r="G11" s="34"/>
      <c r="H11" s="33"/>
      <c r="I11" s="33"/>
      <c r="J11" s="40">
        <f>C33*'E Balans VL '!D21/100/3.6*1000000+C33*'E Balans VL '!E21/100/3.6*1000000</f>
        <v>0</v>
      </c>
      <c r="K11" s="33"/>
      <c r="L11" s="33"/>
      <c r="M11" s="33"/>
      <c r="N11" s="33">
        <f>C33*'E Balans VL '!Y21/100/3.6*1000000</f>
        <v>0.28186968564209286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14106.725852225101</v>
      </c>
      <c r="C15" s="33"/>
      <c r="D15" s="37">
        <f>IF( ISERROR(IND_rest_gas_kWh/1000),0,IND_rest_gas_kWh/1000)*0.902</f>
        <v>1118.9595310518657</v>
      </c>
      <c r="E15" s="33">
        <f>C37*'E Balans VL '!I15/100/3.6*1000000</f>
        <v>786.98835078371246</v>
      </c>
      <c r="F15" s="33">
        <f>C37*'E Balans VL '!L15/100/3.6*1000000+C37*'E Balans VL '!N15/100/3.6*1000000</f>
        <v>3316.2037951242405</v>
      </c>
      <c r="G15" s="34"/>
      <c r="H15" s="33"/>
      <c r="I15" s="33"/>
      <c r="J15" s="40">
        <f>C37*'E Balans VL '!D15/100/3.6*1000000+C37*'E Balans VL '!E15/100/3.6*1000000</f>
        <v>36.15642547803737</v>
      </c>
      <c r="K15" s="33"/>
      <c r="L15" s="33"/>
      <c r="M15" s="33"/>
      <c r="N15" s="33">
        <f>C37*'E Balans VL '!Y15/100/3.6*1000000</f>
        <v>2768.4890624677118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14370.639736038842</v>
      </c>
      <c r="C18" s="21">
        <f>C5+C16</f>
        <v>0</v>
      </c>
      <c r="D18" s="21">
        <f>MAX((D5+D16),0)</f>
        <v>1141.8115945437273</v>
      </c>
      <c r="E18" s="21">
        <f>MAX((E5+E16),0)</f>
        <v>832.09359055740742</v>
      </c>
      <c r="F18" s="21">
        <f>MAX((F5+F16),0)</f>
        <v>3497.184460873746</v>
      </c>
      <c r="G18" s="21"/>
      <c r="H18" s="21"/>
      <c r="I18" s="21"/>
      <c r="J18" s="21">
        <f>MAX((J5+J16),0)</f>
        <v>36.157120330539421</v>
      </c>
      <c r="K18" s="21"/>
      <c r="L18" s="21">
        <f>MAX((L5+L16),0)</f>
        <v>0</v>
      </c>
      <c r="M18" s="21"/>
      <c r="N18" s="21">
        <f>MAX((N5+N16),0)</f>
        <v>2833.4242941992761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0.21397572660314612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3074.9680792709551</v>
      </c>
      <c r="C22" s="23">
        <f ca="1">C18*C20</f>
        <v>0</v>
      </c>
      <c r="D22" s="23">
        <f>D18*D20</f>
        <v>230.64594209783294</v>
      </c>
      <c r="E22" s="23">
        <f>E18*E20</f>
        <v>188.88524505653149</v>
      </c>
      <c r="F22" s="23">
        <f>F18*F20</f>
        <v>933.74825105329023</v>
      </c>
      <c r="G22" s="23"/>
      <c r="H22" s="23"/>
      <c r="I22" s="23"/>
      <c r="J22" s="23">
        <f>J18*J20</f>
        <v>12.799620597010954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150.76766172786199</v>
      </c>
      <c r="C31" s="39">
        <f>IF(ISERROR(B31*3.6/1000000/'E Balans VL '!Z19*100),0,B31*3.6/1000000/'E Balans VL '!Z19*100)</f>
        <v>6.5658114020693287E-3</v>
      </c>
      <c r="D31" s="239" t="s">
        <v>692</v>
      </c>
    </row>
    <row r="32" spans="1:18">
      <c r="A32" s="173" t="s">
        <v>41</v>
      </c>
      <c r="B32" s="37">
        <f>IF( ISERROR(IND_voed_ele_kWh/1000),0,IND_voed_ele_kWh/1000)</f>
        <v>52.525794392371203</v>
      </c>
      <c r="C32" s="39">
        <f>IF(ISERROR(B32*3.6/1000000/'E Balans VL '!Z20*100),0,B32*3.6/1000000/'E Balans VL '!Z20*100)</f>
        <v>9.9660119815906719E-3</v>
      </c>
      <c r="D32" s="239" t="s">
        <v>692</v>
      </c>
    </row>
    <row r="33" spans="1:5">
      <c r="A33" s="173" t="s">
        <v>40</v>
      </c>
      <c r="B33" s="37">
        <f>IF( ISERROR(IND_textiel_ele_kWh/1000),0,IND_textiel_ele_kWh/1000)</f>
        <v>60.6204276935065</v>
      </c>
      <c r="C33" s="39">
        <f>IF(ISERROR(B33*3.6/1000000/'E Balans VL '!Z21*100),0,B33*3.6/1000000/'E Balans VL '!Z21*100)</f>
        <v>3.4611189996300367E-3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14106.725852225101</v>
      </c>
      <c r="C37" s="39">
        <f>IF(ISERROR(B37*3.6/1000000/'E Balans VL '!Z15*100),0,B37*3.6/1000000/'E Balans VL '!Z15*100)</f>
        <v>0.10870964932225416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217.53418463964408</v>
      </c>
      <c r="C5" s="17">
        <f>'Eigen informatie GS &amp; warmtenet'!B60</f>
        <v>0</v>
      </c>
      <c r="D5" s="30">
        <f>IF(ISERROR(SUM(LB_lb_gas_kWh,LB_rest_gas_kWh,onbekend_gas_kWh)/1000),0,SUM(LB_lb_gas_kWh,LB_rest_gas_kWh,onbekend_gas_kWh)/1000)*0.902</f>
        <v>372.72764440168839</v>
      </c>
      <c r="E5" s="17">
        <f>B17*'E Balans VL '!I25/3.6*1000000/100</f>
        <v>2.7412109674680947</v>
      </c>
      <c r="F5" s="17">
        <f>B17*('E Balans VL '!L25/3.6*1000000+'E Balans VL '!N25/3.6*1000000)/100</f>
        <v>750.54743257626819</v>
      </c>
      <c r="G5" s="18"/>
      <c r="H5" s="17"/>
      <c r="I5" s="17"/>
      <c r="J5" s="17">
        <f>('E Balans VL '!D25+'E Balans VL '!E25)/3.6*1000000*landbouw!B17/100</f>
        <v>32.714668528466184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217.53418463964408</v>
      </c>
      <c r="C8" s="21">
        <f>C5+C6</f>
        <v>0</v>
      </c>
      <c r="D8" s="21">
        <f>MAX((D5+D6),0)</f>
        <v>372.72764440168839</v>
      </c>
      <c r="E8" s="21">
        <f>MAX((E5+E6),0)</f>
        <v>2.7412109674680947</v>
      </c>
      <c r="F8" s="21">
        <f>MAX((F5+F6),0)</f>
        <v>750.54743257626819</v>
      </c>
      <c r="G8" s="21"/>
      <c r="H8" s="21"/>
      <c r="I8" s="21"/>
      <c r="J8" s="21">
        <f>MAX((J5+J6),0)</f>
        <v>32.714668528466184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0.21397572660314612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46.547035219290791</v>
      </c>
      <c r="C12" s="23">
        <f ca="1">C8*C10</f>
        <v>0</v>
      </c>
      <c r="D12" s="23">
        <f>D8*D10</f>
        <v>75.290984169141055</v>
      </c>
      <c r="E12" s="23">
        <f>E8*E10</f>
        <v>0.62225488961525754</v>
      </c>
      <c r="F12" s="23">
        <f>F8*F10</f>
        <v>200.39616449786362</v>
      </c>
      <c r="G12" s="23"/>
      <c r="H12" s="23"/>
      <c r="I12" s="23"/>
      <c r="J12" s="23">
        <f>J8*J10</f>
        <v>11.580992659077028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3.0339162477712168E-2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31.669404316621296</v>
      </c>
      <c r="C26" s="249">
        <f>B26*'GWP N2O_CH4'!B5</f>
        <v>665.05749064904717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14.44534427228556</v>
      </c>
      <c r="C27" s="249">
        <f>B27*'GWP N2O_CH4'!B5</f>
        <v>303.35222971799675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0.52054647361903761</v>
      </c>
      <c r="C28" s="249">
        <f>B28*'GWP N2O_CH4'!B4</f>
        <v>161.36940682190166</v>
      </c>
      <c r="D28" s="50"/>
    </row>
    <row r="29" spans="1:4">
      <c r="A29" s="41" t="s">
        <v>277</v>
      </c>
      <c r="B29" s="249">
        <f>B34*'ha_N2O bodem landbouw'!B4</f>
        <v>4.5687307274054012</v>
      </c>
      <c r="C29" s="249">
        <f>B29*'GWP N2O_CH4'!B4</f>
        <v>1416.3065254956744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1.1407664106015424E-3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4.7214313168419744E-6</v>
      </c>
      <c r="C5" s="448" t="s">
        <v>211</v>
      </c>
      <c r="D5" s="433">
        <f>SUM(D6:D11)</f>
        <v>6.8958917520752471E-6</v>
      </c>
      <c r="E5" s="433">
        <f>SUM(E6:E11)</f>
        <v>2.1539383000257037E-4</v>
      </c>
      <c r="F5" s="446" t="s">
        <v>211</v>
      </c>
      <c r="G5" s="433">
        <f>SUM(G6:G11)</f>
        <v>5.7527991419776006E-2</v>
      </c>
      <c r="H5" s="433">
        <f>SUM(H6:H11)</f>
        <v>1.041162095674252E-2</v>
      </c>
      <c r="I5" s="448" t="s">
        <v>211</v>
      </c>
      <c r="J5" s="448" t="s">
        <v>211</v>
      </c>
      <c r="K5" s="448" t="s">
        <v>211</v>
      </c>
      <c r="L5" s="448" t="s">
        <v>211</v>
      </c>
      <c r="M5" s="433">
        <f>SUM(M6:M11)</f>
        <v>3.071328973140931E-3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4.532214490631454E-6</v>
      </c>
      <c r="C6" s="949"/>
      <c r="D6" s="949">
        <f>vkm_2011_GW_PW*SUMIFS(TableVerdeelsleutelVkm[CNG],TableVerdeelsleutelVkm[Voertuigtype],"Lichte voertuigen")*SUMIFS(TableECFTransport[EnergieConsumptieFactor (PJ per km)],TableECFTransport[Index],CONCATENATE($A6,"_CNG_CNG"))</f>
        <v>6.4185021320290178E-6</v>
      </c>
      <c r="E6" s="949">
        <f>vkm_2011_GW_PW*SUMIFS(TableVerdeelsleutelVkm[LPG],TableVerdeelsleutelVkm[Voertuigtype],"Lichte voertuigen")*SUMIFS(TableECFTransport[EnergieConsumptieFactor (PJ per km)],TableECFTransport[Index],CONCATENATE($A6,"_LPG_LPG"))</f>
        <v>2.0158402170016943E-4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3.6230168481112039E-2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9.7081651742788305E-3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2.0783970001626946E-3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1.8886328954375954E-2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6.7101168874031211E-6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8.5228025460250896E-4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1.8921682621052014E-7</v>
      </c>
      <c r="C8" s="949"/>
      <c r="D8" s="436">
        <f>vkm_2011_NGW_PW*SUMIFS(TableVerdeelsleutelVkm[CNG],TableVerdeelsleutelVkm[Voertuigtype],"Lichte voertuigen")*SUMIFS(TableECFTransport[EnergieConsumptieFactor (PJ per km)],TableECFTransport[Index],CONCATENATE($A8,"_CNG_CNG"))</f>
        <v>4.7738962004622927E-7</v>
      </c>
      <c r="E8" s="436">
        <f>vkm_2011_NGW_PW*SUMIFS(TableVerdeelsleutelVkm[LPG],TableVerdeelsleutelVkm[Voertuigtype],"Lichte voertuigen")*SUMIFS(TableECFTransport[EnergieConsumptieFactor (PJ per km)],TableECFTransport[Index],CONCATENATE($A8,"_LPG_LPG"))</f>
        <v>1.3809808302400947E-5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2.3408964209210722E-3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6.9672193015474064E-4</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1.3746593538341528E-4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7.0597563366942738E-5</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2.3735421546419587E-8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3.1857829923120128E-6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1.3115086991227705</v>
      </c>
      <c r="C14" s="21"/>
      <c r="D14" s="21">
        <f t="shared" ref="D14:M14" si="0">((D5)*10^9/3600)+D12</f>
        <v>1.9155254866875688</v>
      </c>
      <c r="E14" s="21">
        <f t="shared" si="0"/>
        <v>59.831619445158438</v>
      </c>
      <c r="F14" s="21"/>
      <c r="G14" s="21">
        <f t="shared" si="0"/>
        <v>15979.997616604447</v>
      </c>
      <c r="H14" s="21">
        <f t="shared" si="0"/>
        <v>2892.1169324284779</v>
      </c>
      <c r="I14" s="21"/>
      <c r="J14" s="21"/>
      <c r="K14" s="21"/>
      <c r="L14" s="21"/>
      <c r="M14" s="21">
        <f t="shared" si="0"/>
        <v>853.14693698359201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0.21397572660314612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0.28063102684114177</v>
      </c>
      <c r="C18" s="23"/>
      <c r="D18" s="23">
        <f t="shared" ref="D18:M18" si="1">D14*D16</f>
        <v>0.38693614831088891</v>
      </c>
      <c r="E18" s="23">
        <f t="shared" si="1"/>
        <v>13.581777614050965</v>
      </c>
      <c r="F18" s="23"/>
      <c r="G18" s="23">
        <f t="shared" si="1"/>
        <v>4266.6593636333873</v>
      </c>
      <c r="H18" s="23">
        <f t="shared" si="1"/>
        <v>720.13711617469096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9.6839164427732797E-4</v>
      </c>
      <c r="H50" s="323">
        <f t="shared" si="2"/>
        <v>0</v>
      </c>
      <c r="I50" s="323">
        <f t="shared" si="2"/>
        <v>0</v>
      </c>
      <c r="J50" s="323">
        <f t="shared" si="2"/>
        <v>0</v>
      </c>
      <c r="K50" s="323">
        <f t="shared" si="2"/>
        <v>0</v>
      </c>
      <c r="L50" s="323">
        <f t="shared" si="2"/>
        <v>0</v>
      </c>
      <c r="M50" s="323">
        <f t="shared" si="2"/>
        <v>4.3066745025996202E-5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9.6839164427732797E-4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4.3066745025996202E-5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268.99767896592442</v>
      </c>
      <c r="H54" s="21">
        <f t="shared" si="3"/>
        <v>0</v>
      </c>
      <c r="I54" s="21">
        <f t="shared" si="3"/>
        <v>0</v>
      </c>
      <c r="J54" s="21">
        <f t="shared" si="3"/>
        <v>0</v>
      </c>
      <c r="K54" s="21">
        <f t="shared" si="3"/>
        <v>0</v>
      </c>
      <c r="L54" s="21">
        <f t="shared" si="3"/>
        <v>0</v>
      </c>
      <c r="M54" s="21">
        <f t="shared" si="3"/>
        <v>11.962984729443388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0.21397572660314612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71.822380283901822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673.17775381477952</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673.17775381477952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2626.4348888194822</v>
      </c>
      <c r="D10" s="704">
        <f ca="1">tertiair!C16</f>
        <v>0</v>
      </c>
      <c r="E10" s="704">
        <f ca="1">tertiair!D16</f>
        <v>1134.3112970740417</v>
      </c>
      <c r="F10" s="704">
        <f>tertiair!E16</f>
        <v>32.119787067574947</v>
      </c>
      <c r="G10" s="704">
        <f ca="1">tertiair!F16</f>
        <v>515.57898973311728</v>
      </c>
      <c r="H10" s="704">
        <f>tertiair!G16</f>
        <v>0</v>
      </c>
      <c r="I10" s="704">
        <f>tertiair!H16</f>
        <v>0</v>
      </c>
      <c r="J10" s="704">
        <f>tertiair!I16</f>
        <v>0</v>
      </c>
      <c r="K10" s="704">
        <f>tertiair!J16</f>
        <v>0</v>
      </c>
      <c r="L10" s="704">
        <f>tertiair!K16</f>
        <v>0</v>
      </c>
      <c r="M10" s="704">
        <f ca="1">tertiair!L16</f>
        <v>0</v>
      </c>
      <c r="N10" s="704">
        <f>tertiair!M16</f>
        <v>0</v>
      </c>
      <c r="O10" s="704">
        <f ca="1">tertiair!N16</f>
        <v>322.00881913608907</v>
      </c>
      <c r="P10" s="704">
        <f>tertiair!O16</f>
        <v>0</v>
      </c>
      <c r="Q10" s="705">
        <f>tertiair!P16</f>
        <v>0</v>
      </c>
      <c r="R10" s="707">
        <f ca="1">SUM(C10:Q10)</f>
        <v>4630.4537818303052</v>
      </c>
      <c r="S10" s="67"/>
    </row>
    <row r="11" spans="1:19" s="459" customFormat="1">
      <c r="A11" s="858" t="s">
        <v>225</v>
      </c>
      <c r="B11" s="863"/>
      <c r="C11" s="704">
        <f>huishoudens!B8</f>
        <v>3963.8195905171474</v>
      </c>
      <c r="D11" s="704">
        <f>huishoudens!C8</f>
        <v>0</v>
      </c>
      <c r="E11" s="704">
        <f>huishoudens!D8</f>
        <v>5890.2766875516072</v>
      </c>
      <c r="F11" s="704">
        <f>huishoudens!E8</f>
        <v>898.50646778215878</v>
      </c>
      <c r="G11" s="704">
        <f>huishoudens!F8</f>
        <v>5130.7078124531763</v>
      </c>
      <c r="H11" s="704">
        <f>huishoudens!G8</f>
        <v>0</v>
      </c>
      <c r="I11" s="704">
        <f>huishoudens!H8</f>
        <v>0</v>
      </c>
      <c r="J11" s="704">
        <f>huishoudens!I8</f>
        <v>0</v>
      </c>
      <c r="K11" s="704">
        <f>huishoudens!J8</f>
        <v>1346.6097675714807</v>
      </c>
      <c r="L11" s="704">
        <f>huishoudens!K8</f>
        <v>0</v>
      </c>
      <c r="M11" s="704">
        <f>huishoudens!L8</f>
        <v>0</v>
      </c>
      <c r="N11" s="704">
        <f>huishoudens!M8</f>
        <v>0</v>
      </c>
      <c r="O11" s="704">
        <f>huishoudens!N8</f>
        <v>3031.5919427548597</v>
      </c>
      <c r="P11" s="704">
        <f>huishoudens!O8</f>
        <v>14.070000000000002</v>
      </c>
      <c r="Q11" s="705">
        <f>huishoudens!P8</f>
        <v>76.266666666666666</v>
      </c>
      <c r="R11" s="707">
        <f>SUM(C11:Q11)</f>
        <v>20351.848935297097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14370.639736038842</v>
      </c>
      <c r="D13" s="704">
        <f>industrie!C18</f>
        <v>0</v>
      </c>
      <c r="E13" s="704">
        <f>industrie!D18</f>
        <v>1141.8115945437273</v>
      </c>
      <c r="F13" s="704">
        <f>industrie!E18</f>
        <v>832.09359055740742</v>
      </c>
      <c r="G13" s="704">
        <f>industrie!F18</f>
        <v>3497.184460873746</v>
      </c>
      <c r="H13" s="704">
        <f>industrie!G18</f>
        <v>0</v>
      </c>
      <c r="I13" s="704">
        <f>industrie!H18</f>
        <v>0</v>
      </c>
      <c r="J13" s="704">
        <f>industrie!I18</f>
        <v>0</v>
      </c>
      <c r="K13" s="704">
        <f>industrie!J18</f>
        <v>36.157120330539421</v>
      </c>
      <c r="L13" s="704">
        <f>industrie!K18</f>
        <v>0</v>
      </c>
      <c r="M13" s="704">
        <f>industrie!L18</f>
        <v>0</v>
      </c>
      <c r="N13" s="704">
        <f>industrie!M18</f>
        <v>0</v>
      </c>
      <c r="O13" s="704">
        <f>industrie!N18</f>
        <v>2833.4242941992761</v>
      </c>
      <c r="P13" s="704">
        <f>industrie!O18</f>
        <v>0</v>
      </c>
      <c r="Q13" s="705">
        <f>industrie!P18</f>
        <v>0</v>
      </c>
      <c r="R13" s="707">
        <f>SUM(C13:Q13)</f>
        <v>22711.310796543541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20960.894215375472</v>
      </c>
      <c r="D15" s="709">
        <f t="shared" ref="D15:Q15" ca="1" si="0">SUM(D9:D14)</f>
        <v>0</v>
      </c>
      <c r="E15" s="709">
        <f t="shared" ca="1" si="0"/>
        <v>8166.399579169376</v>
      </c>
      <c r="F15" s="709">
        <f t="shared" si="0"/>
        <v>1762.7198454071413</v>
      </c>
      <c r="G15" s="709">
        <f t="shared" ca="1" si="0"/>
        <v>9143.4712630600388</v>
      </c>
      <c r="H15" s="709">
        <f t="shared" si="0"/>
        <v>0</v>
      </c>
      <c r="I15" s="709">
        <f t="shared" si="0"/>
        <v>0</v>
      </c>
      <c r="J15" s="709">
        <f t="shared" si="0"/>
        <v>0</v>
      </c>
      <c r="K15" s="709">
        <f t="shared" si="0"/>
        <v>1382.76688790202</v>
      </c>
      <c r="L15" s="709">
        <f t="shared" si="0"/>
        <v>0</v>
      </c>
      <c r="M15" s="709">
        <f t="shared" ca="1" si="0"/>
        <v>0</v>
      </c>
      <c r="N15" s="709">
        <f t="shared" si="0"/>
        <v>0</v>
      </c>
      <c r="O15" s="709">
        <f t="shared" ca="1" si="0"/>
        <v>6187.025056090225</v>
      </c>
      <c r="P15" s="709">
        <f t="shared" si="0"/>
        <v>14.070000000000002</v>
      </c>
      <c r="Q15" s="710">
        <f t="shared" si="0"/>
        <v>76.266666666666666</v>
      </c>
      <c r="R15" s="711">
        <f ca="1">SUM(R9:R14)</f>
        <v>47693.613513670942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268.99767896592442</v>
      </c>
      <c r="I18" s="704">
        <f>transport!H54</f>
        <v>0</v>
      </c>
      <c r="J18" s="704">
        <f>transport!I54</f>
        <v>0</v>
      </c>
      <c r="K18" s="704">
        <f>transport!J54</f>
        <v>0</v>
      </c>
      <c r="L18" s="704">
        <f>transport!K54</f>
        <v>0</v>
      </c>
      <c r="M18" s="704">
        <f>transport!L54</f>
        <v>0</v>
      </c>
      <c r="N18" s="704">
        <f>transport!M54</f>
        <v>11.962984729443388</v>
      </c>
      <c r="O18" s="704">
        <f>transport!N54</f>
        <v>0</v>
      </c>
      <c r="P18" s="704">
        <f>transport!O54</f>
        <v>0</v>
      </c>
      <c r="Q18" s="705">
        <f>transport!P54</f>
        <v>0</v>
      </c>
      <c r="R18" s="707">
        <f>SUM(C18:Q18)</f>
        <v>280.96066369536783</v>
      </c>
      <c r="S18" s="67"/>
    </row>
    <row r="19" spans="1:19" s="459" customFormat="1" ht="15" thickBot="1">
      <c r="A19" s="858" t="s">
        <v>307</v>
      </c>
      <c r="B19" s="863"/>
      <c r="C19" s="713">
        <f>transport!B14</f>
        <v>1.3115086991227705</v>
      </c>
      <c r="D19" s="713">
        <f>transport!C14</f>
        <v>0</v>
      </c>
      <c r="E19" s="713">
        <f>transport!D14</f>
        <v>1.9155254866875688</v>
      </c>
      <c r="F19" s="713">
        <f>transport!E14</f>
        <v>59.831619445158438</v>
      </c>
      <c r="G19" s="713">
        <f>transport!F14</f>
        <v>0</v>
      </c>
      <c r="H19" s="713">
        <f>transport!G14</f>
        <v>15979.997616604447</v>
      </c>
      <c r="I19" s="713">
        <f>transport!H14</f>
        <v>2892.1169324284779</v>
      </c>
      <c r="J19" s="713">
        <f>transport!I14</f>
        <v>0</v>
      </c>
      <c r="K19" s="713">
        <f>transport!J14</f>
        <v>0</v>
      </c>
      <c r="L19" s="713">
        <f>transport!K14</f>
        <v>0</v>
      </c>
      <c r="M19" s="713">
        <f>transport!L14</f>
        <v>0</v>
      </c>
      <c r="N19" s="713">
        <f>transport!M14</f>
        <v>853.14693698359201</v>
      </c>
      <c r="O19" s="713">
        <f>transport!N14</f>
        <v>0</v>
      </c>
      <c r="P19" s="713">
        <f>transport!O14</f>
        <v>0</v>
      </c>
      <c r="Q19" s="714">
        <f>transport!P14</f>
        <v>0</v>
      </c>
      <c r="R19" s="715">
        <f>SUM(C19:Q19)</f>
        <v>19788.320139647483</v>
      </c>
      <c r="S19" s="67"/>
    </row>
    <row r="20" spans="1:19" s="459" customFormat="1" ht="15.75" thickBot="1">
      <c r="A20" s="716" t="s">
        <v>230</v>
      </c>
      <c r="B20" s="866"/>
      <c r="C20" s="861">
        <f>SUM(C17:C19)</f>
        <v>1.3115086991227705</v>
      </c>
      <c r="D20" s="717">
        <f t="shared" ref="D20:R20" si="1">SUM(D17:D19)</f>
        <v>0</v>
      </c>
      <c r="E20" s="717">
        <f t="shared" si="1"/>
        <v>1.9155254866875688</v>
      </c>
      <c r="F20" s="717">
        <f t="shared" si="1"/>
        <v>59.831619445158438</v>
      </c>
      <c r="G20" s="717">
        <f t="shared" si="1"/>
        <v>0</v>
      </c>
      <c r="H20" s="717">
        <f t="shared" si="1"/>
        <v>16248.995295570372</v>
      </c>
      <c r="I20" s="717">
        <f t="shared" si="1"/>
        <v>2892.1169324284779</v>
      </c>
      <c r="J20" s="717">
        <f t="shared" si="1"/>
        <v>0</v>
      </c>
      <c r="K20" s="717">
        <f t="shared" si="1"/>
        <v>0</v>
      </c>
      <c r="L20" s="717">
        <f t="shared" si="1"/>
        <v>0</v>
      </c>
      <c r="M20" s="717">
        <f t="shared" si="1"/>
        <v>0</v>
      </c>
      <c r="N20" s="717">
        <f t="shared" si="1"/>
        <v>865.10992171303542</v>
      </c>
      <c r="O20" s="717">
        <f t="shared" si="1"/>
        <v>0</v>
      </c>
      <c r="P20" s="717">
        <f t="shared" si="1"/>
        <v>0</v>
      </c>
      <c r="Q20" s="718">
        <f t="shared" si="1"/>
        <v>0</v>
      </c>
      <c r="R20" s="719">
        <f t="shared" si="1"/>
        <v>20069.280803342852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217.53418463964408</v>
      </c>
      <c r="D22" s="713">
        <f>+landbouw!C8</f>
        <v>0</v>
      </c>
      <c r="E22" s="713">
        <f>+landbouw!D8</f>
        <v>372.72764440168839</v>
      </c>
      <c r="F22" s="713">
        <f>+landbouw!E8</f>
        <v>2.7412109674680947</v>
      </c>
      <c r="G22" s="713">
        <f>+landbouw!F8</f>
        <v>750.54743257626819</v>
      </c>
      <c r="H22" s="713">
        <f>+landbouw!G8</f>
        <v>0</v>
      </c>
      <c r="I22" s="713">
        <f>+landbouw!H8</f>
        <v>0</v>
      </c>
      <c r="J22" s="713">
        <f>+landbouw!I8</f>
        <v>0</v>
      </c>
      <c r="K22" s="713">
        <f>+landbouw!J8</f>
        <v>32.714668528466184</v>
      </c>
      <c r="L22" s="713">
        <f>+landbouw!K8</f>
        <v>0</v>
      </c>
      <c r="M22" s="713">
        <f>+landbouw!L8</f>
        <v>0</v>
      </c>
      <c r="N22" s="713">
        <f>+landbouw!M8</f>
        <v>0</v>
      </c>
      <c r="O22" s="713">
        <f>+landbouw!N8</f>
        <v>0</v>
      </c>
      <c r="P22" s="713">
        <f>+landbouw!O8</f>
        <v>0</v>
      </c>
      <c r="Q22" s="714">
        <f>+landbouw!P8</f>
        <v>0</v>
      </c>
      <c r="R22" s="715">
        <f>SUM(C22:Q22)</f>
        <v>1376.265141113535</v>
      </c>
      <c r="S22" s="67"/>
    </row>
    <row r="23" spans="1:19" s="459" customFormat="1" ht="17.25" thickTop="1" thickBot="1">
      <c r="A23" s="720" t="s">
        <v>116</v>
      </c>
      <c r="B23" s="852"/>
      <c r="C23" s="721">
        <f ca="1">C20+C15+C22</f>
        <v>21179.73990871424</v>
      </c>
      <c r="D23" s="721">
        <f t="shared" ref="D23:Q23" ca="1" si="2">D20+D15+D22</f>
        <v>0</v>
      </c>
      <c r="E23" s="721">
        <f t="shared" ca="1" si="2"/>
        <v>8541.0427490577513</v>
      </c>
      <c r="F23" s="721">
        <f t="shared" si="2"/>
        <v>1825.2926758197677</v>
      </c>
      <c r="G23" s="721">
        <f t="shared" ca="1" si="2"/>
        <v>9894.0186956363068</v>
      </c>
      <c r="H23" s="721">
        <f t="shared" si="2"/>
        <v>16248.995295570372</v>
      </c>
      <c r="I23" s="721">
        <f t="shared" si="2"/>
        <v>2892.1169324284779</v>
      </c>
      <c r="J23" s="721">
        <f t="shared" si="2"/>
        <v>0</v>
      </c>
      <c r="K23" s="721">
        <f t="shared" si="2"/>
        <v>1415.4815564304863</v>
      </c>
      <c r="L23" s="721">
        <f t="shared" si="2"/>
        <v>0</v>
      </c>
      <c r="M23" s="721">
        <f t="shared" ca="1" si="2"/>
        <v>0</v>
      </c>
      <c r="N23" s="721">
        <f t="shared" si="2"/>
        <v>865.10992171303542</v>
      </c>
      <c r="O23" s="721">
        <f t="shared" ca="1" si="2"/>
        <v>6187.025056090225</v>
      </c>
      <c r="P23" s="721">
        <f t="shared" si="2"/>
        <v>14.070000000000002</v>
      </c>
      <c r="Q23" s="722">
        <f t="shared" si="2"/>
        <v>76.266666666666666</v>
      </c>
      <c r="R23" s="723">
        <f ca="1">R20+R15+R22</f>
        <v>69139.159458127324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561.99331371100197</v>
      </c>
      <c r="D36" s="704">
        <f ca="1">tertiair!C20</f>
        <v>0</v>
      </c>
      <c r="E36" s="704">
        <f ca="1">tertiair!D20</f>
        <v>229.13088200895643</v>
      </c>
      <c r="F36" s="704">
        <f>tertiair!E20</f>
        <v>7.2911916643395136</v>
      </c>
      <c r="G36" s="704">
        <f ca="1">tertiair!F20</f>
        <v>137.65959025874233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936.07497764304026</v>
      </c>
    </row>
    <row r="37" spans="1:18">
      <c r="A37" s="873" t="s">
        <v>225</v>
      </c>
      <c r="B37" s="880"/>
      <c r="C37" s="704">
        <f ca="1">huishoudens!B12</f>
        <v>848.16117700469169</v>
      </c>
      <c r="D37" s="704">
        <f ca="1">huishoudens!C12</f>
        <v>0</v>
      </c>
      <c r="E37" s="704">
        <f>huishoudens!D12</f>
        <v>1189.8358908854248</v>
      </c>
      <c r="F37" s="704">
        <f>huishoudens!E12</f>
        <v>203.96096818655005</v>
      </c>
      <c r="G37" s="704">
        <f>huishoudens!F12</f>
        <v>1369.8989859249982</v>
      </c>
      <c r="H37" s="704">
        <f>huishoudens!G12</f>
        <v>0</v>
      </c>
      <c r="I37" s="704">
        <f>huishoudens!H12</f>
        <v>0</v>
      </c>
      <c r="J37" s="704">
        <f>huishoudens!I12</f>
        <v>0</v>
      </c>
      <c r="K37" s="704">
        <f>huishoudens!J12</f>
        <v>476.69985772030412</v>
      </c>
      <c r="L37" s="704">
        <f>huishoudens!K12</f>
        <v>0</v>
      </c>
      <c r="M37" s="704">
        <f>huishoudens!L12</f>
        <v>0</v>
      </c>
      <c r="N37" s="704">
        <f>huishoudens!M12</f>
        <v>0</v>
      </c>
      <c r="O37" s="704">
        <f>huishoudens!N12</f>
        <v>0</v>
      </c>
      <c r="P37" s="704">
        <f>huishoudens!O12</f>
        <v>0</v>
      </c>
      <c r="Q37" s="814">
        <f>huishoudens!P12</f>
        <v>0</v>
      </c>
      <c r="R37" s="905">
        <f ca="1">SUM(C37:Q37)</f>
        <v>4088.5568797219685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3074.9680792709551</v>
      </c>
      <c r="D39" s="704">
        <f ca="1">industrie!C22</f>
        <v>0</v>
      </c>
      <c r="E39" s="704">
        <f>industrie!D22</f>
        <v>230.64594209783294</v>
      </c>
      <c r="F39" s="704">
        <f>industrie!E22</f>
        <v>188.88524505653149</v>
      </c>
      <c r="G39" s="704">
        <f>industrie!F22</f>
        <v>933.74825105329023</v>
      </c>
      <c r="H39" s="704">
        <f>industrie!G22</f>
        <v>0</v>
      </c>
      <c r="I39" s="704">
        <f>industrie!H22</f>
        <v>0</v>
      </c>
      <c r="J39" s="704">
        <f>industrie!I22</f>
        <v>0</v>
      </c>
      <c r="K39" s="704">
        <f>industrie!J22</f>
        <v>12.799620597010954</v>
      </c>
      <c r="L39" s="704">
        <f>industrie!K22</f>
        <v>0</v>
      </c>
      <c r="M39" s="704">
        <f>industrie!L22</f>
        <v>0</v>
      </c>
      <c r="N39" s="704">
        <f>industrie!M22</f>
        <v>0</v>
      </c>
      <c r="O39" s="704">
        <f>industrie!N22</f>
        <v>0</v>
      </c>
      <c r="P39" s="704">
        <f>industrie!O22</f>
        <v>0</v>
      </c>
      <c r="Q39" s="814">
        <f>industrie!P22</f>
        <v>0</v>
      </c>
      <c r="R39" s="906">
        <f ca="1">SUM(C39:Q39)</f>
        <v>4441.0471380756208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4485.1225699866482</v>
      </c>
      <c r="D41" s="749">
        <f t="shared" ref="D41:R41" ca="1" si="4">SUM(D35:D40)</f>
        <v>0</v>
      </c>
      <c r="E41" s="749">
        <f t="shared" ca="1" si="4"/>
        <v>1649.612714992214</v>
      </c>
      <c r="F41" s="749">
        <f t="shared" si="4"/>
        <v>400.13740490742106</v>
      </c>
      <c r="G41" s="749">
        <f t="shared" ca="1" si="4"/>
        <v>2441.306827237031</v>
      </c>
      <c r="H41" s="749">
        <f t="shared" si="4"/>
        <v>0</v>
      </c>
      <c r="I41" s="749">
        <f t="shared" si="4"/>
        <v>0</v>
      </c>
      <c r="J41" s="749">
        <f t="shared" si="4"/>
        <v>0</v>
      </c>
      <c r="K41" s="749">
        <f t="shared" si="4"/>
        <v>489.49947831731509</v>
      </c>
      <c r="L41" s="749">
        <f t="shared" si="4"/>
        <v>0</v>
      </c>
      <c r="M41" s="749">
        <f t="shared" ca="1" si="4"/>
        <v>0</v>
      </c>
      <c r="N41" s="749">
        <f t="shared" si="4"/>
        <v>0</v>
      </c>
      <c r="O41" s="749">
        <f t="shared" ca="1" si="4"/>
        <v>0</v>
      </c>
      <c r="P41" s="749">
        <f t="shared" si="4"/>
        <v>0</v>
      </c>
      <c r="Q41" s="750">
        <f t="shared" si="4"/>
        <v>0</v>
      </c>
      <c r="R41" s="751">
        <f t="shared" ca="1" si="4"/>
        <v>9465.6789954406304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71.822380283901822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71.822380283901822</v>
      </c>
    </row>
    <row r="45" spans="1:18" ht="15" thickBot="1">
      <c r="A45" s="876" t="s">
        <v>307</v>
      </c>
      <c r="B45" s="886"/>
      <c r="C45" s="713">
        <f ca="1">transport!B18</f>
        <v>0.28063102684114177</v>
      </c>
      <c r="D45" s="713">
        <f>transport!C18</f>
        <v>0</v>
      </c>
      <c r="E45" s="713">
        <f>transport!D18</f>
        <v>0.38693614831088891</v>
      </c>
      <c r="F45" s="713">
        <f>transport!E18</f>
        <v>13.581777614050965</v>
      </c>
      <c r="G45" s="713">
        <f>transport!F18</f>
        <v>0</v>
      </c>
      <c r="H45" s="713">
        <f>transport!G18</f>
        <v>4266.6593636333873</v>
      </c>
      <c r="I45" s="713">
        <f>transport!H18</f>
        <v>720.13711617469096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5001.0458245972814</v>
      </c>
    </row>
    <row r="46" spans="1:18" ht="15.75" thickBot="1">
      <c r="A46" s="874" t="s">
        <v>230</v>
      </c>
      <c r="B46" s="887"/>
      <c r="C46" s="749">
        <f t="shared" ref="C46:R46" ca="1" si="5">SUM(C43:C45)</f>
        <v>0.28063102684114177</v>
      </c>
      <c r="D46" s="749">
        <f t="shared" ca="1" si="5"/>
        <v>0</v>
      </c>
      <c r="E46" s="749">
        <f t="shared" si="5"/>
        <v>0.38693614831088891</v>
      </c>
      <c r="F46" s="749">
        <f t="shared" si="5"/>
        <v>13.581777614050965</v>
      </c>
      <c r="G46" s="749">
        <f t="shared" si="5"/>
        <v>0</v>
      </c>
      <c r="H46" s="749">
        <f t="shared" si="5"/>
        <v>4338.4817439172894</v>
      </c>
      <c r="I46" s="749">
        <f t="shared" si="5"/>
        <v>720.13711617469096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5072.8682048811834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46.547035219290791</v>
      </c>
      <c r="D48" s="704">
        <f ca="1">+landbouw!C12</f>
        <v>0</v>
      </c>
      <c r="E48" s="704">
        <f>+landbouw!D12</f>
        <v>75.290984169141055</v>
      </c>
      <c r="F48" s="704">
        <f>+landbouw!E12</f>
        <v>0.62225488961525754</v>
      </c>
      <c r="G48" s="704">
        <f>+landbouw!F12</f>
        <v>200.39616449786362</v>
      </c>
      <c r="H48" s="704">
        <f>+landbouw!G12</f>
        <v>0</v>
      </c>
      <c r="I48" s="704">
        <f>+landbouw!H12</f>
        <v>0</v>
      </c>
      <c r="J48" s="704">
        <f>+landbouw!I12</f>
        <v>0</v>
      </c>
      <c r="K48" s="704">
        <f>+landbouw!J12</f>
        <v>11.580992659077028</v>
      </c>
      <c r="L48" s="704">
        <f>+landbouw!K12</f>
        <v>0</v>
      </c>
      <c r="M48" s="704">
        <f>+landbouw!L12</f>
        <v>0</v>
      </c>
      <c r="N48" s="704">
        <f>+landbouw!M12</f>
        <v>0</v>
      </c>
      <c r="O48" s="704">
        <f>+landbouw!N12</f>
        <v>0</v>
      </c>
      <c r="P48" s="704">
        <f>+landbouw!O12</f>
        <v>0</v>
      </c>
      <c r="Q48" s="705">
        <f>+landbouw!P12</f>
        <v>0</v>
      </c>
      <c r="R48" s="747">
        <f ca="1">SUM(C48:Q48)</f>
        <v>334.43743143498779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4531.9502362327803</v>
      </c>
      <c r="D53" s="759">
        <f t="shared" ref="D53:Q53" ca="1" si="6">D41+D46+D48</f>
        <v>0</v>
      </c>
      <c r="E53" s="759">
        <f t="shared" ca="1" si="6"/>
        <v>1725.290635309666</v>
      </c>
      <c r="F53" s="759">
        <f t="shared" si="6"/>
        <v>414.34143741108727</v>
      </c>
      <c r="G53" s="759">
        <f t="shared" ca="1" si="6"/>
        <v>2641.7029917348946</v>
      </c>
      <c r="H53" s="759">
        <f t="shared" si="6"/>
        <v>4338.4817439172894</v>
      </c>
      <c r="I53" s="759">
        <f t="shared" si="6"/>
        <v>720.13711617469096</v>
      </c>
      <c r="J53" s="759">
        <f t="shared" si="6"/>
        <v>0</v>
      </c>
      <c r="K53" s="759">
        <f t="shared" si="6"/>
        <v>501.08047097639212</v>
      </c>
      <c r="L53" s="759">
        <f t="shared" si="6"/>
        <v>0</v>
      </c>
      <c r="M53" s="759">
        <f t="shared" ca="1" si="6"/>
        <v>0</v>
      </c>
      <c r="N53" s="759">
        <f t="shared" si="6"/>
        <v>0</v>
      </c>
      <c r="O53" s="759">
        <f t="shared" ca="1" si="6"/>
        <v>0</v>
      </c>
      <c r="P53" s="759">
        <f>P41+P46+P48</f>
        <v>0</v>
      </c>
      <c r="Q53" s="760">
        <f t="shared" si="6"/>
        <v>0</v>
      </c>
      <c r="R53" s="761">
        <f ca="1">R41+R46+R48</f>
        <v>14872.984631756801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0.21397572660314607</v>
      </c>
      <c r="D55" s="824">
        <f t="shared" ca="1" si="7"/>
        <v>0</v>
      </c>
      <c r="E55" s="824">
        <f t="shared" ca="1" si="7"/>
        <v>0.20200000000000001</v>
      </c>
      <c r="F55" s="824">
        <f t="shared" si="7"/>
        <v>0.22700000000000001</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673.17775381477952</v>
      </c>
      <c r="C66" s="781">
        <f>'lokale energieproductie'!B6</f>
        <v>673.17775381477952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673.17775381477952</v>
      </c>
      <c r="C69" s="789">
        <f>SUM(C64:C68)</f>
        <v>673.17775381477952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3963.8195905171474</v>
      </c>
      <c r="C4" s="463">
        <f>huishoudens!C8</f>
        <v>0</v>
      </c>
      <c r="D4" s="463">
        <f>huishoudens!D8</f>
        <v>5890.2766875516072</v>
      </c>
      <c r="E4" s="463">
        <f>huishoudens!E8</f>
        <v>898.50646778215878</v>
      </c>
      <c r="F4" s="463">
        <f>huishoudens!F8</f>
        <v>5130.7078124531763</v>
      </c>
      <c r="G4" s="463">
        <f>huishoudens!G8</f>
        <v>0</v>
      </c>
      <c r="H4" s="463">
        <f>huishoudens!H8</f>
        <v>0</v>
      </c>
      <c r="I4" s="463">
        <f>huishoudens!I8</f>
        <v>0</v>
      </c>
      <c r="J4" s="463">
        <f>huishoudens!J8</f>
        <v>1346.6097675714807</v>
      </c>
      <c r="K4" s="463">
        <f>huishoudens!K8</f>
        <v>0</v>
      </c>
      <c r="L4" s="463">
        <f>huishoudens!L8</f>
        <v>0</v>
      </c>
      <c r="M4" s="463">
        <f>huishoudens!M8</f>
        <v>0</v>
      </c>
      <c r="N4" s="463">
        <f>huishoudens!N8</f>
        <v>3031.5919427548597</v>
      </c>
      <c r="O4" s="463">
        <f>huishoudens!O8</f>
        <v>14.070000000000002</v>
      </c>
      <c r="P4" s="464">
        <f>huishoudens!P8</f>
        <v>76.266666666666666</v>
      </c>
      <c r="Q4" s="465">
        <f>SUM(B4:P4)</f>
        <v>20351.848935297097</v>
      </c>
    </row>
    <row r="5" spans="1:17">
      <c r="A5" s="462" t="s">
        <v>156</v>
      </c>
      <c r="B5" s="463">
        <f ca="1">tertiair!B16</f>
        <v>2429.8978888194824</v>
      </c>
      <c r="C5" s="463">
        <f ca="1">tertiair!C16</f>
        <v>0</v>
      </c>
      <c r="D5" s="463">
        <f ca="1">tertiair!D16</f>
        <v>1134.3112970740417</v>
      </c>
      <c r="E5" s="463">
        <f>tertiair!E16</f>
        <v>32.119787067574947</v>
      </c>
      <c r="F5" s="463">
        <f ca="1">tertiair!F16</f>
        <v>515.57898973311728</v>
      </c>
      <c r="G5" s="463">
        <f>tertiair!G16</f>
        <v>0</v>
      </c>
      <c r="H5" s="463">
        <f>tertiair!H16</f>
        <v>0</v>
      </c>
      <c r="I5" s="463">
        <f>tertiair!I16</f>
        <v>0</v>
      </c>
      <c r="J5" s="463">
        <f>tertiair!J16</f>
        <v>0</v>
      </c>
      <c r="K5" s="463">
        <f>tertiair!K16</f>
        <v>0</v>
      </c>
      <c r="L5" s="463">
        <f ca="1">tertiair!L16</f>
        <v>0</v>
      </c>
      <c r="M5" s="463">
        <f>tertiair!M16</f>
        <v>0</v>
      </c>
      <c r="N5" s="463">
        <f ca="1">tertiair!N16</f>
        <v>322.00881913608907</v>
      </c>
      <c r="O5" s="463">
        <f>tertiair!O16</f>
        <v>0</v>
      </c>
      <c r="P5" s="464">
        <f>tertiair!P16</f>
        <v>0</v>
      </c>
      <c r="Q5" s="462">
        <f t="shared" ref="Q5:Q13" ca="1" si="0">SUM(B5:P5)</f>
        <v>4433.9167818303058</v>
      </c>
    </row>
    <row r="6" spans="1:17">
      <c r="A6" s="462" t="s">
        <v>194</v>
      </c>
      <c r="B6" s="463">
        <f>'openbare verlichting'!B8</f>
        <v>196.53700000000001</v>
      </c>
      <c r="C6" s="463"/>
      <c r="D6" s="463"/>
      <c r="E6" s="463"/>
      <c r="F6" s="463"/>
      <c r="G6" s="463"/>
      <c r="H6" s="463"/>
      <c r="I6" s="463"/>
      <c r="J6" s="463"/>
      <c r="K6" s="463"/>
      <c r="L6" s="463"/>
      <c r="M6" s="463"/>
      <c r="N6" s="463"/>
      <c r="O6" s="463"/>
      <c r="P6" s="464"/>
      <c r="Q6" s="462">
        <f t="shared" si="0"/>
        <v>196.53700000000001</v>
      </c>
    </row>
    <row r="7" spans="1:17">
      <c r="A7" s="462" t="s">
        <v>112</v>
      </c>
      <c r="B7" s="463">
        <f>landbouw!B8</f>
        <v>217.53418463964408</v>
      </c>
      <c r="C7" s="463">
        <f>landbouw!C8</f>
        <v>0</v>
      </c>
      <c r="D7" s="463">
        <f>landbouw!D8</f>
        <v>372.72764440168839</v>
      </c>
      <c r="E7" s="463">
        <f>landbouw!E8</f>
        <v>2.7412109674680947</v>
      </c>
      <c r="F7" s="463">
        <f>landbouw!F8</f>
        <v>750.54743257626819</v>
      </c>
      <c r="G7" s="463">
        <f>landbouw!G8</f>
        <v>0</v>
      </c>
      <c r="H7" s="463">
        <f>landbouw!H8</f>
        <v>0</v>
      </c>
      <c r="I7" s="463">
        <f>landbouw!I8</f>
        <v>0</v>
      </c>
      <c r="J7" s="463">
        <f>landbouw!J8</f>
        <v>32.714668528466184</v>
      </c>
      <c r="K7" s="463">
        <f>landbouw!K8</f>
        <v>0</v>
      </c>
      <c r="L7" s="463">
        <f>landbouw!L8</f>
        <v>0</v>
      </c>
      <c r="M7" s="463">
        <f>landbouw!M8</f>
        <v>0</v>
      </c>
      <c r="N7" s="463">
        <f>landbouw!N8</f>
        <v>0</v>
      </c>
      <c r="O7" s="463">
        <f>landbouw!O8</f>
        <v>0</v>
      </c>
      <c r="P7" s="464">
        <f>landbouw!P8</f>
        <v>0</v>
      </c>
      <c r="Q7" s="462">
        <f t="shared" si="0"/>
        <v>1376.265141113535</v>
      </c>
    </row>
    <row r="8" spans="1:17">
      <c r="A8" s="462" t="s">
        <v>657</v>
      </c>
      <c r="B8" s="463">
        <f>industrie!B18</f>
        <v>14370.639736038842</v>
      </c>
      <c r="C8" s="463">
        <f>industrie!C18</f>
        <v>0</v>
      </c>
      <c r="D8" s="463">
        <f>industrie!D18</f>
        <v>1141.8115945437273</v>
      </c>
      <c r="E8" s="463">
        <f>industrie!E18</f>
        <v>832.09359055740742</v>
      </c>
      <c r="F8" s="463">
        <f>industrie!F18</f>
        <v>3497.184460873746</v>
      </c>
      <c r="G8" s="463">
        <f>industrie!G18</f>
        <v>0</v>
      </c>
      <c r="H8" s="463">
        <f>industrie!H18</f>
        <v>0</v>
      </c>
      <c r="I8" s="463">
        <f>industrie!I18</f>
        <v>0</v>
      </c>
      <c r="J8" s="463">
        <f>industrie!J18</f>
        <v>36.157120330539421</v>
      </c>
      <c r="K8" s="463">
        <f>industrie!K18</f>
        <v>0</v>
      </c>
      <c r="L8" s="463">
        <f>industrie!L18</f>
        <v>0</v>
      </c>
      <c r="M8" s="463">
        <f>industrie!M18</f>
        <v>0</v>
      </c>
      <c r="N8" s="463">
        <f>industrie!N18</f>
        <v>2833.4242941992761</v>
      </c>
      <c r="O8" s="463">
        <f>industrie!O18</f>
        <v>0</v>
      </c>
      <c r="P8" s="464">
        <f>industrie!P18</f>
        <v>0</v>
      </c>
      <c r="Q8" s="462">
        <f t="shared" si="0"/>
        <v>22711.310796543541</v>
      </c>
    </row>
    <row r="9" spans="1:17" s="468" customFormat="1">
      <c r="A9" s="466" t="s">
        <v>574</v>
      </c>
      <c r="B9" s="467">
        <f>transport!B14</f>
        <v>1.3115086991227705</v>
      </c>
      <c r="C9" s="467"/>
      <c r="D9" s="467">
        <f>transport!D14</f>
        <v>1.9155254866875688</v>
      </c>
      <c r="E9" s="467">
        <f>transport!E14</f>
        <v>59.831619445158438</v>
      </c>
      <c r="F9" s="467"/>
      <c r="G9" s="467">
        <f>transport!G14</f>
        <v>15979.997616604447</v>
      </c>
      <c r="H9" s="467">
        <f>transport!H14</f>
        <v>2892.1169324284779</v>
      </c>
      <c r="I9" s="467"/>
      <c r="J9" s="467"/>
      <c r="K9" s="467"/>
      <c r="L9" s="467"/>
      <c r="M9" s="467">
        <f>transport!M14</f>
        <v>853.14693698359201</v>
      </c>
      <c r="N9" s="467"/>
      <c r="O9" s="467"/>
      <c r="P9" s="467"/>
      <c r="Q9" s="466">
        <f>SUM(B9:P9)</f>
        <v>19788.320139647483</v>
      </c>
    </row>
    <row r="10" spans="1:17">
      <c r="A10" s="462" t="s">
        <v>564</v>
      </c>
      <c r="B10" s="463">
        <f>transport!B54</f>
        <v>0</v>
      </c>
      <c r="C10" s="463"/>
      <c r="D10" s="463">
        <f>transport!D54</f>
        <v>0</v>
      </c>
      <c r="E10" s="463"/>
      <c r="F10" s="463"/>
      <c r="G10" s="463">
        <f>transport!G54</f>
        <v>268.99767896592442</v>
      </c>
      <c r="H10" s="463"/>
      <c r="I10" s="463"/>
      <c r="J10" s="463"/>
      <c r="K10" s="463"/>
      <c r="L10" s="463"/>
      <c r="M10" s="463">
        <f>transport!M54</f>
        <v>11.962984729443388</v>
      </c>
      <c r="N10" s="463"/>
      <c r="O10" s="463"/>
      <c r="P10" s="464"/>
      <c r="Q10" s="462">
        <f t="shared" si="0"/>
        <v>280.96066369536783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21179.73990871424</v>
      </c>
      <c r="C14" s="473">
        <f t="shared" ref="C14:Q14" ca="1" si="1">SUM(C4:C13)</f>
        <v>0</v>
      </c>
      <c r="D14" s="473">
        <f t="shared" ca="1" si="1"/>
        <v>8541.0427490577513</v>
      </c>
      <c r="E14" s="473">
        <f t="shared" si="1"/>
        <v>1825.2926758197675</v>
      </c>
      <c r="F14" s="473">
        <f t="shared" ca="1" si="1"/>
        <v>9894.0186956363068</v>
      </c>
      <c r="G14" s="473">
        <f t="shared" si="1"/>
        <v>16248.995295570372</v>
      </c>
      <c r="H14" s="473">
        <f t="shared" si="1"/>
        <v>2892.1169324284779</v>
      </c>
      <c r="I14" s="473">
        <f t="shared" si="1"/>
        <v>0</v>
      </c>
      <c r="J14" s="473">
        <f t="shared" si="1"/>
        <v>1415.4815564304863</v>
      </c>
      <c r="K14" s="473">
        <f t="shared" si="1"/>
        <v>0</v>
      </c>
      <c r="L14" s="473">
        <f t="shared" ca="1" si="1"/>
        <v>0</v>
      </c>
      <c r="M14" s="473">
        <f t="shared" si="1"/>
        <v>865.10992171303542</v>
      </c>
      <c r="N14" s="473">
        <f t="shared" ca="1" si="1"/>
        <v>6187.025056090225</v>
      </c>
      <c r="O14" s="473">
        <f t="shared" si="1"/>
        <v>14.070000000000002</v>
      </c>
      <c r="P14" s="474">
        <f t="shared" si="1"/>
        <v>76.266666666666666</v>
      </c>
      <c r="Q14" s="474">
        <f t="shared" ca="1" si="1"/>
        <v>69139.159458127324</v>
      </c>
    </row>
    <row r="16" spans="1:17">
      <c r="A16" s="476" t="s">
        <v>569</v>
      </c>
      <c r="B16" s="829">
        <f ca="1">huishoudens!B10</f>
        <v>0.21397572660314612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848.16117700469169</v>
      </c>
      <c r="C21" s="463">
        <f t="shared" ref="C21:C28" ca="1" si="3">C4*$C$16</f>
        <v>0</v>
      </c>
      <c r="D21" s="463">
        <f t="shared" ref="D21:D30" si="4">D4*$D$16</f>
        <v>1189.8358908854248</v>
      </c>
      <c r="E21" s="463">
        <f t="shared" ref="E21:E30" si="5">E4*$E$16</f>
        <v>203.96096818655005</v>
      </c>
      <c r="F21" s="463">
        <f t="shared" ref="F21:F28" si="6">F4*$F$16</f>
        <v>1369.8989859249982</v>
      </c>
      <c r="G21" s="463">
        <f t="shared" ref="G21:G30" si="7">G4*$G$16</f>
        <v>0</v>
      </c>
      <c r="H21" s="463">
        <f t="shared" ref="H21:H30" si="8">H4*$H$16</f>
        <v>0</v>
      </c>
      <c r="I21" s="463">
        <f t="shared" ref="I21:I28" si="9">I4*$I$16</f>
        <v>0</v>
      </c>
      <c r="J21" s="463">
        <f t="shared" ref="J21:J28" si="10">J4*$J$16</f>
        <v>476.69985772030412</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4088.5568797219685</v>
      </c>
    </row>
    <row r="22" spans="1:17">
      <c r="A22" s="462" t="s">
        <v>156</v>
      </c>
      <c r="B22" s="463">
        <f t="shared" ca="1" si="2"/>
        <v>519.93916633159949</v>
      </c>
      <c r="C22" s="463">
        <f t="shared" ca="1" si="3"/>
        <v>0</v>
      </c>
      <c r="D22" s="463">
        <f t="shared" ca="1" si="4"/>
        <v>229.13088200895643</v>
      </c>
      <c r="E22" s="463">
        <f t="shared" si="5"/>
        <v>7.2911916643395136</v>
      </c>
      <c r="F22" s="463">
        <f t="shared" ca="1" si="6"/>
        <v>137.65959025874233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894.02083026363778</v>
      </c>
    </row>
    <row r="23" spans="1:17">
      <c r="A23" s="462" t="s">
        <v>194</v>
      </c>
      <c r="B23" s="463">
        <f t="shared" ca="1" si="2"/>
        <v>42.054147379402529</v>
      </c>
      <c r="C23" s="463"/>
      <c r="D23" s="463"/>
      <c r="E23" s="463"/>
      <c r="F23" s="463"/>
      <c r="G23" s="463"/>
      <c r="H23" s="463"/>
      <c r="I23" s="463"/>
      <c r="J23" s="463"/>
      <c r="K23" s="463"/>
      <c r="L23" s="463"/>
      <c r="M23" s="463"/>
      <c r="N23" s="463"/>
      <c r="O23" s="463"/>
      <c r="P23" s="464"/>
      <c r="Q23" s="462">
        <f t="shared" ca="1" si="17"/>
        <v>42.054147379402529</v>
      </c>
    </row>
    <row r="24" spans="1:17">
      <c r="A24" s="462" t="s">
        <v>112</v>
      </c>
      <c r="B24" s="463">
        <f t="shared" ca="1" si="2"/>
        <v>46.547035219290791</v>
      </c>
      <c r="C24" s="463">
        <f t="shared" ca="1" si="3"/>
        <v>0</v>
      </c>
      <c r="D24" s="463">
        <f t="shared" si="4"/>
        <v>75.290984169141055</v>
      </c>
      <c r="E24" s="463">
        <f t="shared" si="5"/>
        <v>0.62225488961525754</v>
      </c>
      <c r="F24" s="463">
        <f t="shared" si="6"/>
        <v>200.39616449786362</v>
      </c>
      <c r="G24" s="463">
        <f t="shared" si="7"/>
        <v>0</v>
      </c>
      <c r="H24" s="463">
        <f t="shared" si="8"/>
        <v>0</v>
      </c>
      <c r="I24" s="463">
        <f t="shared" si="9"/>
        <v>0</v>
      </c>
      <c r="J24" s="463">
        <f t="shared" si="10"/>
        <v>11.580992659077028</v>
      </c>
      <c r="K24" s="463">
        <f t="shared" si="11"/>
        <v>0</v>
      </c>
      <c r="L24" s="463">
        <f t="shared" si="12"/>
        <v>0</v>
      </c>
      <c r="M24" s="463">
        <f t="shared" si="13"/>
        <v>0</v>
      </c>
      <c r="N24" s="463">
        <f t="shared" si="14"/>
        <v>0</v>
      </c>
      <c r="O24" s="463">
        <f t="shared" si="15"/>
        <v>0</v>
      </c>
      <c r="P24" s="464">
        <f t="shared" si="16"/>
        <v>0</v>
      </c>
      <c r="Q24" s="462">
        <f t="shared" ca="1" si="17"/>
        <v>334.43743143498779</v>
      </c>
    </row>
    <row r="25" spans="1:17">
      <c r="A25" s="462" t="s">
        <v>657</v>
      </c>
      <c r="B25" s="463">
        <f t="shared" ca="1" si="2"/>
        <v>3074.9680792709551</v>
      </c>
      <c r="C25" s="463">
        <f t="shared" ca="1" si="3"/>
        <v>0</v>
      </c>
      <c r="D25" s="463">
        <f t="shared" si="4"/>
        <v>230.64594209783294</v>
      </c>
      <c r="E25" s="463">
        <f t="shared" si="5"/>
        <v>188.88524505653149</v>
      </c>
      <c r="F25" s="463">
        <f t="shared" si="6"/>
        <v>933.74825105329023</v>
      </c>
      <c r="G25" s="463">
        <f t="shared" si="7"/>
        <v>0</v>
      </c>
      <c r="H25" s="463">
        <f t="shared" si="8"/>
        <v>0</v>
      </c>
      <c r="I25" s="463">
        <f t="shared" si="9"/>
        <v>0</v>
      </c>
      <c r="J25" s="463">
        <f t="shared" si="10"/>
        <v>12.799620597010954</v>
      </c>
      <c r="K25" s="463">
        <f t="shared" si="11"/>
        <v>0</v>
      </c>
      <c r="L25" s="463">
        <f t="shared" si="12"/>
        <v>0</v>
      </c>
      <c r="M25" s="463">
        <f t="shared" si="13"/>
        <v>0</v>
      </c>
      <c r="N25" s="463">
        <f t="shared" si="14"/>
        <v>0</v>
      </c>
      <c r="O25" s="463">
        <f t="shared" si="15"/>
        <v>0</v>
      </c>
      <c r="P25" s="464">
        <f t="shared" si="16"/>
        <v>0</v>
      </c>
      <c r="Q25" s="462">
        <f t="shared" ca="1" si="17"/>
        <v>4441.0471380756208</v>
      </c>
    </row>
    <row r="26" spans="1:17" s="468" customFormat="1">
      <c r="A26" s="466" t="s">
        <v>574</v>
      </c>
      <c r="B26" s="823">
        <f t="shared" ca="1" si="2"/>
        <v>0.28063102684114177</v>
      </c>
      <c r="C26" s="467"/>
      <c r="D26" s="467">
        <f t="shared" si="4"/>
        <v>0.38693614831088891</v>
      </c>
      <c r="E26" s="467">
        <f t="shared" si="5"/>
        <v>13.581777614050965</v>
      </c>
      <c r="F26" s="467"/>
      <c r="G26" s="467">
        <f t="shared" si="7"/>
        <v>4266.6593636333873</v>
      </c>
      <c r="H26" s="467">
        <f t="shared" si="8"/>
        <v>720.13711617469096</v>
      </c>
      <c r="I26" s="467"/>
      <c r="J26" s="467"/>
      <c r="K26" s="467"/>
      <c r="L26" s="467"/>
      <c r="M26" s="467">
        <f t="shared" si="13"/>
        <v>0</v>
      </c>
      <c r="N26" s="467"/>
      <c r="O26" s="467"/>
      <c r="P26" s="478"/>
      <c r="Q26" s="466">
        <f t="shared" ca="1" si="17"/>
        <v>5001.0458245972814</v>
      </c>
    </row>
    <row r="27" spans="1:17">
      <c r="A27" s="462" t="s">
        <v>564</v>
      </c>
      <c r="B27" s="463">
        <f t="shared" ca="1" si="2"/>
        <v>0</v>
      </c>
      <c r="C27" s="463"/>
      <c r="D27" s="467">
        <f t="shared" si="4"/>
        <v>0</v>
      </c>
      <c r="E27" s="463"/>
      <c r="F27" s="463"/>
      <c r="G27" s="463">
        <f t="shared" si="7"/>
        <v>71.822380283901822</v>
      </c>
      <c r="H27" s="463"/>
      <c r="I27" s="463"/>
      <c r="J27" s="463"/>
      <c r="K27" s="463"/>
      <c r="L27" s="463"/>
      <c r="M27" s="463">
        <f t="shared" si="13"/>
        <v>0</v>
      </c>
      <c r="N27" s="463"/>
      <c r="O27" s="463"/>
      <c r="P27" s="464"/>
      <c r="Q27" s="462">
        <f t="shared" ca="1" si="17"/>
        <v>71.822380283901822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4531.9502362327812</v>
      </c>
      <c r="C31" s="473">
        <f t="shared" ca="1" si="18"/>
        <v>0</v>
      </c>
      <c r="D31" s="473">
        <f t="shared" ca="1" si="18"/>
        <v>1725.290635309666</v>
      </c>
      <c r="E31" s="473">
        <f t="shared" si="18"/>
        <v>414.34143741108727</v>
      </c>
      <c r="F31" s="473">
        <f t="shared" ca="1" si="18"/>
        <v>2641.7029917348946</v>
      </c>
      <c r="G31" s="473">
        <f t="shared" si="18"/>
        <v>4338.4817439172894</v>
      </c>
      <c r="H31" s="473">
        <f t="shared" si="18"/>
        <v>720.13711617469096</v>
      </c>
      <c r="I31" s="473">
        <f t="shared" si="18"/>
        <v>0</v>
      </c>
      <c r="J31" s="473">
        <f t="shared" si="18"/>
        <v>501.08047097639212</v>
      </c>
      <c r="K31" s="473">
        <f t="shared" si="18"/>
        <v>0</v>
      </c>
      <c r="L31" s="473">
        <f t="shared" ca="1" si="18"/>
        <v>0</v>
      </c>
      <c r="M31" s="473">
        <f t="shared" si="18"/>
        <v>0</v>
      </c>
      <c r="N31" s="473">
        <f t="shared" ca="1" si="18"/>
        <v>0</v>
      </c>
      <c r="O31" s="473">
        <f t="shared" si="18"/>
        <v>0</v>
      </c>
      <c r="P31" s="474">
        <f t="shared" si="18"/>
        <v>0</v>
      </c>
      <c r="Q31" s="474">
        <f t="shared" ca="1" si="18"/>
        <v>14872.984631756801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0.21397572660314612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0.21397572660314612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0.21397572660314612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2019-01-02T18:04:07Z</dcterms:modified>
</cp:coreProperties>
</file>