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<sst xmlns="http://schemas.openxmlformats.org/spreadsheetml/2006/main" count="2160" uniqueCount="885">
  <si>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</si>
  <si>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</si>
  <si>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</si>
  <si>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</si>
  <si>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</si>
  <si>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</si>
  <si>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</si>
  <si>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</si>
  <si>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</si>
  <si>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</si>
  <si>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</si>
  <si>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</si>
  <si>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</si>
  <si>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</si>
  <si>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</si>
  <si>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</si>
  <si>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</si>
  <si>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</si>
  <si>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</si>
  <si>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</si>
  <si>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</si>
  <si>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</si>
  <si>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</si>
  <si>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</si>
  <si>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</si>
  <si>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</si>
  <si>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</si>
  <si>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</si>
  <si>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</si>
  <si>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</si>
  <si>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</si>
  <si>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</si>
  <si>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</si>
  <si>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</si>
  <si>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</si>
  <si>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</si>
  <si>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</si>
  <si>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</si>
  <si>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</si>
  <si>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</si>
  <si>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</si>
  <si>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</si>
  <si>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</si>
  <si>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</si>
  <si>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</si>
  <si>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</si>
  <si>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</si>
  <si>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</si>
  <si>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</si>
  <si>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</si>
  <si>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</si>
  <si>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</si>
  <si>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</si>
  <si>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</si>
  <si>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</si>
  <si>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</si>
  <si>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</si>
  <si>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</si>
  <si>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</si>
  <si>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</si>
  <si>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</si>
  <si>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</si>
  <si>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</si>
  <si>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</si>
  <si>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</si>
  <si>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</si>
  <si>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</si>
  <si>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</si>
  <si>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</si>
  <si>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</si>
  <si>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</si>
  <si>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</si>
  <si>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</si>
  <si>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</si>
  <si>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</si>
  <si>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</si>
  <si>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</si>
  <si>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</si>
  <si>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</si>
  <si>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</si>
  <si>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</si>
  <si>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</si>
  <si>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</si>
  <si>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</si>
  <si>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</si>
  <si>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</si>
  <si>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</si>
  <si>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</si>
  <si>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</si>
  <si>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</si>
  <si>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</si>
  <si>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</si>
  <si>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</si>
  <si>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</si>
  <si>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</si>
  <si>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</si>
  <si>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</si>
  <si>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</si>
  <si>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</si>
  <si>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</si>
  <si>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</si>
  <si>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</si>
  <si>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</si>
  <si>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</si>
  <si>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</si>
  <si>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</si>
  <si>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</si>
  <si>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</si>
  <si>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</si>
  <si>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</si>
  <si>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</si>
  <si>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</si>
  <si>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</si>
  <si>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</si>
  <si>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</si>
  <si>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</si>
  <si>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</si>
  <si>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</si>
  <si>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</si>
  <si>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</si>
  <si>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</si>
  <si>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</si>
  <si>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</si>
  <si>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</si>
  <si>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</si>
  <si>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</si>
  <si>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</si>
  <si>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</si>
  <si>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</si>
  <si>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</si>
  <si>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</si>
  <si>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</si>
  <si>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</si>
  <si>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</si>
  <si>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</si>
  <si>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</si>
  <si>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</si>
  <si>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</si>
  <si>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</si>
  <si>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</si>
  <si>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</si>
  <si>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</si>
  <si>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</si>
  <si>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</si>
  <si>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</si>
  <si>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</si>
  <si>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</si>
  <si>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</si>
  <si>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</si>
  <si>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</si>
  <si>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</si>
  <si>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</si>
  <si>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</si>
  <si>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</si>
  <si>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</si>
  <si>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</si>
  <si>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</si>
  <si>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</si>
  <si>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</si>
  <si>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</si>
  <si>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</si>
  <si>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</si>
  <si>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</si>
  <si>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</si>
  <si>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</si>
  <si>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</si>
  <si>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</si>
  <si>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</si>
  <si>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</si>
  <si>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</si>
  <si>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</si>
  <si>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</si>
  <si>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</si>
  <si>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</si>
  <si>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</si>
  <si>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</si>
  <si>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</si>
  <si>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</si>
  <si>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</si>
  <si>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</si>
  <si>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</si>
  <si>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</si>
  <si>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</si>
  <si>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</si>
  <si>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</si>
  <si>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</si>
  <si>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</si>
  <si>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</si>
  <si>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</si>
  <si>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</si>
  <si>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</si>
  <si>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</si>
  <si>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</si>
  <si>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</si>
  <si>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</si>
  <si>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</si>
  <si>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</si>
  <si>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</si>
  <si>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</si>
  <si>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</si>
  <si>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</si>
  <si>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</si>
  <si>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</si>
  <si>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</si>
  <si>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</si>
  <si>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</si>
  <si>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</si>
  <si>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</si>
  <si>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</si>
  <si>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</si>
  <si>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</si>
  <si>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</si>
  <si>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</si>
  <si>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</si>
  <si>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</si>
  <si>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</si>
  <si>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</si>
  <si>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</si>
  <si>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</si>
  <si>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</si>
  <si>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</si>
  <si>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</si>
  <si>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</si>
  <si>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</si>
  <si>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</si>
  <si>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</si>
  <si>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</si>
  <si>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</si>
  <si>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</si>
  <si>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</si>
  <si>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</si>
  <si>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</si>
  <si>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</si>
  <si>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</si>
  <si>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</si>
  <si>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</si>
  <si>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</si>
  <si>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</si>
  <si>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</si>
  <si>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</si>
  <si>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</si>
  <si>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</si>
  <si>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</si>
  <si>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</si>
  <si>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</si>
  <si>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</si>
  <si>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</si>
  <si>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</si>
  <si>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</si>
  <si>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</si>
  <si>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</si>
  <si>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</si>
  <si>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</si>
  <si>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</si>
  <si>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</si>
  <si>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</si>
  <si>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</si>
  <si>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</si>
  <si>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</si>
  <si>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</si>
  <si>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</si>
  <si>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</si>
  <si>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</si>
  <si>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</si>
  <si>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</si>
  <si>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</si>
  <si>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</si>
  <si>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</si>
  <si>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</si>
  <si>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</si>
  <si>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</si>
  <si>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</si>
  <si>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</si>
  <si>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</si>
  <si>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</si>
  <si>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</si>
  <si>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</si>
  <si>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</si>
  <si>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</si>
  <si>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</si>
  <si>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</si>
  <si>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</si>
  <si>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</si>
  <si>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</si>
  <si>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</si>
  <si>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</si>
  <si>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</si>
  <si>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</si>
  <si>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</si>
  <si>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</si>
  <si>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</si>
  <si>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</si>
  <si>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</si>
  <si>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</si>
  <si>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</si>
  <si>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</si>
  <si>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</si>
  <si>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</si>
  <si>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</si>
  <si>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</si>
  <si>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</si>
  <si>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</si>
  <si>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</si>
  <si>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</si>
  <si>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</si>
  <si>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</si>
  <si>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</si>
  <si>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</si>
  <si>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</si>
  <si>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</si>
  <si>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</si>
  <si>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</si>
  <si>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</si>
  <si>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</si>
  <si>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</si>
  <si>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</si>
  <si>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</si>
  <si>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</si>
  <si>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</si>
  <si>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</si>
  <si>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</si>
  <si>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</si>
  <si>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</si>
  <si>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</si>
  <si>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</si>
  <si>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</si>
  <si>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</si>
  <si>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</si>
  <si>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</si>
  <si>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</si>
  <si>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</si>
  <si>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</si>
  <si>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</si>
  <si>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</si>
  <si>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</si>
  <si>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</si>
  <si>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</si>
  <si>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</si>
  <si>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</si>
  <si>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</si>
  <si>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</si>
  <si>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</si>
  <si>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</si>
  <si>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</si>
  <si>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</si>
  <si>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</si>
  <si>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</si>
  <si>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</si>
  <si>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</si>
  <si>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</si>
  <si>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</si>
  <si>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</si>
  <si>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</si>
  <si>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</si>
  <si>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</si>
  <si>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</si>
  <si>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</si>
  <si>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</si>
  <si>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</si>
  <si>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</si>
  <si>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</si>
  <si>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</si>
  <si>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</si>
  <si>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</si>
  <si>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</si>
  <si>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</si>
  <si>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</si>
  <si>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</si>
  <si>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</si>
  <si>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</si>
  <si>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</si>
  <si>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</si>
  <si>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</si>
  <si>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</si>
  <si>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</si>
  <si>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</si>
  <si>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</si>
  <si>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</si>
  <si>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</si>
  <si>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</si>
  <si>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</si>
  <si>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</si>
  <si>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</si>
  <si>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</si>
  <si>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</si>
  <si>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</si>
  <si>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</si>
  <si>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</si>
  <si>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</si>
  <si>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</si>
  <si>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</si>
  <si>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</si>
  <si>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</si>
  <si>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</si>
  <si>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</si>
  <si>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</si>
  <si>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</si>
  <si>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</si>
  <si>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</si>
  <si>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</si>
  <si>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</si>
  <si>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</si>
  <si>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</si>
  <si>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</si>
  <si>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</si>
  <si>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</si>
  <si>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</si>
  <si>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</si>
  <si>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</si>
  <si>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</si>
  <si>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</si>
  <si>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</si>
  <si>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</si>
  <si>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</si>
  <si>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</si>
  <si>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</si>
  <si>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</si>
  <si>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</si>
  <si>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</si>
  <si>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</si>
  <si>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</si>
  <si>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</si>
  <si>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</si>
  <si>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</si>
  <si>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</si>
  <si>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</si>
  <si>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</si>
  <si>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</si>
  <si>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</si>
  <si>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</si>
  <si>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</si>
  <si>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</si>
  <si>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</si>
  <si>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</si>
  <si>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</si>
  <si>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</si>
  <si>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</si>
  <si>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</si>
  <si>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</si>
  <si>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</si>
  <si>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</si>
  <si>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</si>
  <si>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</si>
  <si>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</si>
  <si>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</si>
  <si>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</si>
  <si>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</si>
  <si>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</si>
  <si>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</si>
  <si>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</si>
  <si>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</si>
  <si>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</si>
  <si>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</si>
  <si>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</si>
  <si>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</si>
  <si>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</si>
  <si>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</si>
  <si>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</si>
  <si>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</si>
  <si>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</si>
  <si>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</si>
  <si>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</si>
  <si>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</si>
  <si>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</si>
  <si>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</si>
  <si>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</si>
  <si>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</si>
  <si>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</si>
  <si>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</si>
  <si>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</si>
  <si>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</si>
  <si>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</si>
  <si>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</si>
  <si>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</si>
  <si>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</si>
  <si>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</si>
  <si>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</si>
  <si>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</si>
  <si>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</si>
  <si>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</si>
  <si>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</si>
  <si>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</si>
  <si>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</si>
  <si>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</si>
  <si>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</si>
  <si>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</si>
  <si>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</si>
  <si>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</si>
  <si>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</si>
  <si>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</si>
  <si>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</si>
  <si>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</si>
  <si>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</si>
  <si>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</si>
  <si>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</si>
  <si>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</si>
  <si>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</si>
  <si>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</si>
  <si>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</si>
  <si>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</si>
  <si>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</si>
  <si>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</si>
  <si>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</si>
  <si>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</si>
  <si>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</si>
  <si>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</si>
  <si>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</si>
  <si>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</si>
  <si>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</si>
  <si>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</si>
  <si>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</si>
  <si>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</si>
  <si>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</si>
  <si>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</si>
  <si>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</si>
  <si>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</si>
  <si>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</si>
  <si>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</si>
  <si>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</si>
  <si>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</si>
  <si>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</si>
  <si>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</si>
  <si>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</si>
  <si>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</si>
  <si>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</si>
  <si>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</si>
  <si>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</si>
  <si>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</si>
  <si>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</si>
  <si>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</si>
  <si>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</si>
  <si>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</si>
  <si>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</si>
  <si>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</si>
  <si>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</si>
  <si>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</si>
  <si>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</si>
  <si>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</si>
  <si>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</si>
  <si>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</si>
  <si>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</si>
  <si>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</si>
  <si>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</si>
  <si>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</si>
  <si>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</si>
  <si>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</si>
  <si>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</si>
  <si>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</si>
  <si>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</si>
  <si>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</si>
  <si>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</si>
  <si>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</si>
  <si>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</si>
  <si>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</si>
  <si>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</si>
  <si>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</si>
  <si>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</si>
  <si>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</si>
  <si>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</si>
  <si>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</si>
  <si>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</si>
  <si>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</si>
  <si>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</si>
  <si>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</si>
  <si>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</si>
  <si>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</si>
  <si>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</si>
  <si>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</si>
  <si>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</si>
  <si>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</si>
  <si>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</si>
  <si>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</si>
  <si>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</si>
  <si>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</si>
  <si>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</si>
  <si>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</si>
  <si>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</si>
  <si>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</si>
  <si>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</si>
  <si>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</si>
  <si>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</si>
  <si>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</si>
  <si>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</si>
  <si>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</si>
  <si>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</si>
  <si>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</si>
  <si>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</si>
  <si>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</si>
  <si>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</si>
  <si>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</si>
  <si>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</si>
  <si>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</si>
  <si>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</si>
  <si>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</si>
  <si>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</si>
  <si>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</si>
  <si>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</si>
  <si>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</si>
  <si>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</si>
  <si>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</si>
  <si>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</si>
  <si>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</si>
  <si>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</si>
  <si>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</si>
  <si>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</si>
  <si>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</si>
  <si>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</si>
  <si>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</si>
  <si>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</si>
  <si>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</si>
  <si>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</si>
  <si>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</si>
  <si>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</si>
  <si>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</si>
  <si>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</si>
  <si>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</si>
  <si>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</si>
  <si>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</si>
  <si>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</si>
  <si>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</si>
  <si>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</si>
  <si>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</si>
  <si>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</si>
  <si>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</si>
  <si>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</si>
  <si>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</si>
  <si>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</si>
  <si>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</si>
  <si>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</si>
  <si>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</si>
  <si>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</si>
  <si>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</si>
  <si>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</si>
  <si>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</si>
  <si>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</si>
  <si>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</si>
  <si>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</si>
  <si>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</si>
  <si>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</si>
  <si>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</si>
  <si>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</si>
  <si>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</si>
  <si>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</si>
  <si>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</si>
  <si>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</si>
  <si>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</si>
  <si>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</si>
  <si>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</si>
  <si>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</si>
  <si>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</si>
  <si>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</si>
  <si>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</si>
  <si>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</si>
  <si>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</si>
  <si>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</si>
  <si>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</si>
  <si>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</si>
  <si>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</si>
  <si>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</si>
  <si>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</si>
  <si>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</si>
  <si>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</si>
  <si>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</si>
  <si>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</si>
  <si>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</si>
  <si>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</si>
  <si>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</si>
  <si>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</si>
  <si>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</si>
  <si>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</si>
  <si>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</si>
  <si>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</si>
  <si>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</si>
  <si>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</si>
  <si>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</si>
  <si>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</si>
  <si>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</si>
  <si>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</si>
  <si>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</si>
  <si>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</si>
  <si>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</si>
  <si>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</si>
  <si>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</si>
  <si>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</si>
  <si>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</si>
  <si>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</si>
  <si>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</si>
  <si>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</si>
  <si>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</si>
  <si>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</si>
  <si>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</si>
  <si>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</si>
  <si>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</si>
  <si>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</si>
  <si>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</si>
  <si>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</si>
  <si>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</si>
  <si>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</si>
  <si>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</si>
  <si>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</si>
  <si>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</si>
  <si>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</si>
  <si>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</si>
  <si>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</si>
  <si>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</si>
  <si>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</si>
  <si>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</si>
  <si>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</si>
  <si>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</si>
  <si>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</si>
  <si>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</si>
  <si>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</si>
  <si>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</si>
  <si>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</si>
  <si>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</si>
  <si>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</si>
  <si>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</si>
  <si>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</si>
  <si>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</si>
  <si>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</si>
  <si>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</si>
  <si>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</si>
  <si>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</si>
  <si>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</si>
  <si>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</si>
  <si>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</si>
  <si>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</si>
  <si>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</si>
  <si>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</si>
  <si>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</si>
  <si>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</si>
  <si>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</si>
  <si>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</si>
  <si>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</si>
  <si>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</si>
  <si>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</si>
  <si>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</si>
  <si>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</si>
  <si>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</si>
  <si>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</si>
  <si>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</si>
  <si>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</si>
  <si>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</si>
  <si>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</si>
  <si>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</si>
  <si>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</si>
  <si>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</si>
  <si>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</si>
  <si>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</si>
  <si>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</si>
  <si>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</si>
  <si>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</si>
  <si>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</si>
  <si>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</si>
  <si>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</si>
  <si>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</si>
  <si>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</si>
  <si>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</si>
  <si>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</si>
  <si>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</si>
  <si>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</si>
  <si>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</si>
  <si>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</si>
  <si>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</si>
  <si>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</si>
  <si>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</si>
  <si>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</si>
  <si>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</si>
  <si>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</si>
  <si>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</si>
  <si>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</si>
  <si>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</si>
  <si>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</si>
  <si>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</si>
  <si>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</si>
  <si>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</si>
  <si>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</si>
  <si>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</si>
  <si>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</si>
  <si>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</si>
  <si>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</si>
  <si>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</si>
  <si>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</si>
  <si>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</si>
  <si>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</si>
  <si>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</si>
  <si>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</si>
  <si>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</si>
  <si>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</si>
  <si>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</si>
  <si>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</si>
  <si>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</si>
  <si>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</si>
  <si>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</si>
  <si>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</si>
  <si>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</si>
  <si>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</si>
  <si>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</si>
  <si>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</si>
  <si>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</si>
  <si>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</si>
  <si>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</si>
  <si>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</si>
  <si>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</si>
  <si>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</si>
  <si>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</si>
  <si>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</si>
  <si>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</si>
  <si>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</si>
  <si>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</si>
  <si>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</si>
  <si>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</si>
  <si>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</si>
  <si>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</si>
  <si>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</si>
  <si>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</si>
  <si>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</si>
  <si>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</si>
  <si>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</si>
  <si>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</si>
  <si>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</si>
  <si>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</si>
  <si>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</si>
  <si>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</si>
  <si>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</si>
  <si>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</si>
  <si>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</si>
  <si>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</si>
  <si>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</si>
  <si>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</si>
  <si>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</si>
  <si>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</si>
  <si>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</si>
  <si>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</si>
  <si>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</si>
  <si>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</si>
  <si>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</si>
  <si>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</si>
  <si>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</si>
  <si>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</si>
  <si>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</si>
  <si>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</si>
  <si>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</si>
  <si>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</si>
  <si>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</si>
  <si>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</si>
  <si>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</si>
  <si>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</si>
  <si>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</si>
  <si>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</si>
  <si>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</si>
  <si>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</si>
  <si>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</si>
  <si>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</si>
  <si>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</si>
  <si>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</si>
  <si>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</si>
  <si>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</si>
  <si>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</si>
  <si>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</si>
  <si>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</si>
  <si>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</si>
  <si>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</si>
  <si>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</si>
  <si>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</si>
  <si>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</si>
  <si>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</si>
  <si>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</si>
  <si>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</si>
  <si>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</si>
  <si>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</si>
  <si>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34042</t>
  </si>
  <si>
    <t>ZWEVEGEM</t>
  </si>
  <si>
    <t>Cultuurgrond (ha)</t>
  </si>
  <si>
    <t>Paarden&amp;pony's 200 - 600 kg</t>
  </si>
  <si>
    <t>Paarden&amp;pony's &lt; 200 kg</t>
  </si>
  <si>
    <t>op basis van VEA (maart 2018) en Inventaris Hernieuwbare Energiebronnen (juni 2018)</t>
  </si>
  <si>
    <t>VEA (juni 2018)</t>
  </si>
  <si>
    <t>IMOG</t>
  </si>
  <si>
    <t>Kortrijksesteenweg 264, 8530 Harelbeke</t>
  </si>
  <si>
    <t>BGS-0125 Imog</t>
  </si>
  <si>
    <t>biogas - stortgas</t>
  </si>
  <si>
    <t>niet WKK interne verbrandingsmotor (gas)</t>
  </si>
  <si>
    <t>Sint-Pietersbruglaan 1 , 8552 Moen</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</si>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</sst>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209823.4610163967</c:v>
                </c:pt>
                <c:pt idx="1">
                  <c:v>52286.744031125665</c:v>
                </c:pt>
                <c:pt idx="2">
                  <c:v>1979.875</c:v>
                </c:pt>
                <c:pt idx="3">
                  <c:v>14931.571577757064</c:v>
                </c:pt>
                <c:pt idx="4">
                  <c:v>199155.38528368459</c:v>
                </c:pt>
                <c:pt idx="5">
                  <c:v>78067.274313424641</c:v>
                </c:pt>
                <c:pt idx="6">
                  <c:v>1190.5487560751444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209823.4610163967</c:v>
                </c:pt>
                <c:pt idx="1">
                  <c:v>52286.744031125665</c:v>
                </c:pt>
                <c:pt idx="2">
                  <c:v>1979.875</c:v>
                </c:pt>
                <c:pt idx="3">
                  <c:v>14931.571577757064</c:v>
                </c:pt>
                <c:pt idx="4">
                  <c:v>199155.38528368459</c:v>
                </c:pt>
                <c:pt idx="5">
                  <c:v>78067.274313424641</c:v>
                </c:pt>
                <c:pt idx="6">
                  <c:v>1190.5487560751444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41018.188380314663</c:v>
                </c:pt>
                <c:pt idx="1">
                  <c:v>10364.781651803649</c:v>
                </c:pt>
                <c:pt idx="2">
                  <c:v>358.58762236814073</c:v>
                </c:pt>
                <c:pt idx="3">
                  <c:v>3569.2343441640132</c:v>
                </c:pt>
                <c:pt idx="4">
                  <c:v>39121.758630424803</c:v>
                </c:pt>
                <c:pt idx="5">
                  <c:v>19706.300194837389</c:v>
                </c:pt>
                <c:pt idx="6">
                  <c:v>304.34169816052105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41018.188380314663</c:v>
                </c:pt>
                <c:pt idx="1">
                  <c:v>10364.781651803649</c:v>
                </c:pt>
                <c:pt idx="2">
                  <c:v>358.58762236814073</c:v>
                </c:pt>
                <c:pt idx="3">
                  <c:v>3569.2343441640132</c:v>
                </c:pt>
                <c:pt idx="4">
                  <c:v>39121.758630424803</c:v>
                </c:pt>
                <c:pt idx="5">
                  <c:v>19706.300194837389</c:v>
                </c:pt>
                <c:pt idx="6">
                  <c:v>304.34169816052105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34042</v>
      </c>
      <c r="B6" s="398"/>
      <c r="C6" s="399"/>
    </row>
    <row r="7" spans="1:7" s="396" customFormat="1" ht="15.75" customHeight="1">
      <c r="A7" s="400" t="str">
        <f>txtMunicipality</f>
        <v>ZWEVEGEM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9889</v>
      </c>
      <c r="C9" s="338">
        <v>10379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4277</v>
      </c>
    </row>
    <row r="15" spans="1:6">
      <c r="A15" s="1269" t="s">
        <v>184</v>
      </c>
      <c r="B15" s="335">
        <v>22</v>
      </c>
    </row>
    <row r="16" spans="1:6">
      <c r="A16" s="1269" t="s">
        <v>6</v>
      </c>
      <c r="B16" s="335">
        <v>657</v>
      </c>
    </row>
    <row r="17" spans="1:6">
      <c r="A17" s="1269" t="s">
        <v>7</v>
      </c>
      <c r="B17" s="335">
        <v>827</v>
      </c>
    </row>
    <row r="18" spans="1:6">
      <c r="A18" s="1269" t="s">
        <v>8</v>
      </c>
      <c r="B18" s="335">
        <v>985</v>
      </c>
    </row>
    <row r="19" spans="1:6">
      <c r="A19" s="1269" t="s">
        <v>9</v>
      </c>
      <c r="B19" s="335">
        <v>911</v>
      </c>
    </row>
    <row r="20" spans="1:6">
      <c r="A20" s="1269" t="s">
        <v>10</v>
      </c>
      <c r="B20" s="335">
        <v>985</v>
      </c>
    </row>
    <row r="21" spans="1:6">
      <c r="A21" s="1269" t="s">
        <v>11</v>
      </c>
      <c r="B21" s="335">
        <v>3629</v>
      </c>
    </row>
    <row r="22" spans="1:6">
      <c r="A22" s="1269" t="s">
        <v>12</v>
      </c>
      <c r="B22" s="335">
        <v>20108</v>
      </c>
    </row>
    <row r="23" spans="1:6">
      <c r="A23" s="1269" t="s">
        <v>13</v>
      </c>
      <c r="B23" s="335">
        <v>165</v>
      </c>
    </row>
    <row r="24" spans="1:6">
      <c r="A24" s="1269" t="s">
        <v>14</v>
      </c>
      <c r="B24" s="335">
        <v>20</v>
      </c>
    </row>
    <row r="25" spans="1:6">
      <c r="A25" s="1269" t="s">
        <v>15</v>
      </c>
      <c r="B25" s="335">
        <v>1239</v>
      </c>
    </row>
    <row r="26" spans="1:6">
      <c r="A26" s="1269" t="s">
        <v>16</v>
      </c>
      <c r="B26" s="335">
        <v>180</v>
      </c>
    </row>
    <row r="27" spans="1:6">
      <c r="A27" s="1269" t="s">
        <v>17</v>
      </c>
      <c r="B27" s="335">
        <v>13</v>
      </c>
    </row>
    <row r="28" spans="1:6" s="341" customFormat="1">
      <c r="A28" s="1270" t="s">
        <v>18</v>
      </c>
      <c r="B28" s="1270">
        <v>397620</v>
      </c>
    </row>
    <row r="29" spans="1:6">
      <c r="A29" s="1270" t="s">
        <v>874</v>
      </c>
      <c r="B29" s="1270">
        <v>106</v>
      </c>
      <c r="C29" s="341"/>
      <c r="D29" s="341"/>
      <c r="E29" s="341"/>
      <c r="F29" s="341"/>
    </row>
    <row r="30" spans="1:6">
      <c r="A30" s="1265" t="s">
        <v>875</v>
      </c>
      <c r="B30" s="1265">
        <v>52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1347.621284114</v>
      </c>
      <c r="E38" s="335">
        <v>3</v>
      </c>
      <c r="F38" s="335">
        <v>20101.353144017201</v>
      </c>
    </row>
    <row r="39" spans="1:6">
      <c r="A39" s="1269" t="s">
        <v>30</v>
      </c>
      <c r="B39" s="1269" t="s">
        <v>31</v>
      </c>
      <c r="C39" s="335">
        <v>5230</v>
      </c>
      <c r="D39" s="335">
        <v>87025975.879250303</v>
      </c>
      <c r="E39" s="335">
        <v>9472</v>
      </c>
      <c r="F39" s="335">
        <v>41015133.983229898</v>
      </c>
    </row>
    <row r="40" spans="1:6">
      <c r="A40" s="1269" t="s">
        <v>30</v>
      </c>
      <c r="B40" s="1269" t="s">
        <v>29</v>
      </c>
      <c r="C40" s="335">
        <v>0</v>
      </c>
      <c r="D40" s="335">
        <v>0</v>
      </c>
      <c r="E40" s="335">
        <v>0</v>
      </c>
      <c r="F40" s="335">
        <v>0</v>
      </c>
    </row>
    <row r="41" spans="1:6">
      <c r="A41" s="1269" t="s">
        <v>32</v>
      </c>
      <c r="B41" s="1269" t="s">
        <v>33</v>
      </c>
      <c r="C41" s="335">
        <v>52</v>
      </c>
      <c r="D41" s="335">
        <v>1095244.6199534601</v>
      </c>
      <c r="E41" s="335">
        <v>201</v>
      </c>
      <c r="F41" s="335">
        <v>1671195.2135669601</v>
      </c>
    </row>
    <row r="42" spans="1:6">
      <c r="A42" s="1269" t="s">
        <v>32</v>
      </c>
      <c r="B42" s="1269" t="s">
        <v>34</v>
      </c>
      <c r="C42" s="335">
        <v>0</v>
      </c>
      <c r="D42" s="335">
        <v>0</v>
      </c>
      <c r="E42" s="335">
        <v>0</v>
      </c>
      <c r="F42" s="335">
        <v>0</v>
      </c>
    </row>
    <row r="43" spans="1:6">
      <c r="A43" s="1269" t="s">
        <v>32</v>
      </c>
      <c r="B43" s="1269" t="s">
        <v>35</v>
      </c>
      <c r="C43" s="335">
        <v>5</v>
      </c>
      <c r="D43" s="335">
        <v>156983204.44213399</v>
      </c>
      <c r="E43" s="335">
        <v>14</v>
      </c>
      <c r="F43" s="335">
        <v>16923800.108514</v>
      </c>
    </row>
    <row r="44" spans="1:6">
      <c r="A44" s="1269" t="s">
        <v>32</v>
      </c>
      <c r="B44" s="1269" t="s">
        <v>36</v>
      </c>
      <c r="C44" s="335">
        <v>0</v>
      </c>
      <c r="D44" s="335">
        <v>0</v>
      </c>
      <c r="E44" s="335">
        <v>14</v>
      </c>
      <c r="F44" s="335">
        <v>1314609.60982985</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156841.66205820901</v>
      </c>
      <c r="E47" s="335">
        <v>4</v>
      </c>
      <c r="F47" s="335">
        <v>119998.453172218</v>
      </c>
    </row>
    <row r="48" spans="1:6">
      <c r="A48" s="1269" t="s">
        <v>32</v>
      </c>
      <c r="B48" s="1269" t="s">
        <v>29</v>
      </c>
      <c r="C48" s="335">
        <v>61</v>
      </c>
      <c r="D48" s="335">
        <v>10086926.865504401</v>
      </c>
      <c r="E48" s="335">
        <v>109</v>
      </c>
      <c r="F48" s="335">
        <v>14726795.7130174</v>
      </c>
    </row>
    <row r="49" spans="1:6">
      <c r="A49" s="1269" t="s">
        <v>32</v>
      </c>
      <c r="B49" s="1269" t="s">
        <v>40</v>
      </c>
      <c r="C49" s="335">
        <v>0</v>
      </c>
      <c r="D49" s="335">
        <v>0</v>
      </c>
      <c r="E49" s="335">
        <v>3</v>
      </c>
      <c r="F49" s="335">
        <v>20209.343372450399</v>
      </c>
    </row>
    <row r="50" spans="1:6">
      <c r="A50" s="1269" t="s">
        <v>32</v>
      </c>
      <c r="B50" s="1269" t="s">
        <v>41</v>
      </c>
      <c r="C50" s="335">
        <v>5</v>
      </c>
      <c r="D50" s="335">
        <v>587823.97892997996</v>
      </c>
      <c r="E50" s="335">
        <v>17</v>
      </c>
      <c r="F50" s="335">
        <v>705098.69019503403</v>
      </c>
    </row>
    <row r="51" spans="1:6">
      <c r="A51" s="1269" t="s">
        <v>42</v>
      </c>
      <c r="B51" s="1269" t="s">
        <v>43</v>
      </c>
      <c r="C51" s="335">
        <v>0</v>
      </c>
      <c r="D51" s="335">
        <v>0</v>
      </c>
      <c r="E51" s="335">
        <v>111</v>
      </c>
      <c r="F51" s="335">
        <v>1735081.8091504001</v>
      </c>
    </row>
    <row r="52" spans="1:6">
      <c r="A52" s="1269" t="s">
        <v>42</v>
      </c>
      <c r="B52" s="1269" t="s">
        <v>29</v>
      </c>
      <c r="C52" s="335">
        <v>5</v>
      </c>
      <c r="D52" s="335">
        <v>707066.3309992</v>
      </c>
      <c r="E52" s="335">
        <v>34</v>
      </c>
      <c r="F52" s="335">
        <v>706059.54813490005</v>
      </c>
    </row>
    <row r="53" spans="1:6">
      <c r="A53" s="1269" t="s">
        <v>44</v>
      </c>
      <c r="B53" s="1269" t="s">
        <v>45</v>
      </c>
      <c r="C53" s="335">
        <v>122</v>
      </c>
      <c r="D53" s="335">
        <v>3361669.3222545702</v>
      </c>
      <c r="E53" s="335">
        <v>259</v>
      </c>
      <c r="F53" s="335">
        <v>1277153.66588025</v>
      </c>
    </row>
    <row r="54" spans="1:6">
      <c r="A54" s="1269" t="s">
        <v>46</v>
      </c>
      <c r="B54" s="1269" t="s">
        <v>47</v>
      </c>
      <c r="C54" s="335">
        <v>0</v>
      </c>
      <c r="D54" s="335">
        <v>0</v>
      </c>
      <c r="E54" s="335">
        <v>1</v>
      </c>
      <c r="F54" s="335">
        <v>1979875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30</v>
      </c>
      <c r="D57" s="335">
        <v>1096839.6109575899</v>
      </c>
      <c r="E57" s="335">
        <v>175</v>
      </c>
      <c r="F57" s="335">
        <v>3441679.6706007002</v>
      </c>
    </row>
    <row r="58" spans="1:6">
      <c r="A58" s="1269" t="s">
        <v>49</v>
      </c>
      <c r="B58" s="1269" t="s">
        <v>51</v>
      </c>
      <c r="C58" s="335">
        <v>6</v>
      </c>
      <c r="D58" s="335">
        <v>140734.814505499</v>
      </c>
      <c r="E58" s="335">
        <v>19</v>
      </c>
      <c r="F58" s="335">
        <v>214547.628344734</v>
      </c>
    </row>
    <row r="59" spans="1:6">
      <c r="A59" s="1269" t="s">
        <v>49</v>
      </c>
      <c r="B59" s="1269" t="s">
        <v>52</v>
      </c>
      <c r="C59" s="335">
        <v>64</v>
      </c>
      <c r="D59" s="335">
        <v>2304004.05236207</v>
      </c>
      <c r="E59" s="335">
        <v>188</v>
      </c>
      <c r="F59" s="335">
        <v>5057273.4590515699</v>
      </c>
    </row>
    <row r="60" spans="1:6">
      <c r="A60" s="1269" t="s">
        <v>49</v>
      </c>
      <c r="B60" s="1269" t="s">
        <v>53</v>
      </c>
      <c r="C60" s="335">
        <v>35</v>
      </c>
      <c r="D60" s="335">
        <v>1461716.8343269699</v>
      </c>
      <c r="E60" s="335">
        <v>65</v>
      </c>
      <c r="F60" s="335">
        <v>1146384.0664751499</v>
      </c>
    </row>
    <row r="61" spans="1:6">
      <c r="A61" s="1269" t="s">
        <v>49</v>
      </c>
      <c r="B61" s="1269" t="s">
        <v>54</v>
      </c>
      <c r="C61" s="335">
        <v>166</v>
      </c>
      <c r="D61" s="335">
        <v>13403307.427804001</v>
      </c>
      <c r="E61" s="335">
        <v>306</v>
      </c>
      <c r="F61" s="335">
        <v>4608251.1680087904</v>
      </c>
    </row>
    <row r="62" spans="1:6">
      <c r="A62" s="1269" t="s">
        <v>49</v>
      </c>
      <c r="B62" s="1269" t="s">
        <v>55</v>
      </c>
      <c r="C62" s="335">
        <v>3</v>
      </c>
      <c r="D62" s="335">
        <v>885557.61140145594</v>
      </c>
      <c r="E62" s="335">
        <v>8</v>
      </c>
      <c r="F62" s="335">
        <v>316829.03134854097</v>
      </c>
    </row>
    <row r="63" spans="1:6">
      <c r="A63" s="1269" t="s">
        <v>49</v>
      </c>
      <c r="B63" s="1269" t="s">
        <v>29</v>
      </c>
      <c r="C63" s="335">
        <v>162</v>
      </c>
      <c r="D63" s="335">
        <v>6190536.3236587103</v>
      </c>
      <c r="E63" s="335">
        <v>325</v>
      </c>
      <c r="F63" s="335">
        <v>8351097.0291858902</v>
      </c>
    </row>
    <row r="64" spans="1:6">
      <c r="A64" s="1269" t="s">
        <v>56</v>
      </c>
      <c r="B64" s="1269" t="s">
        <v>57</v>
      </c>
      <c r="C64" s="335">
        <v>0</v>
      </c>
      <c r="D64" s="335">
        <v>0</v>
      </c>
      <c r="E64" s="335">
        <v>0</v>
      </c>
      <c r="F64" s="335">
        <v>0</v>
      </c>
    </row>
    <row r="65" spans="1:6">
      <c r="A65" s="1269" t="s">
        <v>56</v>
      </c>
      <c r="B65" s="1269" t="s">
        <v>29</v>
      </c>
      <c r="C65" s="335">
        <v>0</v>
      </c>
      <c r="D65" s="335">
        <v>0</v>
      </c>
      <c r="E65" s="335">
        <v>4</v>
      </c>
      <c r="F65" s="335">
        <v>24112.377237450801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65207.718117158998</v>
      </c>
      <c r="E68" s="335">
        <v>17</v>
      </c>
      <c r="F68" s="335">
        <v>338445.41874716902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37322274</v>
      </c>
      <c r="E73" s="335">
        <v>36250710.391707979</v>
      </c>
    </row>
    <row r="74" spans="1:6">
      <c r="A74" s="1269" t="s">
        <v>64</v>
      </c>
      <c r="B74" s="1269" t="s">
        <v>727</v>
      </c>
      <c r="C74" s="1269" t="s">
        <v>728</v>
      </c>
      <c r="D74" s="335">
        <v>3830746.6078984719</v>
      </c>
      <c r="E74" s="335">
        <v>3874785.6178553286</v>
      </c>
    </row>
    <row r="75" spans="1:6">
      <c r="A75" s="1269" t="s">
        <v>65</v>
      </c>
      <c r="B75" s="1269" t="s">
        <v>725</v>
      </c>
      <c r="C75" s="1269" t="s">
        <v>729</v>
      </c>
      <c r="D75" s="335">
        <v>41229346</v>
      </c>
      <c r="E75" s="335">
        <v>38521267.721720025</v>
      </c>
    </row>
    <row r="76" spans="1:6">
      <c r="A76" s="1269" t="s">
        <v>65</v>
      </c>
      <c r="B76" s="1269" t="s">
        <v>727</v>
      </c>
      <c r="C76" s="1269" t="s">
        <v>730</v>
      </c>
      <c r="D76" s="335">
        <v>2267634.6078984719</v>
      </c>
      <c r="E76" s="335">
        <v>2051208.6929909599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314528.78420305625</v>
      </c>
      <c r="C83" s="335">
        <v>316405.26721915358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11316.950500269095</v>
      </c>
    </row>
    <row r="91" spans="1:6">
      <c r="A91" s="1269" t="s">
        <v>68</v>
      </c>
      <c r="B91" s="335">
        <v>4382.8017725084019</v>
      </c>
    </row>
    <row r="92" spans="1:6">
      <c r="A92" s="1265" t="s">
        <v>69</v>
      </c>
      <c r="B92" s="338">
        <v>2948.5443938329927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2964</v>
      </c>
    </row>
    <row r="98" spans="1:6">
      <c r="A98" s="1269" t="s">
        <v>72</v>
      </c>
      <c r="B98" s="335">
        <v>3</v>
      </c>
    </row>
    <row r="99" spans="1:6">
      <c r="A99" s="1269" t="s">
        <v>73</v>
      </c>
      <c r="B99" s="335">
        <v>97</v>
      </c>
    </row>
    <row r="100" spans="1:6">
      <c r="A100" s="1269" t="s">
        <v>74</v>
      </c>
      <c r="B100" s="335">
        <v>931</v>
      </c>
    </row>
    <row r="101" spans="1:6">
      <c r="A101" s="1269" t="s">
        <v>75</v>
      </c>
      <c r="B101" s="335">
        <v>139</v>
      </c>
    </row>
    <row r="102" spans="1:6">
      <c r="A102" s="1269" t="s">
        <v>76</v>
      </c>
      <c r="B102" s="335">
        <v>150</v>
      </c>
    </row>
    <row r="103" spans="1:6">
      <c r="A103" s="1269" t="s">
        <v>77</v>
      </c>
      <c r="B103" s="335">
        <v>294</v>
      </c>
    </row>
    <row r="104" spans="1:6">
      <c r="A104" s="1269" t="s">
        <v>78</v>
      </c>
      <c r="B104" s="335">
        <v>4270</v>
      </c>
    </row>
    <row r="105" spans="1:6">
      <c r="A105" s="1265" t="s">
        <v>79</v>
      </c>
      <c r="B105" s="1265">
        <v>13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29</v>
      </c>
      <c r="C123" s="335">
        <v>29</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173</v>
      </c>
    </row>
    <row r="130" spans="1:6">
      <c r="A130" s="1269" t="s">
        <v>295</v>
      </c>
      <c r="B130" s="335">
        <v>5</v>
      </c>
    </row>
    <row r="131" spans="1:6">
      <c r="A131" s="1269" t="s">
        <v>296</v>
      </c>
      <c r="B131" s="335">
        <v>1</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109566.01052612309</v>
      </c>
      <c r="C3" s="43" t="s">
        <v>170</v>
      </c>
      <c r="D3" s="43"/>
      <c r="E3" s="156"/>
      <c r="F3" s="43"/>
      <c r="G3" s="43"/>
      <c r="H3" s="43"/>
      <c r="I3" s="43"/>
      <c r="J3" s="43"/>
      <c r="K3" s="96"/>
    </row>
    <row r="4" spans="1:11">
      <c r="A4" s="366" t="s">
        <v>171</v>
      </c>
      <c r="B4" s="49">
        <f>IF(ISERROR('SEAP template'!B69),0,'SEAP template'!B69)</f>
        <v>19773.296666610491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0.18111629389135209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1979.875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1979.875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0.18111629389135209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358.58762236814073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41015.133983229898</v>
      </c>
      <c r="C5" s="17">
        <f>IF(ISERROR('Eigen informatie GS &amp; warmtenet'!B57),0,'Eigen informatie GS &amp; warmtenet'!B57)</f>
        <v>0</v>
      </c>
      <c r="D5" s="30">
        <f>(SUM(HH_hh_gas_kWh,HH_rest_gas_kWh)/1000)*0.902</f>
        <v>78497.430243083771</v>
      </c>
      <c r="E5" s="17">
        <f>B46*B57</f>
        <v>4002.6781583259908</v>
      </c>
      <c r="F5" s="17">
        <f>B51*B62</f>
        <v>56404.912993879028</v>
      </c>
      <c r="G5" s="18"/>
      <c r="H5" s="17"/>
      <c r="I5" s="17"/>
      <c r="J5" s="17">
        <f>B50*B61+C50*C61</f>
        <v>2742.0392246017454</v>
      </c>
      <c r="K5" s="17"/>
      <c r="L5" s="17"/>
      <c r="M5" s="17"/>
      <c r="N5" s="17">
        <f>B48*B59+C48*C59</f>
        <v>21503.084640767858</v>
      </c>
      <c r="O5" s="17">
        <f>B69*B70*B71</f>
        <v>322.04666666666668</v>
      </c>
      <c r="P5" s="17">
        <f>B77*B78*B79/1000-B77*B78*B79/1000/B80</f>
        <v>953.33333333333326</v>
      </c>
    </row>
    <row r="6" spans="1:16">
      <c r="A6" s="16" t="s">
        <v>634</v>
      </c>
      <c r="B6" s="831">
        <f>kWh_PV_kleiner_dan_10kW</f>
        <v>4382.8017725084019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45397.935755738297</v>
      </c>
      <c r="C8" s="21">
        <f>C5</f>
        <v>0</v>
      </c>
      <c r="D8" s="21">
        <f>D5</f>
        <v>78497.430243083771</v>
      </c>
      <c r="E8" s="21">
        <f>E5</f>
        <v>4002.6781583259908</v>
      </c>
      <c r="F8" s="21">
        <f>F5</f>
        <v>56404.912993879028</v>
      </c>
      <c r="G8" s="21"/>
      <c r="H8" s="21"/>
      <c r="I8" s="21"/>
      <c r="J8" s="21">
        <f>J5</f>
        <v>2742.0392246017454</v>
      </c>
      <c r="K8" s="21"/>
      <c r="L8" s="21">
        <f>L5</f>
        <v>0</v>
      </c>
      <c r="M8" s="21">
        <f>M5</f>
        <v>0</v>
      </c>
      <c r="N8" s="21">
        <f>N5</f>
        <v>21503.084640767858</v>
      </c>
      <c r="O8" s="21">
        <f>O5</f>
        <v>322.04666666666668</v>
      </c>
      <c r="P8" s="21">
        <f>P5</f>
        <v>953.33333333333326</v>
      </c>
    </row>
    <row r="9" spans="1:16">
      <c r="B9" s="19"/>
      <c r="C9" s="19"/>
      <c r="D9" s="261"/>
      <c r="E9" s="19"/>
      <c r="F9" s="19"/>
      <c r="G9" s="19"/>
      <c r="H9" s="19"/>
      <c r="I9" s="19"/>
      <c r="J9" s="19"/>
      <c r="K9" s="19"/>
      <c r="L9" s="19"/>
      <c r="M9" s="19"/>
      <c r="N9" s="19"/>
      <c r="O9" s="19"/>
      <c r="P9" s="19"/>
    </row>
    <row r="10" spans="1:16">
      <c r="A10" s="24" t="s">
        <v>214</v>
      </c>
      <c r="B10" s="25">
        <f ca="1">'EF ele_warmte'!B12</f>
        <v>0.18111629389135209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8222.3058743970178</v>
      </c>
      <c r="C12" s="23">
        <f ca="1">C10*C8</f>
        <v>0</v>
      </c>
      <c r="D12" s="23">
        <f>D8*D10</f>
        <v>15856.480909102922</v>
      </c>
      <c r="E12" s="23">
        <f>E10*E8</f>
        <v>908.60794193999993</v>
      </c>
      <c r="F12" s="23">
        <f>F10*F8</f>
        <v>15060.111769365702</v>
      </c>
      <c r="G12" s="23"/>
      <c r="H12" s="23"/>
      <c r="I12" s="23"/>
      <c r="J12" s="23">
        <f>J10*J8</f>
        <v>970.68188550901789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2964</v>
      </c>
      <c r="C18" s="168" t="s">
        <v>111</v>
      </c>
      <c r="D18" s="230"/>
      <c r="E18" s="15"/>
    </row>
    <row r="19" spans="1:7">
      <c r="A19" s="173" t="s">
        <v>72</v>
      </c>
      <c r="B19" s="37">
        <f>aantalw2001_ander</f>
        <v>3</v>
      </c>
      <c r="C19" s="168" t="s">
        <v>111</v>
      </c>
      <c r="D19" s="231"/>
      <c r="E19" s="15"/>
    </row>
    <row r="20" spans="1:7">
      <c r="A20" s="173" t="s">
        <v>73</v>
      </c>
      <c r="B20" s="37">
        <f>aantalw2001_propaan</f>
        <v>97</v>
      </c>
      <c r="C20" s="169">
        <f>IF(ISERROR(B20/SUM($B$20,$B$21,$B$22)*100),0,B20/SUM($B$20,$B$21,$B$22)*100)</f>
        <v>8.3119108826049697</v>
      </c>
      <c r="D20" s="231"/>
      <c r="E20" s="15"/>
    </row>
    <row r="21" spans="1:7">
      <c r="A21" s="173" t="s">
        <v>74</v>
      </c>
      <c r="B21" s="37">
        <f>aantalw2001_elektriciteit</f>
        <v>931</v>
      </c>
      <c r="C21" s="169">
        <f>IF(ISERROR(B21/SUM($B$20,$B$21,$B$22)*100),0,B21/SUM($B$20,$B$21,$B$22)*100)</f>
        <v>79.777206512425025</v>
      </c>
      <c r="D21" s="231"/>
      <c r="E21" s="15"/>
    </row>
    <row r="22" spans="1:7">
      <c r="A22" s="173" t="s">
        <v>75</v>
      </c>
      <c r="B22" s="37">
        <f>aantalw2001_hout</f>
        <v>139</v>
      </c>
      <c r="C22" s="169">
        <f>IF(ISERROR(B22/SUM($B$20,$B$21,$B$22)*100),0,B22/SUM($B$20,$B$21,$B$22)*100)</f>
        <v>11.910882604970009</v>
      </c>
      <c r="D22" s="231"/>
      <c r="E22" s="15"/>
    </row>
    <row r="23" spans="1:7">
      <c r="A23" s="173" t="s">
        <v>76</v>
      </c>
      <c r="B23" s="37">
        <f>aantalw2001_niet_gespec</f>
        <v>150</v>
      </c>
      <c r="C23" s="168" t="s">
        <v>111</v>
      </c>
      <c r="D23" s="230"/>
      <c r="E23" s="15"/>
    </row>
    <row r="24" spans="1:7">
      <c r="A24" s="173" t="s">
        <v>77</v>
      </c>
      <c r="B24" s="37">
        <f>aantalw2001_steenkool</f>
        <v>294</v>
      </c>
      <c r="C24" s="168" t="s">
        <v>111</v>
      </c>
      <c r="D24" s="231"/>
      <c r="E24" s="15"/>
    </row>
    <row r="25" spans="1:7">
      <c r="A25" s="173" t="s">
        <v>78</v>
      </c>
      <c r="B25" s="37">
        <f>aantalw2001_stookolie</f>
        <v>4270</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9889</v>
      </c>
      <c r="C28" s="36"/>
      <c r="D28" s="230"/>
    </row>
    <row r="29" spans="1:7" s="15" customFormat="1">
      <c r="A29" s="232" t="s">
        <v>746</v>
      </c>
      <c r="B29" s="37">
        <f>SUM(HH_hh_gas_aantal,HH_rest_gas_aantal)</f>
        <v>5230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5230</v>
      </c>
      <c r="C32" s="169">
        <f>IF(ISERROR(B32/SUM($B$32,$B$34,$B$35,$B$36,$B$38,$B$39)*100),0,B32/SUM($B$32,$B$34,$B$35,$B$36,$B$38,$B$39)*100)</f>
        <v>53.155808517125728</v>
      </c>
      <c r="D32" s="235"/>
      <c r="G32" s="15"/>
    </row>
    <row r="33" spans="1:7">
      <c r="A33" s="173" t="s">
        <v>72</v>
      </c>
      <c r="B33" s="34" t="s">
        <v>111</v>
      </c>
      <c r="C33" s="169"/>
      <c r="D33" s="235"/>
      <c r="G33" s="15"/>
    </row>
    <row r="34" spans="1:7">
      <c r="A34" s="173" t="s">
        <v>73</v>
      </c>
      <c r="B34" s="33">
        <f>IF((($B$28-$B$32-$B$39-$B$77-$B$38)*C20/100)&lt;0,0,($B$28-$B$32-$B$39-$B$77-$B$38)*C20/100)</f>
        <v>192.08826049700085</v>
      </c>
      <c r="C34" s="169">
        <f>IF(ISERROR(B34/SUM($B$32,$B$34,$B$35,$B$36,$B$38,$B$39)*100),0,B34/SUM($B$32,$B$34,$B$35,$B$36,$B$38,$B$39)*100)</f>
        <v>1.9523148744486314</v>
      </c>
      <c r="D34" s="235"/>
      <c r="G34" s="15"/>
    </row>
    <row r="35" spans="1:7">
      <c r="A35" s="173" t="s">
        <v>74</v>
      </c>
      <c r="B35" s="33">
        <f>IF((($B$28-$B$32-$B$39-$B$77-$B$38)*C21/100)&lt;0,0,($B$28-$B$32-$B$39-$B$77-$B$38)*C21/100)</f>
        <v>1843.6512425021422</v>
      </c>
      <c r="C35" s="169">
        <f>IF(ISERROR(B35/SUM($B$32,$B$34,$B$35,$B$36,$B$38,$B$39)*100),0,B35/SUM($B$32,$B$34,$B$35,$B$36,$B$38,$B$39)*100)</f>
        <v>18.738197403213153</v>
      </c>
      <c r="D35" s="235"/>
      <c r="G35" s="15"/>
    </row>
    <row r="36" spans="1:7">
      <c r="A36" s="173" t="s">
        <v>75</v>
      </c>
      <c r="B36" s="33">
        <f>IF((($B$28-$B$32-$B$39-$B$77-$B$38)*C22/100)&lt;0,0,($B$28-$B$32-$B$39-$B$77-$B$38)*C22/100)</f>
        <v>275.2604970008569</v>
      </c>
      <c r="C36" s="169">
        <f>IF(ISERROR(B36/SUM($B$32,$B$34,$B$35,$B$36,$B$38,$B$39)*100),0,B36/SUM($B$32,$B$34,$B$35,$B$36,$B$38,$B$39)*100)</f>
        <v>2.7976470881274205</v>
      </c>
      <c r="D36" s="235"/>
      <c r="G36" s="15"/>
    </row>
    <row r="37" spans="1:7">
      <c r="A37" s="173" t="s">
        <v>76</v>
      </c>
      <c r="B37" s="34" t="s">
        <v>111</v>
      </c>
      <c r="C37" s="169"/>
      <c r="D37" s="175"/>
      <c r="G37" s="15"/>
    </row>
    <row r="38" spans="1:7">
      <c r="A38" s="173" t="s">
        <v>77</v>
      </c>
      <c r="B38" s="33">
        <f>IF((B24-(B29-B18)*0.1)&lt;0,0,B24-(B29-B18)*0.1)</f>
        <v>67.399999999999977</v>
      </c>
      <c r="C38" s="169">
        <f>IF(ISERROR(B38/SUM($B$32,$B$34,$B$35,$B$36,$B$38,$B$39)*100),0,B38/SUM($B$32,$B$34,$B$35,$B$36,$B$38,$B$39)*100)</f>
        <v>0.68502896635836952</v>
      </c>
      <c r="D38" s="236"/>
      <c r="G38" s="15"/>
    </row>
    <row r="39" spans="1:7">
      <c r="A39" s="173" t="s">
        <v>78</v>
      </c>
      <c r="B39" s="33">
        <f>IF((B25-(B29-B18))&lt;0,0,B25-(B29-B18)*0.9)</f>
        <v>2230.6</v>
      </c>
      <c r="C39" s="169">
        <f>IF(ISERROR(B39/SUM($B$32,$B$34,$B$35,$B$36,$B$38,$B$39)*100),0,B39/SUM($B$32,$B$34,$B$35,$B$36,$B$38,$B$39)*100)</f>
        <v>22.671003150726698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5230</v>
      </c>
      <c r="C44" s="34" t="s">
        <v>111</v>
      </c>
      <c r="D44" s="176"/>
    </row>
    <row r="45" spans="1:7">
      <c r="A45" s="173" t="s">
        <v>72</v>
      </c>
      <c r="B45" s="33" t="str">
        <f t="shared" si="0"/>
        <v>-</v>
      </c>
      <c r="C45" s="34" t="s">
        <v>111</v>
      </c>
      <c r="D45" s="176"/>
    </row>
    <row r="46" spans="1:7">
      <c r="A46" s="173" t="s">
        <v>73</v>
      </c>
      <c r="B46" s="33">
        <f t="shared" si="0"/>
        <v>192.08826049700085</v>
      </c>
      <c r="C46" s="34" t="s">
        <v>111</v>
      </c>
      <c r="D46" s="176"/>
    </row>
    <row r="47" spans="1:7">
      <c r="A47" s="173" t="s">
        <v>74</v>
      </c>
      <c r="B47" s="33">
        <f t="shared" si="0"/>
        <v>1843.6512425021422</v>
      </c>
      <c r="C47" s="34" t="s">
        <v>111</v>
      </c>
      <c r="D47" s="176"/>
    </row>
    <row r="48" spans="1:7">
      <c r="A48" s="173" t="s">
        <v>75</v>
      </c>
      <c r="B48" s="33">
        <f t="shared" si="0"/>
        <v>275.2604970008569</v>
      </c>
      <c r="C48" s="33">
        <f>B48*10</f>
        <v>2752.6049700085691</v>
      </c>
      <c r="D48" s="236"/>
    </row>
    <row r="49" spans="1:6">
      <c r="A49" s="173" t="s">
        <v>76</v>
      </c>
      <c r="B49" s="33" t="str">
        <f t="shared" si="0"/>
        <v>-</v>
      </c>
      <c r="C49" s="34" t="s">
        <v>111</v>
      </c>
      <c r="D49" s="236"/>
    </row>
    <row r="50" spans="1:6">
      <c r="A50" s="173" t="s">
        <v>77</v>
      </c>
      <c r="B50" s="33">
        <f t="shared" si="0"/>
        <v>67.399999999999977</v>
      </c>
      <c r="C50" s="33">
        <f>B50*2</f>
        <v>134.79999999999995</v>
      </c>
      <c r="D50" s="236"/>
    </row>
    <row r="51" spans="1:6">
      <c r="A51" s="173" t="s">
        <v>78</v>
      </c>
      <c r="B51" s="33">
        <f t="shared" si="0"/>
        <v>2230.6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23136.062053015376</v>
      </c>
      <c r="C5" s="17">
        <f>IF(ISERROR('Eigen informatie GS &amp; warmtenet'!B58),0,'Eigen informatie GS &amp; warmtenet'!B58)</f>
        <v>0</v>
      </c>
      <c r="D5" s="30">
        <f>SUM(D6:D12)</f>
        <v>22985.392400864697</v>
      </c>
      <c r="E5" s="17">
        <f>SUM(E6:E12)</f>
        <v>273.01813014641709</v>
      </c>
      <c r="F5" s="17">
        <f>SUM(F6:F12)</f>
        <v>4740.3881137658436</v>
      </c>
      <c r="G5" s="18"/>
      <c r="H5" s="17"/>
      <c r="I5" s="17"/>
      <c r="J5" s="17">
        <f>SUM(J6:J12)</f>
        <v>0</v>
      </c>
      <c r="K5" s="17"/>
      <c r="L5" s="17"/>
      <c r="M5" s="17"/>
      <c r="N5" s="17">
        <f>SUM(N6:N12)</f>
        <v>3078.7653306178063</v>
      </c>
      <c r="O5" s="17">
        <f>B38*B39*B40</f>
        <v>7.8166666666666664</v>
      </c>
      <c r="P5" s="17">
        <f>B46*B47*B48/1000-B46*B47*B48/1000/B49</f>
        <v>19.066666666666666</v>
      </c>
      <c r="R5" s="32"/>
    </row>
    <row r="6" spans="1:18">
      <c r="A6" s="32" t="s">
        <v>54</v>
      </c>
      <c r="B6" s="37">
        <f>B26</f>
        <v>4608.25116800879</v>
      </c>
      <c r="C6" s="33"/>
      <c r="D6" s="37">
        <f>IF(ISERROR(TER_kantoor_gas_kWh/1000),0,TER_kantoor_gas_kWh/1000)*0.902</f>
        <v>12089.783299879209</v>
      </c>
      <c r="E6" s="33">
        <f>$C$26*'E Balans VL '!I12/100/3.6*1000000</f>
        <v>17.904031411330976</v>
      </c>
      <c r="F6" s="33">
        <f>$C$26*('E Balans VL '!L12+'E Balans VL '!N12)/100/3.6*1000000</f>
        <v>700.87307091159687</v>
      </c>
      <c r="G6" s="34"/>
      <c r="H6" s="33"/>
      <c r="I6" s="33"/>
      <c r="J6" s="33">
        <f>$C$26*('E Balans VL '!D12+'E Balans VL '!E12)/100/3.6*1000000</f>
        <v>0</v>
      </c>
      <c r="K6" s="33"/>
      <c r="L6" s="33"/>
      <c r="M6" s="33"/>
      <c r="N6" s="33">
        <f>$C$26*'E Balans VL '!Y12/100/3.6*1000000</f>
        <v>2.5396984484673468</v>
      </c>
      <c r="O6" s="33"/>
      <c r="P6" s="33"/>
      <c r="R6" s="32"/>
    </row>
    <row r="7" spans="1:18">
      <c r="A7" s="32" t="s">
        <v>53</v>
      </c>
      <c r="B7" s="37">
        <f t="shared" ref="B7:B12" si="0">B27</f>
        <v>1146.3840664751499</v>
      </c>
      <c r="C7" s="33"/>
      <c r="D7" s="37">
        <f>IF(ISERROR(TER_horeca_gas_kWh/1000),0,TER_horeca_gas_kWh/1000)*0.902</f>
        <v>1318.4685845629269</v>
      </c>
      <c r="E7" s="33">
        <f>$C$27*'E Balans VL '!I9/100/3.6*1000000</f>
        <v>64.576120956864159</v>
      </c>
      <c r="F7" s="33">
        <f>$C$27*('E Balans VL '!L9+'E Balans VL '!N9)/100/3.6*1000000</f>
        <v>330.54853215843934</v>
      </c>
      <c r="G7" s="34"/>
      <c r="H7" s="33"/>
      <c r="I7" s="33"/>
      <c r="J7" s="33">
        <f>$C$27*('E Balans VL '!D9+'E Balans VL '!E9)/100/3.6*1000000</f>
        <v>0</v>
      </c>
      <c r="K7" s="33"/>
      <c r="L7" s="33"/>
      <c r="M7" s="33"/>
      <c r="N7" s="33">
        <f>$C$27*'E Balans VL '!Y9/100/3.6*1000000</f>
        <v>0.31651068358168749</v>
      </c>
      <c r="O7" s="33"/>
      <c r="P7" s="33"/>
      <c r="R7" s="32"/>
    </row>
    <row r="8" spans="1:18">
      <c r="A8" s="6" t="s">
        <v>52</v>
      </c>
      <c r="B8" s="37">
        <f t="shared" si="0"/>
        <v>5057.2734590515702</v>
      </c>
      <c r="C8" s="33"/>
      <c r="D8" s="37">
        <f>IF(ISERROR(TER_handel_gas_kWh/1000),0,TER_handel_gas_kWh/1000)*0.902</f>
        <v>2078.2116552305874</v>
      </c>
      <c r="E8" s="33">
        <f>$C$28*'E Balans VL '!I13/100/3.6*1000000</f>
        <v>72.892468167013647</v>
      </c>
      <c r="F8" s="33">
        <f>$C$28*('E Balans VL '!L13+'E Balans VL '!N13)/100/3.6*1000000</f>
        <v>878.56617578873306</v>
      </c>
      <c r="G8" s="34"/>
      <c r="H8" s="33"/>
      <c r="I8" s="33"/>
      <c r="J8" s="33">
        <f>$C$28*('E Balans VL '!D13+'E Balans VL '!E13)/100/3.6*1000000</f>
        <v>0</v>
      </c>
      <c r="K8" s="33"/>
      <c r="L8" s="33"/>
      <c r="M8" s="33"/>
      <c r="N8" s="33">
        <f>$C$28*'E Balans VL '!Y13/100/3.6*1000000</f>
        <v>15.152154270597592</v>
      </c>
      <c r="O8" s="33"/>
      <c r="P8" s="33"/>
      <c r="R8" s="32"/>
    </row>
    <row r="9" spans="1:18">
      <c r="A9" s="32" t="s">
        <v>51</v>
      </c>
      <c r="B9" s="37">
        <f t="shared" si="0"/>
        <v>214.54762834473399</v>
      </c>
      <c r="C9" s="33"/>
      <c r="D9" s="37">
        <f>IF(ISERROR(TER_gezond_gas_kWh/1000),0,TER_gezond_gas_kWh/1000)*0.902</f>
        <v>126.94280268396011</v>
      </c>
      <c r="E9" s="33">
        <f>$C$29*'E Balans VL '!I10/100/3.6*1000000</f>
        <v>0.22919247577527793</v>
      </c>
      <c r="F9" s="33">
        <f>$C$29*('E Balans VL '!L10+'E Balans VL '!N10)/100/3.6*1000000</f>
        <v>34.999238530129098</v>
      </c>
      <c r="G9" s="34"/>
      <c r="H9" s="33"/>
      <c r="I9" s="33"/>
      <c r="J9" s="33">
        <f>$C$29*('E Balans VL '!D10+'E Balans VL '!E10)/100/3.6*1000000</f>
        <v>0</v>
      </c>
      <c r="K9" s="33"/>
      <c r="L9" s="33"/>
      <c r="M9" s="33"/>
      <c r="N9" s="33">
        <f>$C$29*'E Balans VL '!Y10/100/3.6*1000000</f>
        <v>2.2086454153745887</v>
      </c>
      <c r="O9" s="33"/>
      <c r="P9" s="33"/>
      <c r="R9" s="32"/>
    </row>
    <row r="10" spans="1:18">
      <c r="A10" s="32" t="s">
        <v>50</v>
      </c>
      <c r="B10" s="37">
        <f t="shared" si="0"/>
        <v>3441.6796706007003</v>
      </c>
      <c r="C10" s="33"/>
      <c r="D10" s="37">
        <f>IF(ISERROR(TER_ander_gas_kWh/1000),0,TER_ander_gas_kWh/1000)*0.902</f>
        <v>989.34932908374617</v>
      </c>
      <c r="E10" s="33">
        <f>$C$30*'E Balans VL '!I14/100/3.6*1000000</f>
        <v>15.827761286752049</v>
      </c>
      <c r="F10" s="33">
        <f>$C$30*('E Balans VL '!L14+'E Balans VL '!N14)/100/3.6*1000000</f>
        <v>1031.5799576130585</v>
      </c>
      <c r="G10" s="34"/>
      <c r="H10" s="33"/>
      <c r="I10" s="33"/>
      <c r="J10" s="33">
        <f>$C$30*('E Balans VL '!D14+'E Balans VL '!E14)/100/3.6*1000000</f>
        <v>0</v>
      </c>
      <c r="K10" s="33"/>
      <c r="L10" s="33"/>
      <c r="M10" s="33"/>
      <c r="N10" s="33">
        <f>$C$30*'E Balans VL '!Y14/100/3.6*1000000</f>
        <v>2395.636238658713</v>
      </c>
      <c r="O10" s="33"/>
      <c r="P10" s="33"/>
      <c r="R10" s="32"/>
    </row>
    <row r="11" spans="1:18">
      <c r="A11" s="32" t="s">
        <v>55</v>
      </c>
      <c r="B11" s="37">
        <f t="shared" si="0"/>
        <v>316.82903134854098</v>
      </c>
      <c r="C11" s="33"/>
      <c r="D11" s="37">
        <f>IF(ISERROR(TER_onderwijs_gas_kWh/1000),0,TER_onderwijs_gas_kWh/1000)*0.902</f>
        <v>798.77296548411323</v>
      </c>
      <c r="E11" s="33">
        <f>$C$31*'E Balans VL '!I11/100/3.6*1000000</f>
        <v>0.29390059237459015</v>
      </c>
      <c r="F11" s="33">
        <f>$C$31*('E Balans VL '!L11+'E Balans VL '!N11)/100/3.6*1000000</f>
        <v>111.29475692099014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8351.0970291858903</v>
      </c>
      <c r="C12" s="33"/>
      <c r="D12" s="37">
        <f>IF(ISERROR(TER_rest_gas_kWh/1000),0,TER_rest_gas_kWh/1000)*0.902</f>
        <v>5583.8637639401568</v>
      </c>
      <c r="E12" s="33">
        <f>$C$32*'E Balans VL '!I8/100/3.6*1000000</f>
        <v>101.29465525630638</v>
      </c>
      <c r="F12" s="33">
        <f>$C$32*('E Balans VL '!L8+'E Balans VL '!N8)/100/3.6*1000000</f>
        <v>1652.5263818428964</v>
      </c>
      <c r="G12" s="34"/>
      <c r="H12" s="33"/>
      <c r="I12" s="33"/>
      <c r="J12" s="33">
        <f>$C$32*('E Balans VL '!D8+'E Balans VL '!E8)/100/3.6*1000000</f>
        <v>0</v>
      </c>
      <c r="K12" s="33"/>
      <c r="L12" s="33"/>
      <c r="M12" s="33"/>
      <c r="N12" s="33">
        <f>$C$32*'E Balans VL '!Y8/100/3.6*1000000</f>
        <v>662.91208314107212</v>
      </c>
      <c r="O12" s="33"/>
      <c r="P12" s="33"/>
      <c r="R12" s="32"/>
    </row>
    <row r="13" spans="1:18">
      <c r="A13" s="16" t="s">
        <v>497</v>
      </c>
      <c r="B13" s="249">
        <f ca="1">'lokale energieproductie'!N90+'lokale energieproductie'!N59</f>
        <v>1125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-3214.2857142857147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24261.062053015376</v>
      </c>
      <c r="C16" s="21">
        <f t="shared" ca="1" si="1"/>
        <v>0</v>
      </c>
      <c r="D16" s="21">
        <f t="shared" ca="1" si="1"/>
        <v>22985.392400864697</v>
      </c>
      <c r="E16" s="21">
        <f t="shared" si="1"/>
        <v>273.01813014641709</v>
      </c>
      <c r="F16" s="21">
        <f t="shared" ca="1" si="1"/>
        <v>4740.3881137658436</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0.18111629389135209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4394.0736449102624</v>
      </c>
      <c r="C20" s="23">
        <f t="shared" ref="C20:P20" ca="1" si="2">C16*C18</f>
        <v>0</v>
      </c>
      <c r="D20" s="23">
        <f t="shared" ca="1" si="2"/>
        <v>4643.0492649746693</v>
      </c>
      <c r="E20" s="23">
        <f t="shared" si="2"/>
        <v>61.975115543236683</v>
      </c>
      <c r="F20" s="23">
        <f t="shared" ca="1" si="2"/>
        <v>1265.6836263754803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4608.25116800879</v>
      </c>
      <c r="C26" s="39">
        <f>IF(ISERROR(B26*3.6/1000000/'E Balans VL '!Z12*100),0,B26*3.6/1000000/'E Balans VL '!Z12*100)</f>
        <v>9.7881537439397384E-2</v>
      </c>
      <c r="D26" s="239" t="s">
        <v>692</v>
      </c>
      <c r="F26" s="6"/>
    </row>
    <row r="27" spans="1:18">
      <c r="A27" s="233" t="s">
        <v>53</v>
      </c>
      <c r="B27" s="33">
        <f>IF(ISERROR(TER_horeca_ele_kWh/1000),0,TER_horeca_ele_kWh/1000)</f>
        <v>1146.3840664751499</v>
      </c>
      <c r="C27" s="39">
        <f>IF(ISERROR(B27*3.6/1000000/'E Balans VL '!Z9*100),0,B27*3.6/1000000/'E Balans VL '!Z9*100)</f>
        <v>8.9138342737164783E-2</v>
      </c>
      <c r="D27" s="239" t="s">
        <v>692</v>
      </c>
      <c r="F27" s="6"/>
    </row>
    <row r="28" spans="1:18">
      <c r="A28" s="173" t="s">
        <v>52</v>
      </c>
      <c r="B28" s="33">
        <f>IF(ISERROR(TER_handel_ele_kWh/1000),0,TER_handel_ele_kWh/1000)</f>
        <v>5057.2734590515702</v>
      </c>
      <c r="C28" s="39">
        <f>IF(ISERROR(B28*3.6/1000000/'E Balans VL '!Z13*100),0,B28*3.6/1000000/'E Balans VL '!Z13*100)</f>
        <v>0.1446945454789364</v>
      </c>
      <c r="D28" s="239" t="s">
        <v>692</v>
      </c>
      <c r="F28" s="6"/>
    </row>
    <row r="29" spans="1:18">
      <c r="A29" s="233" t="s">
        <v>51</v>
      </c>
      <c r="B29" s="33">
        <f>IF(ISERROR(TER_gezond_ele_kWh/1000),0,TER_gezond_ele_kWh/1000)</f>
        <v>214.54762834473399</v>
      </c>
      <c r="C29" s="39">
        <f>IF(ISERROR(B29*3.6/1000000/'E Balans VL '!Z10*100),0,B29*3.6/1000000/'E Balans VL '!Z10*100)</f>
        <v>2.3390676978539943E-2</v>
      </c>
      <c r="D29" s="239" t="s">
        <v>692</v>
      </c>
      <c r="F29" s="6"/>
    </row>
    <row r="30" spans="1:18">
      <c r="A30" s="233" t="s">
        <v>50</v>
      </c>
      <c r="B30" s="33">
        <f>IF(ISERROR(TER_ander_ele_kWh/1000),0,TER_ander_ele_kWh/1000)</f>
        <v>3441.6796706007003</v>
      </c>
      <c r="C30" s="39">
        <f>IF(ISERROR(B30*3.6/1000000/'E Balans VL '!Z14*100),0,B30*3.6/1000000/'E Balans VL '!Z14*100)</f>
        <v>0.25185431102930117</v>
      </c>
      <c r="D30" s="239" t="s">
        <v>692</v>
      </c>
      <c r="F30" s="6"/>
    </row>
    <row r="31" spans="1:18">
      <c r="A31" s="233" t="s">
        <v>55</v>
      </c>
      <c r="B31" s="33">
        <f>IF(ISERROR(TER_onderwijs_ele_kWh/1000),0,TER_onderwijs_ele_kWh/1000)</f>
        <v>316.82903134854098</v>
      </c>
      <c r="C31" s="39">
        <f>IF(ISERROR(B31*3.6/1000000/'E Balans VL '!Z11*100),0,B31*3.6/1000000/'E Balans VL '!Z11*100)</f>
        <v>6.3635346217105565E-2</v>
      </c>
      <c r="D31" s="239" t="s">
        <v>692</v>
      </c>
    </row>
    <row r="32" spans="1:18">
      <c r="A32" s="233" t="s">
        <v>260</v>
      </c>
      <c r="B32" s="33">
        <f>IF(ISERROR(TER_rest_ele_kWh/1000),0,TER_rest_ele_kWh/1000)</f>
        <v>8351.0970291858903</v>
      </c>
      <c r="C32" s="39">
        <f>IF(ISERROR(B32*3.6/1000000/'E Balans VL '!Z8*100),0,B32*3.6/1000000/'E Balans VL '!Z8*100)</f>
        <v>6.8056372764580167E-2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35481.707131667914</v>
      </c>
      <c r="C5" s="17">
        <f>IF(ISERROR('Eigen informatie GS &amp; warmtenet'!B59),0,'Eigen informatie GS &amp; warmtenet'!B59)</f>
        <v>0</v>
      </c>
      <c r="D5" s="30">
        <f>SUM(D6:D15)</f>
        <v>152356.8574948592</v>
      </c>
      <c r="E5" s="17">
        <f>SUM(E6:E15)</f>
        <v>1370.4635649564982</v>
      </c>
      <c r="F5" s="17">
        <f>SUM(F6:F15)</f>
        <v>5973.3992867934248</v>
      </c>
      <c r="G5" s="18"/>
      <c r="H5" s="17"/>
      <c r="I5" s="17"/>
      <c r="J5" s="17">
        <f>SUM(J6:J15)</f>
        <v>37.75503112489924</v>
      </c>
      <c r="K5" s="17"/>
      <c r="L5" s="17"/>
      <c r="M5" s="17"/>
      <c r="N5" s="17">
        <f>SUM(N6:N15)</f>
        <v>3935.2027742826754</v>
      </c>
      <c r="O5" s="17">
        <f>B43*B44*B45</f>
        <v>0</v>
      </c>
      <c r="P5" s="17">
        <f>B51*B52*B53/1000-B51*B52*B53/1000/B54</f>
        <v>0</v>
      </c>
      <c r="R5" s="32"/>
    </row>
    <row r="6" spans="1:18">
      <c r="A6" s="6" t="s">
        <v>35</v>
      </c>
      <c r="B6" s="37">
        <f>IF( ISERROR(IND_ijzer_ele_kWh/1000),0,IND_ijzer_ele_kWh/1000)</f>
        <v>16923.800108513999</v>
      </c>
      <c r="C6" s="33"/>
      <c r="D6" s="37">
        <f>IF( ISERROR(IND_ijzer_gas_kWh/1000),0,IND_ijzer_gas_kWh/1000)*0.902</f>
        <v>141598.85040680485</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1314.6096098298501</v>
      </c>
      <c r="C8" s="33"/>
      <c r="D8" s="37">
        <f>IF( ISERROR(IND_metaal_Gas_kWH/1000),0,IND_metaal_Gas_kWH/1000)*0.902</f>
        <v>0</v>
      </c>
      <c r="E8" s="33">
        <f>C30*'E Balans VL '!I18/100/3.6*1000000</f>
        <v>37.760522433438716</v>
      </c>
      <c r="F8" s="33">
        <f>C30*'E Balans VL '!L18/100/3.6*1000000+C30*'E Balans VL '!N18/100/3.6*1000000</f>
        <v>337.17208134502431</v>
      </c>
      <c r="G8" s="34"/>
      <c r="H8" s="33"/>
      <c r="I8" s="33"/>
      <c r="J8" s="40">
        <f>C30*'E Balans VL '!D18/100/3.6*1000000+C30*'E Balans VL '!E18/100/3.6*1000000</f>
        <v>0</v>
      </c>
      <c r="K8" s="33"/>
      <c r="L8" s="33"/>
      <c r="M8" s="33"/>
      <c r="N8" s="33">
        <f>C30*'E Balans VL '!Y18/100/3.6*1000000</f>
        <v>35.694334405286035</v>
      </c>
      <c r="O8" s="33"/>
      <c r="P8" s="33"/>
      <c r="R8" s="32"/>
    </row>
    <row r="9" spans="1:18">
      <c r="A9" s="6" t="s">
        <v>33</v>
      </c>
      <c r="B9" s="37">
        <f t="shared" si="0"/>
        <v>1671.1952135669601</v>
      </c>
      <c r="C9" s="33"/>
      <c r="D9" s="37">
        <f>IF( ISERROR(IND_andere_gas_kWh/1000),0,IND_andere_gas_kWh/1000)*0.902</f>
        <v>987.91064719802091</v>
      </c>
      <c r="E9" s="33">
        <f>C31*'E Balans VL '!I19/100/3.6*1000000</f>
        <v>452.35145456826734</v>
      </c>
      <c r="F9" s="33">
        <f>C31*'E Balans VL '!L19/100/3.6*1000000+C31*'E Balans VL '!N19/100/3.6*1000000</f>
        <v>1113.192861631305</v>
      </c>
      <c r="G9" s="34"/>
      <c r="H9" s="33"/>
      <c r="I9" s="33"/>
      <c r="J9" s="40">
        <f>C31*'E Balans VL '!D19/100/3.6*1000000+C31*'E Balans VL '!E19/100/3.6*1000000</f>
        <v>0</v>
      </c>
      <c r="K9" s="33"/>
      <c r="L9" s="33"/>
      <c r="M9" s="33"/>
      <c r="N9" s="33">
        <f>C31*'E Balans VL '!Y19/100/3.6*1000000</f>
        <v>545.61747630047398</v>
      </c>
      <c r="O9" s="33"/>
      <c r="P9" s="33"/>
      <c r="R9" s="32"/>
    </row>
    <row r="10" spans="1:18">
      <c r="A10" s="6" t="s">
        <v>41</v>
      </c>
      <c r="B10" s="37">
        <f t="shared" si="0"/>
        <v>705.09869019503401</v>
      </c>
      <c r="C10" s="33"/>
      <c r="D10" s="37">
        <f>IF( ISERROR(IND_voed_gas_kWh/1000),0,IND_voed_gas_kWh/1000)*0.902</f>
        <v>530.21722899484189</v>
      </c>
      <c r="E10" s="33">
        <f>C32*'E Balans VL '!I20/100/3.6*1000000</f>
        <v>57.509469094395136</v>
      </c>
      <c r="F10" s="33">
        <f>C32*'E Balans VL '!L20/100/3.6*1000000+C32*'E Balans VL '!N20/100/3.6*1000000</f>
        <v>1051.3661192392933</v>
      </c>
      <c r="G10" s="34"/>
      <c r="H10" s="33"/>
      <c r="I10" s="33"/>
      <c r="J10" s="40">
        <f>C32*'E Balans VL '!D20/100/3.6*1000000+C32*'E Balans VL '!E20/100/3.6*1000000</f>
        <v>9.3275997962865582E-3</v>
      </c>
      <c r="K10" s="33"/>
      <c r="L10" s="33"/>
      <c r="M10" s="33"/>
      <c r="N10" s="33">
        <f>C32*'E Balans VL '!Y20/100/3.6*1000000</f>
        <v>207.13311492930814</v>
      </c>
      <c r="O10" s="33"/>
      <c r="P10" s="33"/>
      <c r="R10" s="32"/>
    </row>
    <row r="11" spans="1:18">
      <c r="A11" s="6" t="s">
        <v>40</v>
      </c>
      <c r="B11" s="37">
        <f t="shared" si="0"/>
        <v>20.209343372450398</v>
      </c>
      <c r="C11" s="33"/>
      <c r="D11" s="37">
        <f>IF( ISERROR(IND_textiel_gas_kWh/1000),0,IND_textiel_gas_kWh/1000)*0.902</f>
        <v>0</v>
      </c>
      <c r="E11" s="33">
        <f>C33*'E Balans VL '!I21/100/3.6*1000000</f>
        <v>4.0059053337192429E-3</v>
      </c>
      <c r="F11" s="33">
        <f>C33*'E Balans VL '!L21/100/3.6*1000000+C33*'E Balans VL '!N21/100/3.6*1000000</f>
        <v>0.74433449905796412</v>
      </c>
      <c r="G11" s="34"/>
      <c r="H11" s="33"/>
      <c r="I11" s="33"/>
      <c r="J11" s="40">
        <f>C33*'E Balans VL '!D21/100/3.6*1000000+C33*'E Balans VL '!E21/100/3.6*1000000</f>
        <v>0</v>
      </c>
      <c r="K11" s="33"/>
      <c r="L11" s="33"/>
      <c r="M11" s="33"/>
      <c r="N11" s="33">
        <f>C33*'E Balans VL '!Y21/100/3.6*1000000</f>
        <v>9.3968344997933578E-2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119.99845317221799</v>
      </c>
      <c r="C13" s="33"/>
      <c r="D13" s="37">
        <f>IF( ISERROR(IND_papier_gas_kWh/1000),0,IND_papier_gas_kWh/1000)*0.902</f>
        <v>141.47117917650453</v>
      </c>
      <c r="E13" s="33">
        <f>C35*'E Balans VL '!I23/100/3.6*1000000</f>
        <v>1.2572024074813821</v>
      </c>
      <c r="F13" s="33">
        <f>C35*'E Balans VL '!L23/100/3.6*1000000+C35*'E Balans VL '!N23/100/3.6*1000000</f>
        <v>8.9543058449606985</v>
      </c>
      <c r="G13" s="34"/>
      <c r="H13" s="33"/>
      <c r="I13" s="33"/>
      <c r="J13" s="40">
        <f>C35*'E Balans VL '!D23/100/3.6*1000000+C35*'E Balans VL '!E23/100/3.6*1000000</f>
        <v>0</v>
      </c>
      <c r="K13" s="33"/>
      <c r="L13" s="33"/>
      <c r="M13" s="33"/>
      <c r="N13" s="33">
        <f>C35*'E Balans VL '!Y23/100/3.6*1000000</f>
        <v>256.48416859763461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14726.7957130174</v>
      </c>
      <c r="C15" s="33"/>
      <c r="D15" s="37">
        <f>IF( ISERROR(IND_rest_gas_kWh/1000),0,IND_rest_gas_kWh/1000)*0.902</f>
        <v>9098.4080326849707</v>
      </c>
      <c r="E15" s="33">
        <f>C37*'E Balans VL '!I15/100/3.6*1000000</f>
        <v>821.58091054758188</v>
      </c>
      <c r="F15" s="33">
        <f>C37*'E Balans VL '!L15/100/3.6*1000000+C37*'E Balans VL '!N15/100/3.6*1000000</f>
        <v>3461.9695842337837</v>
      </c>
      <c r="G15" s="34"/>
      <c r="H15" s="33"/>
      <c r="I15" s="33"/>
      <c r="J15" s="40">
        <f>C37*'E Balans VL '!D15/100/3.6*1000000+C37*'E Balans VL '!E15/100/3.6*1000000</f>
        <v>37.745703525102954</v>
      </c>
      <c r="K15" s="33"/>
      <c r="L15" s="33"/>
      <c r="M15" s="33"/>
      <c r="N15" s="33">
        <f>C37*'E Balans VL '!Y15/100/3.6*1000000</f>
        <v>2890.1797117049746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35481.707131667914</v>
      </c>
      <c r="C18" s="21">
        <f>C5+C16</f>
        <v>0</v>
      </c>
      <c r="D18" s="21">
        <f>MAX((D5+D16),0)</f>
        <v>152356.8574948592</v>
      </c>
      <c r="E18" s="21">
        <f>MAX((E5+E16),0)</f>
        <v>1370.4635649564982</v>
      </c>
      <c r="F18" s="21">
        <f>MAX((F5+F16),0)</f>
        <v>5973.3992867934248</v>
      </c>
      <c r="G18" s="21"/>
      <c r="H18" s="21"/>
      <c r="I18" s="21"/>
      <c r="J18" s="21">
        <f>MAX((J5+J16),0)</f>
        <v>37.75503112489924</v>
      </c>
      <c r="K18" s="21"/>
      <c r="L18" s="21">
        <f>MAX((L5+L16),0)</f>
        <v>0</v>
      </c>
      <c r="M18" s="21"/>
      <c r="N18" s="21">
        <f>MAX((N5+N16),0)</f>
        <v>3935.2027742826754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0.18111629389135209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6426.3152966260495</v>
      </c>
      <c r="C22" s="23">
        <f ca="1">C18*C20</f>
        <v>0</v>
      </c>
      <c r="D22" s="23">
        <f>D18*D20</f>
        <v>30776.08521396156</v>
      </c>
      <c r="E22" s="23">
        <f>E18*E20</f>
        <v>311.0952292451251</v>
      </c>
      <c r="F22" s="23">
        <f>F18*F20</f>
        <v>1594.8976095738444</v>
      </c>
      <c r="G22" s="23"/>
      <c r="H22" s="23"/>
      <c r="I22" s="23"/>
      <c r="J22" s="23">
        <f>J18*J20</f>
        <v>13.365281018214331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1314.6096098298501</v>
      </c>
      <c r="C30" s="39">
        <f>IF(ISERROR(B30*3.6/1000000/'E Balans VL '!Z18*100),0,B30*3.6/1000000/'E Balans VL '!Z18*100)</f>
        <v>0.12935422976640448</v>
      </c>
      <c r="D30" s="239" t="s">
        <v>692</v>
      </c>
    </row>
    <row r="31" spans="1:18">
      <c r="A31" s="6" t="s">
        <v>33</v>
      </c>
      <c r="B31" s="37">
        <f>IF( ISERROR(IND_ander_ele_kWh/1000),0,IND_ander_ele_kWh/1000)</f>
        <v>1671.1952135669601</v>
      </c>
      <c r="C31" s="39">
        <f>IF(ISERROR(B31*3.6/1000000/'E Balans VL '!Z19*100),0,B31*3.6/1000000/'E Balans VL '!Z19*100)</f>
        <v>7.2779218451551136E-2</v>
      </c>
      <c r="D31" s="239" t="s">
        <v>692</v>
      </c>
    </row>
    <row r="32" spans="1:18">
      <c r="A32" s="173" t="s">
        <v>41</v>
      </c>
      <c r="B32" s="37">
        <f>IF( ISERROR(IND_voed_ele_kWh/1000),0,IND_voed_ele_kWh/1000)</f>
        <v>705.09869019503401</v>
      </c>
      <c r="C32" s="39">
        <f>IF(ISERROR(B32*3.6/1000000/'E Balans VL '!Z20*100),0,B32*3.6/1000000/'E Balans VL '!Z20*100)</f>
        <v>0.13378230783518041</v>
      </c>
      <c r="D32" s="239" t="s">
        <v>692</v>
      </c>
    </row>
    <row r="33" spans="1:5">
      <c r="A33" s="173" t="s">
        <v>40</v>
      </c>
      <c r="B33" s="37">
        <f>IF( ISERROR(IND_textiel_ele_kWh/1000),0,IND_textiel_ele_kWh/1000)</f>
        <v>20.209343372450398</v>
      </c>
      <c r="C33" s="39">
        <f>IF(ISERROR(B33*3.6/1000000/'E Balans VL '!Z21*100),0,B33*3.6/1000000/'E Balans VL '!Z21*100)</f>
        <v>1.153851019825912E-3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119.99845317221799</v>
      </c>
      <c r="C35" s="39">
        <f>IF(ISERROR(B35*3.6/1000000/'E Balans VL '!Z22*100),0,B35*3.6/1000000/'E Balans VL '!Z22*100)</f>
        <v>1.687298750292161E-2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14726.7957130174</v>
      </c>
      <c r="C37" s="39">
        <f>IF(ISERROR(B37*3.6/1000000/'E Balans VL '!Z15*100),0,B37*3.6/1000000/'E Balans VL '!Z15*100)</f>
        <v>0.11348804920243596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2441.1413572853003</v>
      </c>
      <c r="C5" s="17">
        <f>'Eigen informatie GS &amp; warmtenet'!B60</f>
        <v>0</v>
      </c>
      <c r="D5" s="30">
        <f>IF(ISERROR(SUM(LB_lb_gas_kWh,LB_rest_gas_kWh,onbekend_gas_kWh)/1000),0,SUM(LB_lb_gas_kWh,LB_rest_gas_kWh,onbekend_gas_kWh)/1000)*0.902</f>
        <v>3669.999559234901</v>
      </c>
      <c r="E5" s="17">
        <f>B17*'E Balans VL '!I25/3.6*1000000/100</f>
        <v>30.761525931271503</v>
      </c>
      <c r="F5" s="17">
        <f>B17*('E Balans VL '!L25/3.6*1000000+'E Balans VL '!N25/3.6*1000000)/100</f>
        <v>8422.5492250854459</v>
      </c>
      <c r="G5" s="18"/>
      <c r="H5" s="17"/>
      <c r="I5" s="17"/>
      <c r="J5" s="17">
        <f>('E Balans VL '!D25+'E Balans VL '!E25)/3.6*1000000*landbouw!B17/100</f>
        <v>367.11991022014519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2441.1413572853003</v>
      </c>
      <c r="C8" s="21">
        <f>C5+C6</f>
        <v>0</v>
      </c>
      <c r="D8" s="21">
        <f>MAX((D5+D6),0)</f>
        <v>3669.999559234901</v>
      </c>
      <c r="E8" s="21">
        <f>MAX((E5+E6),0)</f>
        <v>30.761525931271503</v>
      </c>
      <c r="F8" s="21">
        <f>MAX((F5+F6),0)</f>
        <v>8422.5492250854459</v>
      </c>
      <c r="G8" s="21"/>
      <c r="H8" s="21"/>
      <c r="I8" s="21"/>
      <c r="J8" s="21">
        <f>MAX((J5+J6),0)</f>
        <v>367.11991022014519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0.18111629389135209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442.13047549641857</v>
      </c>
      <c r="C12" s="23">
        <f ca="1">C8*C10</f>
        <v>0</v>
      </c>
      <c r="D12" s="23">
        <f>D8*D10</f>
        <v>741.33991096545003</v>
      </c>
      <c r="E12" s="23">
        <f>E8*E10</f>
        <v>6.9828663863986318</v>
      </c>
      <c r="F12" s="23">
        <f>F8*F10</f>
        <v>2248.8206430978144</v>
      </c>
      <c r="G12" s="23"/>
      <c r="H12" s="23"/>
      <c r="I12" s="23"/>
      <c r="J12" s="23">
        <f>J8*J10</f>
        <v>129.9604482179314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0.34046227903181803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333.87732443562089</v>
      </c>
      <c r="C26" s="249">
        <f>B26*'GWP N2O_CH4'!B5</f>
        <v>7011.4238131480388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168.89976833650778</v>
      </c>
      <c r="C27" s="249">
        <f>B27*'GWP N2O_CH4'!B5</f>
        <v>3546.8951350666634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5.2543394061718072</v>
      </c>
      <c r="C28" s="249">
        <f>B28*'GWP N2O_CH4'!B4</f>
        <v>1628.8452159132603</v>
      </c>
      <c r="D28" s="50"/>
    </row>
    <row r="29" spans="1:4">
      <c r="A29" s="41" t="s">
        <v>277</v>
      </c>
      <c r="B29" s="249">
        <f>B34*'ha_N2O bodem landbouw'!B4</f>
        <v>25.476481513836895</v>
      </c>
      <c r="C29" s="249">
        <f>B29*'GWP N2O_CH4'!B4</f>
        <v>7897.7092692894375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6.361222865896736E-3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1.544122229827464E-5</v>
      </c>
      <c r="C5" s="448" t="s">
        <v>211</v>
      </c>
      <c r="D5" s="433">
        <f>SUM(D6:D11)</f>
        <v>3.0837836727743512E-5</v>
      </c>
      <c r="E5" s="433">
        <f>SUM(E6:E11)</f>
        <v>9.1782577220136442E-4</v>
      </c>
      <c r="F5" s="446" t="s">
        <v>211</v>
      </c>
      <c r="G5" s="433">
        <f>SUM(G6:G11)</f>
        <v>0.22238197021383188</v>
      </c>
      <c r="H5" s="433">
        <f>SUM(H6:H11)</f>
        <v>4.5579607646815117E-2</v>
      </c>
      <c r="I5" s="448" t="s">
        <v>211</v>
      </c>
      <c r="J5" s="448" t="s">
        <v>211</v>
      </c>
      <c r="K5" s="448" t="s">
        <v>211</v>
      </c>
      <c r="L5" s="448" t="s">
        <v>211</v>
      </c>
      <c r="M5" s="433">
        <f>SUM(M6:M11)</f>
        <v>1.211650483645435E-2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7.336596361871541E-6</v>
      </c>
      <c r="C6" s="949"/>
      <c r="D6" s="949">
        <f>vkm_2011_GW_PW*SUMIFS(TableVerdeelsleutelVkm[CNG],TableVerdeelsleutelVkm[Voertuigtype],"Lichte voertuigen")*SUMIFS(TableECFTransport[EnergieConsumptieFactor (PJ per km)],TableECFTransport[Index],CONCATENATE($A6,"_CNG_CNG"))</f>
        <v>1.03900553444345E-5</v>
      </c>
      <c r="E6" s="949">
        <f>vkm_2011_GW_PW*SUMIFS(TableVerdeelsleutelVkm[LPG],TableVerdeelsleutelVkm[Voertuigtype],"Lichte voertuigen")*SUMIFS(TableECFTransport[EnergieConsumptieFactor (PJ per km)],TableECFTransport[Index],CONCATENATE($A6,"_LPG_LPG"))</f>
        <v>3.2631743340347572E-4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5.8648178019369508E-2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1.5715251218866879E-2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3.3644391503178535E-3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3.6161284034751356E-2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1.284772934210409E-5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1.6318443059179406E-3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8.1046259364030991E-6</v>
      </c>
      <c r="C8" s="949"/>
      <c r="D8" s="436">
        <f>vkm_2011_NGW_PW*SUMIFS(TableVerdeelsleutelVkm[CNG],TableVerdeelsleutelVkm[Voertuigtype],"Lichte voertuigen")*SUMIFS(TableECFTransport[EnergieConsumptieFactor (PJ per km)],TableECFTransport[Index],CONCATENATE($A8,"_CNG_CNG"))</f>
        <v>2.0447781383309011E-5</v>
      </c>
      <c r="E8" s="436">
        <f>vkm_2011_NGW_PW*SUMIFS(TableVerdeelsleutelVkm[LPG],TableVerdeelsleutelVkm[Voertuigtype],"Lichte voertuigen")*SUMIFS(TableECFTransport[EnergieConsumptieFactor (PJ per km)],TableECFTransport[Index],CONCATENATE($A8,"_LPG_LPG"))</f>
        <v>5.9150833879788864E-4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0.10026639928059046</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2.9842328183385381E-2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5.8880069367657391E-3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2.730610887912055E-2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9.1805152207539222E-6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1.2322144434528165E-3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4.2892284161874006</v>
      </c>
      <c r="C14" s="21"/>
      <c r="D14" s="21">
        <f t="shared" ref="D14:M14" si="0">((D5)*10^9/3600)+D12</f>
        <v>8.5660657577065304</v>
      </c>
      <c r="E14" s="21">
        <f t="shared" si="0"/>
        <v>254.95160338926789</v>
      </c>
      <c r="F14" s="21"/>
      <c r="G14" s="21">
        <f t="shared" si="0"/>
        <v>61772.769503842188</v>
      </c>
      <c r="H14" s="21">
        <f t="shared" si="0"/>
        <v>12661.00212411531</v>
      </c>
      <c r="I14" s="21"/>
      <c r="J14" s="21"/>
      <c r="K14" s="21"/>
      <c r="L14" s="21"/>
      <c r="M14" s="21">
        <f t="shared" si="0"/>
        <v>3365.6957879039865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0.18111629389135209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0.77684915439333591</v>
      </c>
      <c r="C18" s="23"/>
      <c r="D18" s="23">
        <f t="shared" ref="D18:M18" si="1">D14*D16</f>
        <v>1.7303452830567192</v>
      </c>
      <c r="E18" s="23">
        <f t="shared" si="1"/>
        <v>57.874013969363816</v>
      </c>
      <c r="F18" s="23"/>
      <c r="G18" s="23">
        <f t="shared" si="1"/>
        <v>16493.329457525866</v>
      </c>
      <c r="H18" s="23">
        <f t="shared" si="1"/>
        <v>3152.5895289047121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4.1034835707036534E-3</v>
      </c>
      <c r="H50" s="323">
        <f t="shared" si="2"/>
        <v>0</v>
      </c>
      <c r="I50" s="323">
        <f t="shared" si="2"/>
        <v>0</v>
      </c>
      <c r="J50" s="323">
        <f t="shared" si="2"/>
        <v>0</v>
      </c>
      <c r="K50" s="323">
        <f t="shared" si="2"/>
        <v>0</v>
      </c>
      <c r="L50" s="323">
        <f t="shared" si="2"/>
        <v>0</v>
      </c>
      <c r="M50" s="323">
        <f t="shared" si="2"/>
        <v>1.8249195116686552E-4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4.1034835707036534E-3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1.8249195116686552E-4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1139.8565474176817</v>
      </c>
      <c r="H54" s="21">
        <f t="shared" si="3"/>
        <v>0</v>
      </c>
      <c r="I54" s="21">
        <f t="shared" si="3"/>
        <v>0</v>
      </c>
      <c r="J54" s="21">
        <f t="shared" si="3"/>
        <v>0</v>
      </c>
      <c r="K54" s="21">
        <f t="shared" si="3"/>
        <v>0</v>
      </c>
      <c r="L54" s="21">
        <f t="shared" si="3"/>
        <v>0</v>
      </c>
      <c r="M54" s="21">
        <f t="shared" si="3"/>
        <v>50.69220865746265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0.18111629389135209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304.34169816052105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11316.950500269095</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7331.3461663413946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1125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3214.2857142857147</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19773.296666610491</v>
      </c>
      <c r="C9" s="580">
        <f t="shared" ref="C9:L9" si="0">SUM(C7:C8)</f>
        <v>0</v>
      </c>
      <c r="D9" s="580">
        <f t="shared" si="0"/>
        <v>0</v>
      </c>
      <c r="E9" s="580">
        <f t="shared" si="0"/>
        <v>0</v>
      </c>
      <c r="F9" s="580">
        <f t="shared" si="0"/>
        <v>0</v>
      </c>
      <c r="G9" s="580">
        <f t="shared" si="0"/>
        <v>0</v>
      </c>
      <c r="H9" s="580">
        <f t="shared" si="0"/>
        <v>0</v>
      </c>
      <c r="I9" s="580">
        <f t="shared" si="0"/>
        <v>0</v>
      </c>
      <c r="J9" s="580">
        <f t="shared" si="0"/>
        <v>3214.2857142857147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34042</v>
      </c>
      <c r="C63" s="839">
        <v>8552</v>
      </c>
      <c r="D63" s="660" t="s">
        <v>878</v>
      </c>
      <c r="E63" s="660" t="s">
        <v>879</v>
      </c>
      <c r="F63" s="660" t="s">
        <v>880</v>
      </c>
      <c r="G63" s="660" t="s">
        <v>881</v>
      </c>
      <c r="H63" s="660" t="s">
        <v>882</v>
      </c>
      <c r="I63" s="660" t="s">
        <v>883</v>
      </c>
      <c r="J63" s="838">
        <v>41474</v>
      </c>
      <c r="K63" s="838">
        <v>41474</v>
      </c>
      <c r="L63" s="660" t="s">
        <v>884</v>
      </c>
      <c r="M63" s="660">
        <v>600</v>
      </c>
      <c r="N63" s="660">
        <v>1125</v>
      </c>
      <c r="O63" s="660">
        <v>0</v>
      </c>
      <c r="P63" s="660">
        <v>0</v>
      </c>
      <c r="Q63" s="660">
        <v>3214.2857142857147</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600</v>
      </c>
      <c r="N88" s="615">
        <f t="shared" ref="N88:W88" si="5">SUM(N63:N87)</f>
        <v>1125</v>
      </c>
      <c r="O88" s="615">
        <f t="shared" si="5"/>
        <v>0</v>
      </c>
      <c r="P88" s="615">
        <f t="shared" si="5"/>
        <v>0</v>
      </c>
      <c r="Q88" s="615">
        <f t="shared" si="5"/>
        <v>3214.2857142857147</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600</v>
      </c>
      <c r="N90" s="615">
        <f t="shared" ref="N90:W90" si="7">SUMIF($Z$63:$Z$88,"tertiair",N63:N88)</f>
        <v>1125</v>
      </c>
      <c r="O90" s="615">
        <f t="shared" si="7"/>
        <v>0</v>
      </c>
      <c r="P90" s="615">
        <f t="shared" si="7"/>
        <v>0</v>
      </c>
      <c r="Q90" s="615">
        <f t="shared" si="7"/>
        <v>3214.2857142857147</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26240.937053015376</v>
      </c>
      <c r="D10" s="704">
        <f ca="1">tertiair!C16</f>
        <v>0</v>
      </c>
      <c r="E10" s="704">
        <f ca="1">tertiair!D16</f>
        <v>22985.392400864697</v>
      </c>
      <c r="F10" s="704">
        <f>tertiair!E16</f>
        <v>273.01813014641709</v>
      </c>
      <c r="G10" s="704">
        <f ca="1">tertiair!F16</f>
        <v>4740.3881137658436</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7.8166666666666664</v>
      </c>
      <c r="Q10" s="705">
        <f>tertiair!P16</f>
        <v>19.066666666666666</v>
      </c>
      <c r="R10" s="707">
        <f ca="1">SUM(C10:Q10)</f>
        <v>54266.619031125665</v>
      </c>
      <c r="S10" s="67"/>
    </row>
    <row r="11" spans="1:19" s="459" customFormat="1">
      <c r="A11" s="858" t="s">
        <v>225</v>
      </c>
      <c r="B11" s="863"/>
      <c r="C11" s="704">
        <f>huishoudens!B8</f>
        <v>45397.935755738297</v>
      </c>
      <c r="D11" s="704">
        <f>huishoudens!C8</f>
        <v>0</v>
      </c>
      <c r="E11" s="704">
        <f>huishoudens!D8</f>
        <v>78497.430243083771</v>
      </c>
      <c r="F11" s="704">
        <f>huishoudens!E8</f>
        <v>4002.6781583259908</v>
      </c>
      <c r="G11" s="704">
        <f>huishoudens!F8</f>
        <v>56404.912993879028</v>
      </c>
      <c r="H11" s="704">
        <f>huishoudens!G8</f>
        <v>0</v>
      </c>
      <c r="I11" s="704">
        <f>huishoudens!H8</f>
        <v>0</v>
      </c>
      <c r="J11" s="704">
        <f>huishoudens!I8</f>
        <v>0</v>
      </c>
      <c r="K11" s="704">
        <f>huishoudens!J8</f>
        <v>2742.0392246017454</v>
      </c>
      <c r="L11" s="704">
        <f>huishoudens!K8</f>
        <v>0</v>
      </c>
      <c r="M11" s="704">
        <f>huishoudens!L8</f>
        <v>0</v>
      </c>
      <c r="N11" s="704">
        <f>huishoudens!M8</f>
        <v>0</v>
      </c>
      <c r="O11" s="704">
        <f>huishoudens!N8</f>
        <v>21503.084640767858</v>
      </c>
      <c r="P11" s="704">
        <f>huishoudens!O8</f>
        <v>322.04666666666668</v>
      </c>
      <c r="Q11" s="705">
        <f>huishoudens!P8</f>
        <v>953.33333333333326</v>
      </c>
      <c r="R11" s="707">
        <f>SUM(C11:Q11)</f>
        <v>209823.4610163967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35481.707131667914</v>
      </c>
      <c r="D13" s="704">
        <f>industrie!C18</f>
        <v>0</v>
      </c>
      <c r="E13" s="704">
        <f>industrie!D18</f>
        <v>152356.8574948592</v>
      </c>
      <c r="F13" s="704">
        <f>industrie!E18</f>
        <v>1370.4635649564982</v>
      </c>
      <c r="G13" s="704">
        <f>industrie!F18</f>
        <v>5973.3992867934248</v>
      </c>
      <c r="H13" s="704">
        <f>industrie!G18</f>
        <v>0</v>
      </c>
      <c r="I13" s="704">
        <f>industrie!H18</f>
        <v>0</v>
      </c>
      <c r="J13" s="704">
        <f>industrie!I18</f>
        <v>0</v>
      </c>
      <c r="K13" s="704">
        <f>industrie!J18</f>
        <v>37.75503112489924</v>
      </c>
      <c r="L13" s="704">
        <f>industrie!K18</f>
        <v>0</v>
      </c>
      <c r="M13" s="704">
        <f>industrie!L18</f>
        <v>0</v>
      </c>
      <c r="N13" s="704">
        <f>industrie!M18</f>
        <v>0</v>
      </c>
      <c r="O13" s="704">
        <f>industrie!N18</f>
        <v>3935.2027742826754</v>
      </c>
      <c r="P13" s="704">
        <f>industrie!O18</f>
        <v>0</v>
      </c>
      <c r="Q13" s="705">
        <f>industrie!P18</f>
        <v>0</v>
      </c>
      <c r="R13" s="707">
        <f>SUM(C13:Q13)</f>
        <v>199155.38528368459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107120.57994042159</v>
      </c>
      <c r="D15" s="709">
        <f t="shared" ref="D15:Q15" ca="1" si="0">SUM(D9:D14)</f>
        <v>0</v>
      </c>
      <c r="E15" s="709">
        <f t="shared" ca="1" si="0"/>
        <v>253839.68013880769</v>
      </c>
      <c r="F15" s="709">
        <f t="shared" si="0"/>
        <v>5646.159853428906</v>
      </c>
      <c r="G15" s="709">
        <f t="shared" ca="1" si="0"/>
        <v>67118.700394438303</v>
      </c>
      <c r="H15" s="709">
        <f t="shared" si="0"/>
        <v>0</v>
      </c>
      <c r="I15" s="709">
        <f t="shared" si="0"/>
        <v>0</v>
      </c>
      <c r="J15" s="709">
        <f t="shared" si="0"/>
        <v>0</v>
      </c>
      <c r="K15" s="709">
        <f t="shared" si="0"/>
        <v>2779.7942557266447</v>
      </c>
      <c r="L15" s="709">
        <f t="shared" si="0"/>
        <v>0</v>
      </c>
      <c r="M15" s="709">
        <f t="shared" ca="1" si="0"/>
        <v>0</v>
      </c>
      <c r="N15" s="709">
        <f t="shared" si="0"/>
        <v>0</v>
      </c>
      <c r="O15" s="709">
        <f t="shared" ca="1" si="0"/>
        <v>25438.287415050534</v>
      </c>
      <c r="P15" s="709">
        <f t="shared" si="0"/>
        <v>329.86333333333334</v>
      </c>
      <c r="Q15" s="710">
        <f t="shared" si="0"/>
        <v>972.4</v>
      </c>
      <c r="R15" s="711">
        <f ca="1">SUM(R9:R14)</f>
        <v>463245.46533120697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1139.8565474176817</v>
      </c>
      <c r="I18" s="704">
        <f>transport!H54</f>
        <v>0</v>
      </c>
      <c r="J18" s="704">
        <f>transport!I54</f>
        <v>0</v>
      </c>
      <c r="K18" s="704">
        <f>transport!J54</f>
        <v>0</v>
      </c>
      <c r="L18" s="704">
        <f>transport!K54</f>
        <v>0</v>
      </c>
      <c r="M18" s="704">
        <f>transport!L54</f>
        <v>0</v>
      </c>
      <c r="N18" s="704">
        <f>transport!M54</f>
        <v>50.69220865746265</v>
      </c>
      <c r="O18" s="704">
        <f>transport!N54</f>
        <v>0</v>
      </c>
      <c r="P18" s="704">
        <f>transport!O54</f>
        <v>0</v>
      </c>
      <c r="Q18" s="705">
        <f>transport!P54</f>
        <v>0</v>
      </c>
      <c r="R18" s="707">
        <f>SUM(C18:Q18)</f>
        <v>1190.5487560751444</v>
      </c>
      <c r="S18" s="67"/>
    </row>
    <row r="19" spans="1:19" s="459" customFormat="1" ht="15" thickBot="1">
      <c r="A19" s="858" t="s">
        <v>307</v>
      </c>
      <c r="B19" s="863"/>
      <c r="C19" s="713">
        <f>transport!B14</f>
        <v>4.2892284161874006</v>
      </c>
      <c r="D19" s="713">
        <f>transport!C14</f>
        <v>0</v>
      </c>
      <c r="E19" s="713">
        <f>transport!D14</f>
        <v>8.5660657577065304</v>
      </c>
      <c r="F19" s="713">
        <f>transport!E14</f>
        <v>254.95160338926789</v>
      </c>
      <c r="G19" s="713">
        <f>transport!F14</f>
        <v>0</v>
      </c>
      <c r="H19" s="713">
        <f>transport!G14</f>
        <v>61772.769503842188</v>
      </c>
      <c r="I19" s="713">
        <f>transport!H14</f>
        <v>12661.00212411531</v>
      </c>
      <c r="J19" s="713">
        <f>transport!I14</f>
        <v>0</v>
      </c>
      <c r="K19" s="713">
        <f>transport!J14</f>
        <v>0</v>
      </c>
      <c r="L19" s="713">
        <f>transport!K14</f>
        <v>0</v>
      </c>
      <c r="M19" s="713">
        <f>transport!L14</f>
        <v>0</v>
      </c>
      <c r="N19" s="713">
        <f>transport!M14</f>
        <v>3365.6957879039865</v>
      </c>
      <c r="O19" s="713">
        <f>transport!N14</f>
        <v>0</v>
      </c>
      <c r="P19" s="713">
        <f>transport!O14</f>
        <v>0</v>
      </c>
      <c r="Q19" s="714">
        <f>transport!P14</f>
        <v>0</v>
      </c>
      <c r="R19" s="715">
        <f>SUM(C19:Q19)</f>
        <v>78067.274313424641</v>
      </c>
      <c r="S19" s="67"/>
    </row>
    <row r="20" spans="1:19" s="459" customFormat="1" ht="15.75" thickBot="1">
      <c r="A20" s="716" t="s">
        <v>230</v>
      </c>
      <c r="B20" s="866"/>
      <c r="C20" s="861">
        <f>SUM(C17:C19)</f>
        <v>4.2892284161874006</v>
      </c>
      <c r="D20" s="717">
        <f t="shared" ref="D20:R20" si="1">SUM(D17:D19)</f>
        <v>0</v>
      </c>
      <c r="E20" s="717">
        <f t="shared" si="1"/>
        <v>8.5660657577065304</v>
      </c>
      <c r="F20" s="717">
        <f t="shared" si="1"/>
        <v>254.95160338926789</v>
      </c>
      <c r="G20" s="717">
        <f t="shared" si="1"/>
        <v>0</v>
      </c>
      <c r="H20" s="717">
        <f t="shared" si="1"/>
        <v>62912.626051259867</v>
      </c>
      <c r="I20" s="717">
        <f t="shared" si="1"/>
        <v>12661.00212411531</v>
      </c>
      <c r="J20" s="717">
        <f t="shared" si="1"/>
        <v>0</v>
      </c>
      <c r="K20" s="717">
        <f t="shared" si="1"/>
        <v>0</v>
      </c>
      <c r="L20" s="717">
        <f t="shared" si="1"/>
        <v>0</v>
      </c>
      <c r="M20" s="717">
        <f t="shared" si="1"/>
        <v>0</v>
      </c>
      <c r="N20" s="717">
        <f t="shared" si="1"/>
        <v>3416.3879965614492</v>
      </c>
      <c r="O20" s="717">
        <f t="shared" si="1"/>
        <v>0</v>
      </c>
      <c r="P20" s="717">
        <f t="shared" si="1"/>
        <v>0</v>
      </c>
      <c r="Q20" s="718">
        <f t="shared" si="1"/>
        <v>0</v>
      </c>
      <c r="R20" s="719">
        <f t="shared" si="1"/>
        <v>79257.823069499791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2441.1413572853003</v>
      </c>
      <c r="D22" s="713">
        <f>+landbouw!C8</f>
        <v>0</v>
      </c>
      <c r="E22" s="713">
        <f>+landbouw!D8</f>
        <v>3669.999559234901</v>
      </c>
      <c r="F22" s="713">
        <f>+landbouw!E8</f>
        <v>30.761525931271503</v>
      </c>
      <c r="G22" s="713">
        <f>+landbouw!F8</f>
        <v>8422.5492250854459</v>
      </c>
      <c r="H22" s="713">
        <f>+landbouw!G8</f>
        <v>0</v>
      </c>
      <c r="I22" s="713">
        <f>+landbouw!H8</f>
        <v>0</v>
      </c>
      <c r="J22" s="713">
        <f>+landbouw!I8</f>
        <v>0</v>
      </c>
      <c r="K22" s="713">
        <f>+landbouw!J8</f>
        <v>367.11991022014519</v>
      </c>
      <c r="L22" s="713">
        <f>+landbouw!K8</f>
        <v>0</v>
      </c>
      <c r="M22" s="713">
        <f>+landbouw!L8</f>
        <v>0</v>
      </c>
      <c r="N22" s="713">
        <f>+landbouw!M8</f>
        <v>0</v>
      </c>
      <c r="O22" s="713">
        <f>+landbouw!N8</f>
        <v>0</v>
      </c>
      <c r="P22" s="713">
        <f>+landbouw!O8</f>
        <v>0</v>
      </c>
      <c r="Q22" s="714">
        <f>+landbouw!P8</f>
        <v>0</v>
      </c>
      <c r="R22" s="715">
        <f>SUM(C22:Q22)</f>
        <v>14931.571577757064</v>
      </c>
      <c r="S22" s="67"/>
    </row>
    <row r="23" spans="1:19" s="459" customFormat="1" ht="17.25" thickTop="1" thickBot="1">
      <c r="A23" s="720" t="s">
        <v>116</v>
      </c>
      <c r="B23" s="852"/>
      <c r="C23" s="721">
        <f ca="1">C20+C15+C22</f>
        <v>109566.01052612309</v>
      </c>
      <c r="D23" s="721">
        <f t="shared" ref="D23:Q23" ca="1" si="2">D20+D15+D22</f>
        <v>0</v>
      </c>
      <c r="E23" s="721">
        <f t="shared" ca="1" si="2"/>
        <v>257518.24576380031</v>
      </c>
      <c r="F23" s="721">
        <f t="shared" si="2"/>
        <v>5931.8729827494453</v>
      </c>
      <c r="G23" s="721">
        <f t="shared" ca="1" si="2"/>
        <v>75541.249619523747</v>
      </c>
      <c r="H23" s="721">
        <f t="shared" si="2"/>
        <v>62912.626051259867</v>
      </c>
      <c r="I23" s="721">
        <f t="shared" si="2"/>
        <v>12661.00212411531</v>
      </c>
      <c r="J23" s="721">
        <f t="shared" si="2"/>
        <v>0</v>
      </c>
      <c r="K23" s="721">
        <f t="shared" si="2"/>
        <v>3146.91416594679</v>
      </c>
      <c r="L23" s="721">
        <f t="shared" si="2"/>
        <v>0</v>
      </c>
      <c r="M23" s="721">
        <f t="shared" ca="1" si="2"/>
        <v>0</v>
      </c>
      <c r="N23" s="721">
        <f t="shared" si="2"/>
        <v>3416.3879965614492</v>
      </c>
      <c r="O23" s="721">
        <f t="shared" ca="1" si="2"/>
        <v>25438.287415050534</v>
      </c>
      <c r="P23" s="721">
        <f t="shared" si="2"/>
        <v>329.86333333333334</v>
      </c>
      <c r="Q23" s="722">
        <f t="shared" si="2"/>
        <v>972.4</v>
      </c>
      <c r="R23" s="723">
        <f ca="1">R20+R15+R22</f>
        <v>557434.85997846373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4752.6612672784031</v>
      </c>
      <c r="D36" s="704">
        <f ca="1">tertiair!C20</f>
        <v>0</v>
      </c>
      <c r="E36" s="704">
        <f ca="1">tertiair!D20</f>
        <v>4643.0492649746693</v>
      </c>
      <c r="F36" s="704">
        <f>tertiair!E20</f>
        <v>61.975115543236683</v>
      </c>
      <c r="G36" s="704">
        <f ca="1">tertiair!F20</f>
        <v>1265.6836263754803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10723.36927417179</v>
      </c>
    </row>
    <row r="37" spans="1:18">
      <c r="A37" s="873" t="s">
        <v>225</v>
      </c>
      <c r="B37" s="880"/>
      <c r="C37" s="704">
        <f ca="1">huishoudens!B12</f>
        <v>8222.3058743970178</v>
      </c>
      <c r="D37" s="704">
        <f ca="1">huishoudens!C12</f>
        <v>0</v>
      </c>
      <c r="E37" s="704">
        <f>huishoudens!D12</f>
        <v>15856.480909102922</v>
      </c>
      <c r="F37" s="704">
        <f>huishoudens!E12</f>
        <v>908.60794193999993</v>
      </c>
      <c r="G37" s="704">
        <f>huishoudens!F12</f>
        <v>15060.111769365702</v>
      </c>
      <c r="H37" s="704">
        <f>huishoudens!G12</f>
        <v>0</v>
      </c>
      <c r="I37" s="704">
        <f>huishoudens!H12</f>
        <v>0</v>
      </c>
      <c r="J37" s="704">
        <f>huishoudens!I12</f>
        <v>0</v>
      </c>
      <c r="K37" s="704">
        <f>huishoudens!J12</f>
        <v>970.68188550901789</v>
      </c>
      <c r="L37" s="704">
        <f>huishoudens!K12</f>
        <v>0</v>
      </c>
      <c r="M37" s="704">
        <f>huishoudens!L12</f>
        <v>0</v>
      </c>
      <c r="N37" s="704">
        <f>huishoudens!M12</f>
        <v>0</v>
      </c>
      <c r="O37" s="704">
        <f>huishoudens!N12</f>
        <v>0</v>
      </c>
      <c r="P37" s="704">
        <f>huishoudens!O12</f>
        <v>0</v>
      </c>
      <c r="Q37" s="814">
        <f>huishoudens!P12</f>
        <v>0</v>
      </c>
      <c r="R37" s="905">
        <f ca="1">SUM(C37:Q37)</f>
        <v>41018.188380314663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6426.3152966260495</v>
      </c>
      <c r="D39" s="704">
        <f ca="1">industrie!C22</f>
        <v>0</v>
      </c>
      <c r="E39" s="704">
        <f>industrie!D22</f>
        <v>30776.08521396156</v>
      </c>
      <c r="F39" s="704">
        <f>industrie!E22</f>
        <v>311.0952292451251</v>
      </c>
      <c r="G39" s="704">
        <f>industrie!F22</f>
        <v>1594.8976095738444</v>
      </c>
      <c r="H39" s="704">
        <f>industrie!G22</f>
        <v>0</v>
      </c>
      <c r="I39" s="704">
        <f>industrie!H22</f>
        <v>0</v>
      </c>
      <c r="J39" s="704">
        <f>industrie!I22</f>
        <v>0</v>
      </c>
      <c r="K39" s="704">
        <f>industrie!J22</f>
        <v>13.365281018214331</v>
      </c>
      <c r="L39" s="704">
        <f>industrie!K22</f>
        <v>0</v>
      </c>
      <c r="M39" s="704">
        <f>industrie!L22</f>
        <v>0</v>
      </c>
      <c r="N39" s="704">
        <f>industrie!M22</f>
        <v>0</v>
      </c>
      <c r="O39" s="704">
        <f>industrie!N22</f>
        <v>0</v>
      </c>
      <c r="P39" s="704">
        <f>industrie!O22</f>
        <v>0</v>
      </c>
      <c r="Q39" s="814">
        <f>industrie!P22</f>
        <v>0</v>
      </c>
      <c r="R39" s="906">
        <f ca="1">SUM(C39:Q39)</f>
        <v>39121.758630424803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19401.28243830147</v>
      </c>
      <c r="D41" s="749">
        <f t="shared" ref="D41:R41" ca="1" si="4">SUM(D35:D40)</f>
        <v>0</v>
      </c>
      <c r="E41" s="749">
        <f t="shared" ca="1" si="4"/>
        <v>51275.61538803915</v>
      </c>
      <c r="F41" s="749">
        <f t="shared" si="4"/>
        <v>1281.6782867283619</v>
      </c>
      <c r="G41" s="749">
        <f t="shared" ca="1" si="4"/>
        <v>17920.693005315024</v>
      </c>
      <c r="H41" s="749">
        <f t="shared" si="4"/>
        <v>0</v>
      </c>
      <c r="I41" s="749">
        <f t="shared" si="4"/>
        <v>0</v>
      </c>
      <c r="J41" s="749">
        <f t="shared" si="4"/>
        <v>0</v>
      </c>
      <c r="K41" s="749">
        <f t="shared" si="4"/>
        <v>984.04716652723221</v>
      </c>
      <c r="L41" s="749">
        <f t="shared" si="4"/>
        <v>0</v>
      </c>
      <c r="M41" s="749">
        <f t="shared" ca="1" si="4"/>
        <v>0</v>
      </c>
      <c r="N41" s="749">
        <f t="shared" si="4"/>
        <v>0</v>
      </c>
      <c r="O41" s="749">
        <f t="shared" ca="1" si="4"/>
        <v>0</v>
      </c>
      <c r="P41" s="749">
        <f t="shared" si="4"/>
        <v>0</v>
      </c>
      <c r="Q41" s="750">
        <f t="shared" si="4"/>
        <v>0</v>
      </c>
      <c r="R41" s="751">
        <f t="shared" ca="1" si="4"/>
        <v>90863.316284911256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304.34169816052105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304.34169816052105</v>
      </c>
    </row>
    <row r="45" spans="1:18" ht="15" thickBot="1">
      <c r="A45" s="876" t="s">
        <v>307</v>
      </c>
      <c r="B45" s="886"/>
      <c r="C45" s="713">
        <f ca="1">transport!B18</f>
        <v>0.77684915439333591</v>
      </c>
      <c r="D45" s="713">
        <f>transport!C18</f>
        <v>0</v>
      </c>
      <c r="E45" s="713">
        <f>transport!D18</f>
        <v>1.7303452830567192</v>
      </c>
      <c r="F45" s="713">
        <f>transport!E18</f>
        <v>57.874013969363816</v>
      </c>
      <c r="G45" s="713">
        <f>transport!F18</f>
        <v>0</v>
      </c>
      <c r="H45" s="713">
        <f>transport!G18</f>
        <v>16493.329457525866</v>
      </c>
      <c r="I45" s="713">
        <f>transport!H18</f>
        <v>3152.5895289047121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19706.300194837389</v>
      </c>
    </row>
    <row r="46" spans="1:18" ht="15.75" thickBot="1">
      <c r="A46" s="874" t="s">
        <v>230</v>
      </c>
      <c r="B46" s="887"/>
      <c r="C46" s="749">
        <f t="shared" ref="C46:R46" ca="1" si="5">SUM(C43:C45)</f>
        <v>0.77684915439333591</v>
      </c>
      <c r="D46" s="749">
        <f t="shared" ca="1" si="5"/>
        <v>0</v>
      </c>
      <c r="E46" s="749">
        <f t="shared" si="5"/>
        <v>1.7303452830567192</v>
      </c>
      <c r="F46" s="749">
        <f t="shared" si="5"/>
        <v>57.874013969363816</v>
      </c>
      <c r="G46" s="749">
        <f t="shared" si="5"/>
        <v>0</v>
      </c>
      <c r="H46" s="749">
        <f t="shared" si="5"/>
        <v>16797.671155686388</v>
      </c>
      <c r="I46" s="749">
        <f t="shared" si="5"/>
        <v>3152.5895289047121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20010.641892997912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442.13047549641857</v>
      </c>
      <c r="D48" s="704">
        <f ca="1">+landbouw!C12</f>
        <v>0</v>
      </c>
      <c r="E48" s="704">
        <f>+landbouw!D12</f>
        <v>741.33991096545003</v>
      </c>
      <c r="F48" s="704">
        <f>+landbouw!E12</f>
        <v>6.9828663863986318</v>
      </c>
      <c r="G48" s="704">
        <f>+landbouw!F12</f>
        <v>2248.8206430978144</v>
      </c>
      <c r="H48" s="704">
        <f>+landbouw!G12</f>
        <v>0</v>
      </c>
      <c r="I48" s="704">
        <f>+landbouw!H12</f>
        <v>0</v>
      </c>
      <c r="J48" s="704">
        <f>+landbouw!I12</f>
        <v>0</v>
      </c>
      <c r="K48" s="704">
        <f>+landbouw!J12</f>
        <v>129.9604482179314</v>
      </c>
      <c r="L48" s="704">
        <f>+landbouw!K12</f>
        <v>0</v>
      </c>
      <c r="M48" s="704">
        <f>+landbouw!L12</f>
        <v>0</v>
      </c>
      <c r="N48" s="704">
        <f>+landbouw!M12</f>
        <v>0</v>
      </c>
      <c r="O48" s="704">
        <f>+landbouw!N12</f>
        <v>0</v>
      </c>
      <c r="P48" s="704">
        <f>+landbouw!O12</f>
        <v>0</v>
      </c>
      <c r="Q48" s="705">
        <f>+landbouw!P12</f>
        <v>0</v>
      </c>
      <c r="R48" s="747">
        <f ca="1">SUM(C48:Q48)</f>
        <v>3569.2343441640132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19844.189762952283</v>
      </c>
      <c r="D53" s="759">
        <f t="shared" ref="D53:Q53" ca="1" si="6">D41+D46+D48</f>
        <v>0</v>
      </c>
      <c r="E53" s="759">
        <f t="shared" ca="1" si="6"/>
        <v>52018.68564428766</v>
      </c>
      <c r="F53" s="759">
        <f t="shared" si="6"/>
        <v>1346.5351670841244</v>
      </c>
      <c r="G53" s="759">
        <f t="shared" ca="1" si="6"/>
        <v>20169.513648412838</v>
      </c>
      <c r="H53" s="759">
        <f t="shared" si="6"/>
        <v>16797.671155686388</v>
      </c>
      <c r="I53" s="759">
        <f t="shared" si="6"/>
        <v>3152.5895289047121</v>
      </c>
      <c r="J53" s="759">
        <f t="shared" si="6"/>
        <v>0</v>
      </c>
      <c r="K53" s="759">
        <f t="shared" si="6"/>
        <v>1114.0076147451637</v>
      </c>
      <c r="L53" s="759">
        <f t="shared" si="6"/>
        <v>0</v>
      </c>
      <c r="M53" s="759">
        <f t="shared" ca="1" si="6"/>
        <v>0</v>
      </c>
      <c r="N53" s="759">
        <f t="shared" si="6"/>
        <v>0</v>
      </c>
      <c r="O53" s="759">
        <f t="shared" ca="1" si="6"/>
        <v>0</v>
      </c>
      <c r="P53" s="759">
        <f>P41+P46+P48</f>
        <v>0</v>
      </c>
      <c r="Q53" s="760">
        <f t="shared" si="6"/>
        <v>0</v>
      </c>
      <c r="R53" s="761">
        <f ca="1">R41+R46+R48</f>
        <v>114443.19252207318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0.18111629389135206</v>
      </c>
      <c r="D55" s="824">
        <f t="shared" ca="1" si="7"/>
        <v>0</v>
      </c>
      <c r="E55" s="824">
        <f t="shared" ca="1" si="7"/>
        <v>0.20199999999999999</v>
      </c>
      <c r="F55" s="824">
        <f t="shared" si="7"/>
        <v>0.22700000000000006</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11316.950500269095</v>
      </c>
      <c r="C64" s="781">
        <f>'lokale energieproductie'!B4</f>
        <v>11316.950500269095</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7331.3461663413946</v>
      </c>
      <c r="C66" s="781">
        <f>'lokale energieproductie'!B6</f>
        <v>7331.3461663413946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1125</v>
      </c>
      <c r="C68" s="780">
        <f>B68*IFERROR(SUM(J68:L68)/SUM(D68:M68),0)</f>
        <v>1125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3214.2857142857147</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19773.296666610491</v>
      </c>
      <c r="C69" s="789">
        <f>SUM(C64:C68)</f>
        <v>19773.296666610491</v>
      </c>
      <c r="D69" s="790">
        <f t="shared" ref="D69:M69" si="8">SUM(D67:D68)</f>
        <v>0</v>
      </c>
      <c r="E69" s="790">
        <f t="shared" si="8"/>
        <v>0</v>
      </c>
      <c r="F69" s="790">
        <f t="shared" si="8"/>
        <v>0</v>
      </c>
      <c r="G69" s="790">
        <f t="shared" si="8"/>
        <v>0</v>
      </c>
      <c r="H69" s="790">
        <f t="shared" si="8"/>
        <v>0</v>
      </c>
      <c r="I69" s="790">
        <f t="shared" si="8"/>
        <v>0</v>
      </c>
      <c r="J69" s="790">
        <f t="shared" si="8"/>
        <v>0</v>
      </c>
      <c r="K69" s="790">
        <f t="shared" si="8"/>
        <v>3214.2857142857147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45397.935755738297</v>
      </c>
      <c r="C4" s="463">
        <f>huishoudens!C8</f>
        <v>0</v>
      </c>
      <c r="D4" s="463">
        <f>huishoudens!D8</f>
        <v>78497.430243083771</v>
      </c>
      <c r="E4" s="463">
        <f>huishoudens!E8</f>
        <v>4002.6781583259908</v>
      </c>
      <c r="F4" s="463">
        <f>huishoudens!F8</f>
        <v>56404.912993879028</v>
      </c>
      <c r="G4" s="463">
        <f>huishoudens!G8</f>
        <v>0</v>
      </c>
      <c r="H4" s="463">
        <f>huishoudens!H8</f>
        <v>0</v>
      </c>
      <c r="I4" s="463">
        <f>huishoudens!I8</f>
        <v>0</v>
      </c>
      <c r="J4" s="463">
        <f>huishoudens!J8</f>
        <v>2742.0392246017454</v>
      </c>
      <c r="K4" s="463">
        <f>huishoudens!K8</f>
        <v>0</v>
      </c>
      <c r="L4" s="463">
        <f>huishoudens!L8</f>
        <v>0</v>
      </c>
      <c r="M4" s="463">
        <f>huishoudens!M8</f>
        <v>0</v>
      </c>
      <c r="N4" s="463">
        <f>huishoudens!N8</f>
        <v>21503.084640767858</v>
      </c>
      <c r="O4" s="463">
        <f>huishoudens!O8</f>
        <v>322.04666666666668</v>
      </c>
      <c r="P4" s="464">
        <f>huishoudens!P8</f>
        <v>953.33333333333326</v>
      </c>
      <c r="Q4" s="465">
        <f>SUM(B4:P4)</f>
        <v>209823.4610163967</v>
      </c>
    </row>
    <row r="5" spans="1:17">
      <c r="A5" s="462" t="s">
        <v>156</v>
      </c>
      <c r="B5" s="463">
        <f ca="1">tertiair!B16</f>
        <v>24261.062053015376</v>
      </c>
      <c r="C5" s="463">
        <f ca="1">tertiair!C16</f>
        <v>0</v>
      </c>
      <c r="D5" s="463">
        <f ca="1">tertiair!D16</f>
        <v>22985.392400864697</v>
      </c>
      <c r="E5" s="463">
        <f>tertiair!E16</f>
        <v>273.01813014641709</v>
      </c>
      <c r="F5" s="463">
        <f ca="1">tertiair!F16</f>
        <v>4740.3881137658436</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7.8166666666666664</v>
      </c>
      <c r="P5" s="464">
        <f>tertiair!P16</f>
        <v>19.066666666666666</v>
      </c>
      <c r="Q5" s="462">
        <f t="shared" ref="Q5:Q13" ca="1" si="0">SUM(B5:P5)</f>
        <v>52286.744031125665</v>
      </c>
    </row>
    <row r="6" spans="1:17">
      <c r="A6" s="462" t="s">
        <v>194</v>
      </c>
      <c r="B6" s="463">
        <f>'openbare verlichting'!B8</f>
        <v>1979.875</v>
      </c>
      <c r="C6" s="463"/>
      <c r="D6" s="463"/>
      <c r="E6" s="463"/>
      <c r="F6" s="463"/>
      <c r="G6" s="463"/>
      <c r="H6" s="463"/>
      <c r="I6" s="463"/>
      <c r="J6" s="463"/>
      <c r="K6" s="463"/>
      <c r="L6" s="463"/>
      <c r="M6" s="463"/>
      <c r="N6" s="463"/>
      <c r="O6" s="463"/>
      <c r="P6" s="464"/>
      <c r="Q6" s="462">
        <f t="shared" si="0"/>
        <v>1979.875</v>
      </c>
    </row>
    <row r="7" spans="1:17">
      <c r="A7" s="462" t="s">
        <v>112</v>
      </c>
      <c r="B7" s="463">
        <f>landbouw!B8</f>
        <v>2441.1413572853003</v>
      </c>
      <c r="C7" s="463">
        <f>landbouw!C8</f>
        <v>0</v>
      </c>
      <c r="D7" s="463">
        <f>landbouw!D8</f>
        <v>3669.999559234901</v>
      </c>
      <c r="E7" s="463">
        <f>landbouw!E8</f>
        <v>30.761525931271503</v>
      </c>
      <c r="F7" s="463">
        <f>landbouw!F8</f>
        <v>8422.5492250854459</v>
      </c>
      <c r="G7" s="463">
        <f>landbouw!G8</f>
        <v>0</v>
      </c>
      <c r="H7" s="463">
        <f>landbouw!H8</f>
        <v>0</v>
      </c>
      <c r="I7" s="463">
        <f>landbouw!I8</f>
        <v>0</v>
      </c>
      <c r="J7" s="463">
        <f>landbouw!J8</f>
        <v>367.11991022014519</v>
      </c>
      <c r="K7" s="463">
        <f>landbouw!K8</f>
        <v>0</v>
      </c>
      <c r="L7" s="463">
        <f>landbouw!L8</f>
        <v>0</v>
      </c>
      <c r="M7" s="463">
        <f>landbouw!M8</f>
        <v>0</v>
      </c>
      <c r="N7" s="463">
        <f>landbouw!N8</f>
        <v>0</v>
      </c>
      <c r="O7" s="463">
        <f>landbouw!O8</f>
        <v>0</v>
      </c>
      <c r="P7" s="464">
        <f>landbouw!P8</f>
        <v>0</v>
      </c>
      <c r="Q7" s="462">
        <f t="shared" si="0"/>
        <v>14931.571577757064</v>
      </c>
    </row>
    <row r="8" spans="1:17">
      <c r="A8" s="462" t="s">
        <v>657</v>
      </c>
      <c r="B8" s="463">
        <f>industrie!B18</f>
        <v>35481.707131667914</v>
      </c>
      <c r="C8" s="463">
        <f>industrie!C18</f>
        <v>0</v>
      </c>
      <c r="D8" s="463">
        <f>industrie!D18</f>
        <v>152356.8574948592</v>
      </c>
      <c r="E8" s="463">
        <f>industrie!E18</f>
        <v>1370.4635649564982</v>
      </c>
      <c r="F8" s="463">
        <f>industrie!F18</f>
        <v>5973.3992867934248</v>
      </c>
      <c r="G8" s="463">
        <f>industrie!G18</f>
        <v>0</v>
      </c>
      <c r="H8" s="463">
        <f>industrie!H18</f>
        <v>0</v>
      </c>
      <c r="I8" s="463">
        <f>industrie!I18</f>
        <v>0</v>
      </c>
      <c r="J8" s="463">
        <f>industrie!J18</f>
        <v>37.75503112489924</v>
      </c>
      <c r="K8" s="463">
        <f>industrie!K18</f>
        <v>0</v>
      </c>
      <c r="L8" s="463">
        <f>industrie!L18</f>
        <v>0</v>
      </c>
      <c r="M8" s="463">
        <f>industrie!M18</f>
        <v>0</v>
      </c>
      <c r="N8" s="463">
        <f>industrie!N18</f>
        <v>3935.2027742826754</v>
      </c>
      <c r="O8" s="463">
        <f>industrie!O18</f>
        <v>0</v>
      </c>
      <c r="P8" s="464">
        <f>industrie!P18</f>
        <v>0</v>
      </c>
      <c r="Q8" s="462">
        <f t="shared" si="0"/>
        <v>199155.38528368459</v>
      </c>
    </row>
    <row r="9" spans="1:17" s="468" customFormat="1">
      <c r="A9" s="466" t="s">
        <v>574</v>
      </c>
      <c r="B9" s="467">
        <f>transport!B14</f>
        <v>4.2892284161874006</v>
      </c>
      <c r="C9" s="467"/>
      <c r="D9" s="467">
        <f>transport!D14</f>
        <v>8.5660657577065304</v>
      </c>
      <c r="E9" s="467">
        <f>transport!E14</f>
        <v>254.95160338926789</v>
      </c>
      <c r="F9" s="467"/>
      <c r="G9" s="467">
        <f>transport!G14</f>
        <v>61772.769503842188</v>
      </c>
      <c r="H9" s="467">
        <f>transport!H14</f>
        <v>12661.00212411531</v>
      </c>
      <c r="I9" s="467"/>
      <c r="J9" s="467"/>
      <c r="K9" s="467"/>
      <c r="L9" s="467"/>
      <c r="M9" s="467">
        <f>transport!M14</f>
        <v>3365.6957879039865</v>
      </c>
      <c r="N9" s="467"/>
      <c r="O9" s="467"/>
      <c r="P9" s="467"/>
      <c r="Q9" s="466">
        <f>SUM(B9:P9)</f>
        <v>78067.274313424641</v>
      </c>
    </row>
    <row r="10" spans="1:17">
      <c r="A10" s="462" t="s">
        <v>564</v>
      </c>
      <c r="B10" s="463">
        <f>transport!B54</f>
        <v>0</v>
      </c>
      <c r="C10" s="463"/>
      <c r="D10" s="463">
        <f>transport!D54</f>
        <v>0</v>
      </c>
      <c r="E10" s="463"/>
      <c r="F10" s="463"/>
      <c r="G10" s="463">
        <f>transport!G54</f>
        <v>1139.8565474176817</v>
      </c>
      <c r="H10" s="463"/>
      <c r="I10" s="463"/>
      <c r="J10" s="463"/>
      <c r="K10" s="463"/>
      <c r="L10" s="463"/>
      <c r="M10" s="463">
        <f>transport!M54</f>
        <v>50.69220865746265</v>
      </c>
      <c r="N10" s="463"/>
      <c r="O10" s="463"/>
      <c r="P10" s="464"/>
      <c r="Q10" s="462">
        <f t="shared" si="0"/>
        <v>1190.5487560751444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109566.01052612308</v>
      </c>
      <c r="C14" s="473">
        <f t="shared" ref="C14:Q14" ca="1" si="1">SUM(C4:C13)</f>
        <v>0</v>
      </c>
      <c r="D14" s="473">
        <f t="shared" ca="1" si="1"/>
        <v>257518.24576380028</v>
      </c>
      <c r="E14" s="473">
        <f t="shared" si="1"/>
        <v>5931.8729827494453</v>
      </c>
      <c r="F14" s="473">
        <f t="shared" ca="1" si="1"/>
        <v>75541.249619523747</v>
      </c>
      <c r="G14" s="473">
        <f t="shared" si="1"/>
        <v>62912.626051259867</v>
      </c>
      <c r="H14" s="473">
        <f t="shared" si="1"/>
        <v>12661.00212411531</v>
      </c>
      <c r="I14" s="473">
        <f t="shared" si="1"/>
        <v>0</v>
      </c>
      <c r="J14" s="473">
        <f t="shared" si="1"/>
        <v>3146.91416594679</v>
      </c>
      <c r="K14" s="473">
        <f t="shared" si="1"/>
        <v>0</v>
      </c>
      <c r="L14" s="473">
        <f t="shared" ca="1" si="1"/>
        <v>0</v>
      </c>
      <c r="M14" s="473">
        <f t="shared" si="1"/>
        <v>3416.3879965614492</v>
      </c>
      <c r="N14" s="473">
        <f t="shared" ca="1" si="1"/>
        <v>25438.287415050534</v>
      </c>
      <c r="O14" s="473">
        <f t="shared" si="1"/>
        <v>329.86333333333334</v>
      </c>
      <c r="P14" s="474">
        <f t="shared" si="1"/>
        <v>972.4</v>
      </c>
      <c r="Q14" s="474">
        <f t="shared" ca="1" si="1"/>
        <v>557434.85997846373</v>
      </c>
    </row>
    <row r="16" spans="1:17">
      <c r="A16" s="476" t="s">
        <v>569</v>
      </c>
      <c r="B16" s="829">
        <f ca="1">huishoudens!B10</f>
        <v>0.18111629389135209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8222.3058743970178</v>
      </c>
      <c r="C21" s="463">
        <f t="shared" ref="C21:C28" ca="1" si="3">C4*$C$16</f>
        <v>0</v>
      </c>
      <c r="D21" s="463">
        <f t="shared" ref="D21:D30" si="4">D4*$D$16</f>
        <v>15856.480909102922</v>
      </c>
      <c r="E21" s="463">
        <f t="shared" ref="E21:E30" si="5">E4*$E$16</f>
        <v>908.60794193999993</v>
      </c>
      <c r="F21" s="463">
        <f t="shared" ref="F21:F28" si="6">F4*$F$16</f>
        <v>15060.111769365702</v>
      </c>
      <c r="G21" s="463">
        <f t="shared" ref="G21:G30" si="7">G4*$G$16</f>
        <v>0</v>
      </c>
      <c r="H21" s="463">
        <f t="shared" ref="H21:H30" si="8">H4*$H$16</f>
        <v>0</v>
      </c>
      <c r="I21" s="463">
        <f t="shared" ref="I21:I28" si="9">I4*$I$16</f>
        <v>0</v>
      </c>
      <c r="J21" s="463">
        <f t="shared" ref="J21:J28" si="10">J4*$J$16</f>
        <v>970.68188550901789</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41018.188380314663</v>
      </c>
    </row>
    <row r="22" spans="1:17">
      <c r="A22" s="462" t="s">
        <v>156</v>
      </c>
      <c r="B22" s="463">
        <f t="shared" ca="1" si="2"/>
        <v>4394.0736449102624</v>
      </c>
      <c r="C22" s="463">
        <f t="shared" ca="1" si="3"/>
        <v>0</v>
      </c>
      <c r="D22" s="463">
        <f t="shared" ca="1" si="4"/>
        <v>4643.0492649746693</v>
      </c>
      <c r="E22" s="463">
        <f t="shared" si="5"/>
        <v>61.975115543236683</v>
      </c>
      <c r="F22" s="463">
        <f t="shared" ca="1" si="6"/>
        <v>1265.6836263754803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10364.781651803649</v>
      </c>
    </row>
    <row r="23" spans="1:17">
      <c r="A23" s="462" t="s">
        <v>194</v>
      </c>
      <c r="B23" s="463">
        <f t="shared" ca="1" si="2"/>
        <v>358.58762236814073</v>
      </c>
      <c r="C23" s="463"/>
      <c r="D23" s="463"/>
      <c r="E23" s="463"/>
      <c r="F23" s="463"/>
      <c r="G23" s="463"/>
      <c r="H23" s="463"/>
      <c r="I23" s="463"/>
      <c r="J23" s="463"/>
      <c r="K23" s="463"/>
      <c r="L23" s="463"/>
      <c r="M23" s="463"/>
      <c r="N23" s="463"/>
      <c r="O23" s="463"/>
      <c r="P23" s="464"/>
      <c r="Q23" s="462">
        <f t="shared" ca="1" si="17"/>
        <v>358.58762236814073</v>
      </c>
    </row>
    <row r="24" spans="1:17">
      <c r="A24" s="462" t="s">
        <v>112</v>
      </c>
      <c r="B24" s="463">
        <f t="shared" ca="1" si="2"/>
        <v>442.13047549641857</v>
      </c>
      <c r="C24" s="463">
        <f t="shared" ca="1" si="3"/>
        <v>0</v>
      </c>
      <c r="D24" s="463">
        <f t="shared" si="4"/>
        <v>741.33991096545003</v>
      </c>
      <c r="E24" s="463">
        <f t="shared" si="5"/>
        <v>6.9828663863986318</v>
      </c>
      <c r="F24" s="463">
        <f t="shared" si="6"/>
        <v>2248.8206430978144</v>
      </c>
      <c r="G24" s="463">
        <f t="shared" si="7"/>
        <v>0</v>
      </c>
      <c r="H24" s="463">
        <f t="shared" si="8"/>
        <v>0</v>
      </c>
      <c r="I24" s="463">
        <f t="shared" si="9"/>
        <v>0</v>
      </c>
      <c r="J24" s="463">
        <f t="shared" si="10"/>
        <v>129.9604482179314</v>
      </c>
      <c r="K24" s="463">
        <f t="shared" si="11"/>
        <v>0</v>
      </c>
      <c r="L24" s="463">
        <f t="shared" si="12"/>
        <v>0</v>
      </c>
      <c r="M24" s="463">
        <f t="shared" si="13"/>
        <v>0</v>
      </c>
      <c r="N24" s="463">
        <f t="shared" si="14"/>
        <v>0</v>
      </c>
      <c r="O24" s="463">
        <f t="shared" si="15"/>
        <v>0</v>
      </c>
      <c r="P24" s="464">
        <f t="shared" si="16"/>
        <v>0</v>
      </c>
      <c r="Q24" s="462">
        <f t="shared" ca="1" si="17"/>
        <v>3569.2343441640132</v>
      </c>
    </row>
    <row r="25" spans="1:17">
      <c r="A25" s="462" t="s">
        <v>657</v>
      </c>
      <c r="B25" s="463">
        <f t="shared" ca="1" si="2"/>
        <v>6426.3152966260495</v>
      </c>
      <c r="C25" s="463">
        <f t="shared" ca="1" si="3"/>
        <v>0</v>
      </c>
      <c r="D25" s="463">
        <f t="shared" si="4"/>
        <v>30776.08521396156</v>
      </c>
      <c r="E25" s="463">
        <f t="shared" si="5"/>
        <v>311.0952292451251</v>
      </c>
      <c r="F25" s="463">
        <f t="shared" si="6"/>
        <v>1594.8976095738444</v>
      </c>
      <c r="G25" s="463">
        <f t="shared" si="7"/>
        <v>0</v>
      </c>
      <c r="H25" s="463">
        <f t="shared" si="8"/>
        <v>0</v>
      </c>
      <c r="I25" s="463">
        <f t="shared" si="9"/>
        <v>0</v>
      </c>
      <c r="J25" s="463">
        <f t="shared" si="10"/>
        <v>13.365281018214331</v>
      </c>
      <c r="K25" s="463">
        <f t="shared" si="11"/>
        <v>0</v>
      </c>
      <c r="L25" s="463">
        <f t="shared" si="12"/>
        <v>0</v>
      </c>
      <c r="M25" s="463">
        <f t="shared" si="13"/>
        <v>0</v>
      </c>
      <c r="N25" s="463">
        <f t="shared" si="14"/>
        <v>0</v>
      </c>
      <c r="O25" s="463">
        <f t="shared" si="15"/>
        <v>0</v>
      </c>
      <c r="P25" s="464">
        <f t="shared" si="16"/>
        <v>0</v>
      </c>
      <c r="Q25" s="462">
        <f t="shared" ca="1" si="17"/>
        <v>39121.758630424803</v>
      </c>
    </row>
    <row r="26" spans="1:17" s="468" customFormat="1">
      <c r="A26" s="466" t="s">
        <v>574</v>
      </c>
      <c r="B26" s="823">
        <f t="shared" ca="1" si="2"/>
        <v>0.77684915439333591</v>
      </c>
      <c r="C26" s="467"/>
      <c r="D26" s="467">
        <f t="shared" si="4"/>
        <v>1.7303452830567192</v>
      </c>
      <c r="E26" s="467">
        <f t="shared" si="5"/>
        <v>57.874013969363816</v>
      </c>
      <c r="F26" s="467"/>
      <c r="G26" s="467">
        <f t="shared" si="7"/>
        <v>16493.329457525866</v>
      </c>
      <c r="H26" s="467">
        <f t="shared" si="8"/>
        <v>3152.5895289047121</v>
      </c>
      <c r="I26" s="467"/>
      <c r="J26" s="467"/>
      <c r="K26" s="467"/>
      <c r="L26" s="467"/>
      <c r="M26" s="467">
        <f t="shared" si="13"/>
        <v>0</v>
      </c>
      <c r="N26" s="467"/>
      <c r="O26" s="467"/>
      <c r="P26" s="478"/>
      <c r="Q26" s="466">
        <f t="shared" ca="1" si="17"/>
        <v>19706.300194837389</v>
      </c>
    </row>
    <row r="27" spans="1:17">
      <c r="A27" s="462" t="s">
        <v>564</v>
      </c>
      <c r="B27" s="463">
        <f t="shared" ca="1" si="2"/>
        <v>0</v>
      </c>
      <c r="C27" s="463"/>
      <c r="D27" s="467">
        <f t="shared" si="4"/>
        <v>0</v>
      </c>
      <c r="E27" s="463"/>
      <c r="F27" s="463"/>
      <c r="G27" s="463">
        <f t="shared" si="7"/>
        <v>304.34169816052105</v>
      </c>
      <c r="H27" s="463"/>
      <c r="I27" s="463"/>
      <c r="J27" s="463"/>
      <c r="K27" s="463"/>
      <c r="L27" s="463"/>
      <c r="M27" s="463">
        <f t="shared" si="13"/>
        <v>0</v>
      </c>
      <c r="N27" s="463"/>
      <c r="O27" s="463"/>
      <c r="P27" s="464"/>
      <c r="Q27" s="462">
        <f t="shared" ca="1" si="17"/>
        <v>304.34169816052105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19844.189762952283</v>
      </c>
      <c r="C31" s="473">
        <f t="shared" ca="1" si="18"/>
        <v>0</v>
      </c>
      <c r="D31" s="473">
        <f t="shared" ca="1" si="18"/>
        <v>52018.68564428766</v>
      </c>
      <c r="E31" s="473">
        <f t="shared" si="18"/>
        <v>1346.5351670841244</v>
      </c>
      <c r="F31" s="473">
        <f t="shared" ca="1" si="18"/>
        <v>20169.513648412838</v>
      </c>
      <c r="G31" s="473">
        <f t="shared" si="18"/>
        <v>16797.671155686388</v>
      </c>
      <c r="H31" s="473">
        <f t="shared" si="18"/>
        <v>3152.5895289047121</v>
      </c>
      <c r="I31" s="473">
        <f t="shared" si="18"/>
        <v>0</v>
      </c>
      <c r="J31" s="473">
        <f t="shared" si="18"/>
        <v>1114.0076147451637</v>
      </c>
      <c r="K31" s="473">
        <f t="shared" si="18"/>
        <v>0</v>
      </c>
      <c r="L31" s="473">
        <f t="shared" ca="1" si="18"/>
        <v>0</v>
      </c>
      <c r="M31" s="473">
        <f t="shared" si="18"/>
        <v>0</v>
      </c>
      <c r="N31" s="473">
        <f t="shared" ca="1" si="18"/>
        <v>0</v>
      </c>
      <c r="O31" s="473">
        <f t="shared" si="18"/>
        <v>0</v>
      </c>
      <c r="P31" s="474">
        <f t="shared" si="18"/>
        <v>0</v>
      </c>
      <c r="Q31" s="474">
        <f t="shared" ca="1" si="18"/>
        <v>114443.19252207318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0.18111629389135209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0.18111629389135209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0.18111629389135209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2019-01-02T18:04:06Z</dcterms:modified>
</cp:coreProperties>
</file>