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19" s="1"/>
  <c r="C19" s="1"/>
  <c r="D35" i="14"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Q5" i="48"/>
  <c r="F22" i="16"/>
  <c r="G39" i="14" s="1"/>
  <c r="G41" s="1"/>
  <c r="F8" i="48"/>
  <c r="Q4"/>
  <c r="N22"/>
  <c r="R11" i="14"/>
  <c r="J21" i="48"/>
  <c r="R10" i="14"/>
  <c r="C17" i="49" l="1"/>
  <c r="C56" i="22"/>
  <c r="C58" s="1"/>
  <c r="D44" i="14" s="1"/>
  <c r="D46" s="1"/>
  <c r="C10" i="17"/>
  <c r="C12" s="1"/>
  <c r="D48" i="14" s="1"/>
  <c r="C16" i="22"/>
  <c r="O13" i="14"/>
  <c r="O15" s="1"/>
  <c r="C10" i="13"/>
  <c r="C16" i="48" s="1"/>
  <c r="F13" i="14"/>
  <c r="F15" s="1"/>
  <c r="F23" s="1"/>
  <c r="N55"/>
  <c r="C18" i="15"/>
  <c r="C20" s="1"/>
  <c r="D36" i="14" s="1"/>
  <c r="N22" i="16"/>
  <c r="O39" i="14" s="1"/>
  <c r="O41" s="1"/>
  <c r="O53" s="1"/>
  <c r="C20" i="16"/>
  <c r="C22" s="1"/>
  <c r="D39" i="14"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<sst xmlns="http://schemas.openxmlformats.org/spreadsheetml/2006/main" count="2160" uniqueCount="884">
  <si>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</si>
  <si>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</si>
  <si>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</si>
  <si>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</si>
  <si>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</si>
  <si>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</si>
  <si>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</si>
  <si>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</si>
  <si>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</si>
  <si>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</si>
  <si>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</si>
  <si>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</si>
  <si>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</si>
  <si>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</si>
  <si>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</si>
  <si>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</si>
  <si>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</si>
  <si>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</si>
  <si>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</si>
  <si>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</si>
  <si>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</si>
  <si>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</si>
  <si>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</si>
  <si>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</si>
  <si>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</si>
  <si>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</si>
  <si>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</si>
  <si>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</si>
  <si>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</si>
  <si>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</si>
  <si>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</si>
  <si>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</si>
  <si>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</si>
  <si>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</si>
  <si>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</si>
  <si>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</si>
  <si>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</si>
  <si>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</si>
  <si>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</si>
  <si>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</si>
  <si>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</si>
  <si>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</si>
  <si>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</si>
  <si>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</si>
  <si>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</si>
  <si>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</si>
  <si>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</si>
  <si>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</si>
  <si>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</si>
  <si>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</si>
  <si>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</si>
  <si>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</si>
  <si>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</si>
  <si>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</si>
  <si>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</si>
  <si>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</si>
  <si>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</si>
  <si>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</si>
  <si>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</si>
  <si>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</si>
  <si>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</si>
  <si>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</si>
  <si>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</si>
  <si>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</si>
  <si>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</si>
  <si>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</si>
  <si>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</si>
  <si>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</si>
  <si>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</si>
  <si>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</si>
  <si>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</si>
  <si>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</si>
  <si>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</si>
  <si>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</si>
  <si>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</si>
  <si>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</si>
  <si>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</si>
  <si>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</si>
  <si>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</si>
  <si>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</si>
  <si>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</si>
  <si>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</si>
  <si>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</si>
  <si>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</si>
  <si>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</si>
  <si>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</si>
  <si>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</si>
  <si>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</si>
  <si>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</si>
  <si>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</si>
  <si>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</si>
  <si>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</si>
  <si>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</si>
  <si>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</si>
  <si>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</si>
  <si>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</si>
  <si>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</si>
  <si>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</si>
  <si>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</si>
  <si>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</si>
  <si>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</si>
  <si>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</si>
  <si>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</si>
  <si>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</si>
  <si>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</si>
  <si>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</si>
  <si>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</si>
  <si>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</si>
  <si>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</si>
  <si>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</si>
  <si>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</si>
  <si>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</si>
  <si>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</si>
  <si>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</si>
  <si>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</si>
  <si>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</si>
  <si>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</si>
  <si>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</si>
  <si>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</si>
  <si>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</si>
  <si>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</si>
  <si>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</si>
  <si>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</si>
  <si>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</si>
  <si>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</si>
  <si>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</si>
  <si>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</si>
  <si>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</si>
  <si>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</si>
  <si>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</si>
  <si>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</si>
  <si>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</si>
  <si>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</si>
  <si>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</si>
  <si>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</si>
  <si>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</si>
  <si>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</si>
  <si>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</si>
  <si>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</si>
  <si>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</si>
  <si>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</si>
  <si>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</si>
  <si>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</si>
  <si>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</si>
  <si>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</si>
  <si>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</si>
  <si>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</si>
  <si>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</si>
  <si>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</si>
  <si>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</si>
  <si>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</si>
  <si>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</si>
  <si>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</si>
  <si>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</si>
  <si>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</si>
  <si>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</si>
  <si>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</si>
  <si>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</si>
  <si>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</si>
  <si>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</si>
  <si>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</si>
  <si>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</si>
  <si>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</si>
  <si>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</si>
  <si>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</si>
  <si>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</si>
  <si>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</si>
  <si>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</si>
  <si>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</si>
  <si>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</si>
  <si>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</si>
  <si>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</si>
  <si>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</si>
  <si>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</si>
  <si>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</si>
  <si>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</si>
  <si>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</si>
  <si>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</si>
  <si>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</si>
  <si>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</si>
  <si>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</si>
  <si>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</si>
  <si>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</si>
  <si>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</si>
  <si>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</si>
  <si>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</si>
  <si>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</si>
  <si>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</si>
  <si>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</si>
  <si>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</si>
  <si>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</si>
  <si>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</si>
  <si>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</si>
  <si>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</si>
  <si>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</si>
  <si>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</si>
  <si>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</si>
  <si>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</si>
  <si>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</si>
  <si>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</si>
  <si>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</si>
  <si>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</si>
  <si>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</si>
  <si>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</si>
  <si>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</si>
  <si>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</si>
  <si>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</si>
  <si>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</si>
  <si>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</si>
  <si>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</si>
  <si>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</si>
  <si>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</si>
  <si>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</si>
  <si>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</si>
  <si>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</si>
  <si>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</si>
  <si>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</si>
  <si>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</si>
  <si>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</si>
  <si>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</si>
  <si>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</si>
  <si>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</si>
  <si>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</si>
  <si>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</si>
  <si>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</si>
  <si>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</si>
  <si>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</si>
  <si>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</si>
  <si>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</si>
  <si>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</si>
  <si>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</si>
  <si>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</si>
  <si>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</si>
  <si>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</si>
  <si>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</si>
  <si>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</si>
  <si>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</si>
  <si>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</si>
  <si>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</si>
  <si>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</si>
  <si>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</si>
  <si>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</si>
  <si>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</si>
  <si>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</si>
  <si>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</si>
  <si>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</si>
  <si>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</si>
  <si>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</si>
  <si>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</si>
  <si>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</si>
  <si>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</si>
  <si>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</si>
  <si>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</si>
  <si>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</si>
  <si>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</si>
  <si>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</si>
  <si>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</si>
  <si>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</si>
  <si>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</si>
  <si>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</si>
  <si>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</si>
  <si>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</si>
  <si>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</si>
  <si>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</si>
  <si>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</si>
  <si>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</si>
  <si>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</si>
  <si>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</si>
  <si>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</si>
  <si>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</si>
  <si>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</si>
  <si>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</si>
  <si>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</si>
  <si>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</si>
  <si>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</si>
  <si>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</si>
  <si>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</si>
  <si>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</si>
  <si>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</si>
  <si>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</si>
  <si>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</si>
  <si>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</si>
  <si>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</si>
  <si>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</si>
  <si>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</si>
  <si>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</si>
  <si>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</si>
  <si>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</si>
  <si>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</si>
  <si>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</si>
  <si>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</si>
  <si>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</si>
  <si>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</si>
  <si>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</si>
  <si>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</si>
  <si>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</si>
  <si>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</si>
  <si>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</si>
  <si>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</si>
  <si>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</si>
  <si>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</si>
  <si>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</si>
  <si>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</si>
  <si>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</si>
  <si>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</si>
  <si>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</si>
  <si>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</si>
  <si>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</si>
  <si>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</si>
  <si>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</si>
  <si>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</si>
  <si>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</si>
  <si>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</si>
  <si>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</si>
  <si>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</si>
  <si>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</si>
  <si>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</si>
  <si>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</si>
  <si>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</si>
  <si>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</si>
  <si>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</si>
  <si>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</si>
  <si>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</si>
  <si>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</si>
  <si>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</si>
  <si>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</si>
  <si>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</si>
  <si>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</si>
  <si>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</si>
  <si>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</si>
  <si>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</si>
  <si>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</si>
  <si>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</si>
  <si>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</si>
  <si>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</si>
  <si>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</si>
  <si>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</si>
  <si>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</si>
  <si>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</si>
  <si>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</si>
  <si>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</si>
  <si>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</si>
  <si>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</si>
  <si>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</si>
  <si>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</si>
  <si>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</si>
  <si>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</si>
  <si>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</si>
  <si>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</si>
  <si>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</si>
  <si>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</si>
  <si>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</si>
  <si>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</si>
  <si>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</si>
  <si>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</si>
  <si>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</si>
  <si>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</si>
  <si>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</si>
  <si>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</si>
  <si>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</si>
  <si>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</si>
  <si>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</si>
  <si>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</si>
  <si>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</si>
  <si>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</si>
  <si>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</si>
  <si>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</si>
  <si>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</si>
  <si>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</si>
  <si>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</si>
  <si>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</si>
  <si>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</si>
  <si>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</si>
  <si>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</si>
  <si>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</si>
  <si>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</si>
  <si>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</si>
  <si>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</si>
  <si>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</si>
  <si>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</si>
  <si>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</si>
  <si>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</si>
  <si>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</si>
  <si>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</si>
  <si>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</si>
  <si>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</si>
  <si>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</si>
  <si>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</si>
  <si>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</si>
  <si>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</si>
  <si>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</si>
  <si>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</si>
  <si>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</si>
  <si>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</si>
  <si>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</si>
  <si>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</si>
  <si>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</si>
  <si>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</si>
  <si>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</si>
  <si>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</si>
  <si>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</si>
  <si>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</si>
  <si>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</si>
  <si>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</si>
  <si>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</si>
  <si>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</si>
  <si>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</si>
  <si>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</si>
  <si>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</si>
  <si>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</si>
  <si>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</si>
  <si>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</si>
  <si>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</si>
  <si>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</si>
  <si>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</si>
  <si>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</si>
  <si>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</si>
  <si>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</si>
  <si>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</si>
  <si>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</si>
  <si>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</si>
  <si>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</si>
  <si>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</si>
  <si>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</si>
  <si>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</si>
  <si>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</si>
  <si>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</si>
  <si>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</si>
  <si>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</si>
  <si>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</si>
  <si>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</si>
  <si>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</si>
  <si>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</si>
  <si>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</si>
  <si>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</si>
  <si>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</si>
  <si>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</si>
  <si>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</si>
  <si>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</si>
  <si>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</si>
  <si>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</si>
  <si>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</si>
  <si>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</si>
  <si>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</si>
  <si>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</si>
  <si>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</si>
  <si>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</si>
  <si>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</si>
  <si>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</si>
  <si>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</si>
  <si>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</si>
  <si>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</si>
  <si>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</si>
  <si>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</si>
  <si>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</si>
  <si>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</si>
  <si>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</si>
  <si>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</si>
  <si>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</si>
  <si>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</si>
  <si>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</si>
  <si>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</si>
  <si>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</si>
  <si>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</si>
  <si>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</si>
  <si>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</si>
  <si>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</si>
  <si>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</si>
  <si>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</si>
  <si>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</si>
  <si>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</si>
  <si>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</si>
  <si>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</si>
  <si>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</si>
  <si>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</si>
  <si>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</si>
  <si>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</si>
  <si>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</si>
  <si>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</si>
  <si>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</si>
  <si>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</si>
  <si>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</si>
  <si>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</si>
  <si>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</si>
  <si>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</si>
  <si>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</si>
  <si>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</si>
  <si>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</si>
  <si>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</si>
  <si>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</si>
  <si>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</si>
  <si>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</si>
  <si>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</si>
  <si>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</si>
  <si>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</si>
  <si>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</si>
  <si>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</si>
  <si>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</si>
  <si>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</si>
  <si>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</si>
  <si>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</si>
  <si>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</si>
  <si>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</si>
  <si>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</si>
  <si>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</si>
  <si>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</si>
  <si>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</si>
  <si>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</si>
  <si>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</si>
  <si>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</si>
  <si>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</si>
  <si>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</si>
  <si>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</si>
  <si>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</si>
  <si>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</si>
  <si>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</si>
  <si>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</si>
  <si>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</si>
  <si>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</si>
  <si>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</si>
  <si>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</si>
  <si>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</si>
  <si>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</si>
  <si>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</si>
  <si>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</si>
  <si>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</si>
  <si>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</si>
  <si>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</si>
  <si>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</si>
  <si>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</si>
  <si>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</si>
  <si>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</si>
  <si>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</si>
  <si>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</si>
  <si>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</si>
  <si>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</si>
  <si>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</si>
  <si>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</si>
  <si>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</si>
  <si>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</si>
  <si>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</si>
  <si>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</si>
  <si>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</si>
  <si>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</si>
  <si>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</si>
  <si>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</si>
  <si>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</si>
  <si>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</si>
  <si>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</si>
  <si>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</si>
  <si>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</si>
  <si>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</si>
  <si>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</si>
  <si>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</si>
  <si>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</si>
  <si>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</si>
  <si>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</si>
  <si>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</si>
  <si>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</si>
  <si>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</si>
  <si>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</si>
  <si>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</si>
  <si>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</si>
  <si>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</si>
  <si>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</si>
  <si>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</si>
  <si>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</si>
  <si>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</si>
  <si>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</si>
  <si>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</si>
  <si>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</si>
  <si>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</si>
  <si>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</si>
  <si>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</si>
  <si>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</si>
  <si>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</si>
  <si>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</si>
  <si>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</si>
  <si>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</si>
  <si>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</si>
  <si>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</si>
  <si>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</si>
  <si>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</si>
  <si>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</si>
  <si>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</si>
  <si>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</si>
  <si>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</si>
  <si>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</si>
  <si>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</si>
  <si>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</si>
  <si>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</si>
  <si>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</si>
  <si>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</si>
  <si>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</si>
  <si>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</si>
  <si>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</si>
  <si>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</si>
  <si>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</si>
  <si>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</si>
  <si>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</si>
  <si>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</si>
  <si>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</si>
  <si>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</si>
  <si>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</si>
  <si>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</si>
  <si>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</si>
  <si>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</si>
  <si>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</si>
  <si>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</si>
  <si>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</si>
  <si>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</si>
  <si>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</si>
  <si>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</si>
  <si>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</si>
  <si>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</si>
  <si>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</si>
  <si>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</si>
  <si>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</si>
  <si>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</si>
  <si>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</si>
  <si>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</si>
  <si>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</si>
  <si>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</si>
  <si>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</si>
  <si>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</si>
  <si>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</si>
  <si>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</si>
  <si>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</si>
  <si>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</si>
  <si>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</si>
  <si>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</si>
  <si>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</si>
  <si>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</si>
  <si>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</si>
  <si>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</si>
  <si>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</si>
  <si>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</si>
  <si>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</si>
  <si>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</si>
  <si>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</si>
  <si>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</si>
  <si>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</si>
  <si>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</si>
  <si>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</si>
  <si>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</si>
  <si>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</si>
  <si>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</si>
  <si>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</si>
  <si>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</si>
  <si>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</si>
  <si>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</si>
  <si>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</si>
  <si>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</si>
  <si>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</si>
  <si>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</si>
  <si>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</si>
  <si>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</si>
  <si>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</si>
  <si>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</si>
  <si>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</si>
  <si>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</si>
  <si>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</si>
  <si>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</si>
  <si>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</si>
  <si>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</si>
  <si>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</si>
  <si>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</si>
  <si>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</si>
  <si>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</si>
  <si>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</si>
  <si>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</si>
  <si>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</si>
  <si>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</si>
  <si>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</si>
  <si>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</si>
  <si>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</si>
  <si>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</si>
  <si>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</si>
  <si>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</si>
  <si>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</si>
  <si>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</si>
  <si>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</si>
  <si>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</si>
  <si>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</si>
  <si>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</si>
  <si>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</si>
  <si>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</si>
  <si>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</si>
  <si>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</si>
  <si>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</si>
  <si>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</si>
  <si>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</si>
  <si>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</si>
  <si>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</si>
  <si>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</si>
  <si>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</si>
  <si>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</si>
  <si>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</si>
  <si>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</si>
  <si>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</si>
  <si>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</si>
  <si>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</si>
  <si>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</si>
  <si>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</si>
  <si>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</si>
  <si>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</si>
  <si>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</si>
  <si>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</si>
  <si>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</si>
  <si>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</si>
  <si>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</si>
  <si>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</si>
  <si>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</si>
  <si>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</si>
  <si>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</si>
  <si>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</si>
  <si>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</si>
  <si>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</si>
  <si>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</si>
  <si>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</si>
  <si>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</si>
  <si>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</si>
  <si>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</si>
  <si>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</si>
  <si>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</si>
  <si>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</si>
  <si>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</si>
  <si>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</si>
  <si>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</si>
  <si>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</si>
  <si>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</si>
  <si>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</si>
  <si>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</si>
  <si>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</si>
  <si>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</si>
  <si>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</si>
  <si>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</si>
  <si>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</si>
  <si>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</si>
  <si>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</si>
  <si>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</si>
  <si>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</si>
  <si>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</si>
  <si>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</si>
  <si>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</si>
  <si>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</si>
  <si>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</si>
  <si>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</si>
  <si>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</si>
  <si>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</si>
  <si>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</si>
  <si>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</si>
  <si>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</si>
  <si>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</si>
  <si>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</si>
  <si>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</si>
  <si>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</si>
  <si>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</si>
  <si>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</si>
  <si>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</si>
  <si>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</si>
  <si>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</si>
  <si>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</si>
  <si>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</si>
  <si>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</si>
  <si>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</si>
  <si>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</si>
  <si>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</si>
  <si>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</si>
  <si>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</si>
  <si>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</si>
  <si>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</si>
  <si>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</si>
  <si>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</si>
  <si>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</si>
  <si>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</si>
  <si>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</si>
  <si>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</si>
  <si>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</si>
  <si>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</si>
  <si>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</si>
  <si>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</si>
  <si>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</si>
  <si>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</si>
  <si>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</si>
  <si>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</si>
  <si>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</si>
  <si>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</si>
  <si>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</si>
  <si>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</si>
  <si>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</si>
  <si>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</si>
  <si>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</si>
  <si>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</si>
  <si>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</si>
  <si>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</si>
  <si>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</si>
  <si>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</si>
  <si>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</si>
  <si>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</si>
  <si>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</si>
  <si>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</si>
  <si>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</si>
  <si>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</si>
  <si>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</si>
  <si>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</si>
  <si>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</si>
  <si>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</si>
  <si>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</si>
  <si>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</si>
  <si>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</si>
  <si>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</si>
  <si>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</si>
  <si>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</si>
  <si>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</si>
  <si>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</si>
  <si>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</si>
  <si>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</si>
  <si>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</si>
  <si>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</si>
  <si>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</si>
  <si>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</si>
  <si>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</si>
  <si>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</si>
  <si>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</si>
  <si>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</si>
  <si>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</si>
  <si>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</si>
  <si>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</si>
  <si>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</si>
  <si>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</si>
  <si>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</si>
  <si>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</si>
  <si>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</si>
  <si>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</si>
  <si>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</si>
  <si>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</si>
  <si>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</si>
  <si>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</si>
  <si>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</si>
  <si>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</si>
  <si>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</si>
  <si>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</si>
  <si>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</si>
  <si>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</si>
  <si>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</si>
  <si>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</si>
  <si>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</si>
  <si>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</si>
  <si>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</si>
  <si>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</si>
  <si>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</si>
  <si>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</si>
  <si>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</si>
  <si>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</si>
  <si>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</si>
  <si>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</si>
  <si>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</si>
  <si>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</si>
  <si>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</si>
  <si>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</si>
  <si>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</si>
  <si>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</si>
  <si>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</si>
  <si>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</si>
  <si>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</si>
  <si>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</si>
  <si>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</si>
  <si>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</si>
  <si>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</si>
  <si>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</si>
  <si>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33041</t>
  </si>
  <si>
    <t>VLETEREN</t>
  </si>
  <si>
    <t>Cultuurgrond (ha)</t>
  </si>
  <si>
    <t>Paarden&amp;pony's 200 - 600 kg</t>
  </si>
  <si>
    <t>Paarden&amp;pony's &lt; 200 kg</t>
  </si>
  <si>
    <t>op basis van VEA (maart 2018) en Inventaris Hernieuwbare Energiebronnen (juni 2018)</t>
  </si>
  <si>
    <t>VEA (juni 2018)</t>
  </si>
  <si>
    <t>Bart’s Potato Company bvba</t>
  </si>
  <si>
    <t>Westvleterenstraat 25 a, 8640 Vleteren</t>
  </si>
  <si>
    <t>WKK-0187 Barts Potato Company</t>
  </si>
  <si>
    <t>interne verbrandingsmotor</t>
  </si>
  <si>
    <t>WKK interne verbrandinsgmotor (gas)</t>
  </si>
  <si>
    <t>GASELWEST</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</si>
</sst>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39197.818596411489</c:v>
                </c:pt>
                <c:pt idx="1">
                  <c:v>8135.175346222567</c:v>
                </c:pt>
                <c:pt idx="2">
                  <c:v>269.90100000000001</c:v>
                </c:pt>
                <c:pt idx="3">
                  <c:v>24627.65752684086</c:v>
                </c:pt>
                <c:pt idx="4">
                  <c:v>3163.2780603235365</c:v>
                </c:pt>
                <c:pt idx="5">
                  <c:v>29304.121129103114</c:v>
                </c:pt>
                <c:pt idx="6">
                  <c:v>205.19028778196389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39197.818596411489</c:v>
                </c:pt>
                <c:pt idx="1">
                  <c:v>8135.175346222567</c:v>
                </c:pt>
                <c:pt idx="2">
                  <c:v>269.90100000000001</c:v>
                </c:pt>
                <c:pt idx="3">
                  <c:v>24627.65752684086</c:v>
                </c:pt>
                <c:pt idx="4">
                  <c:v>3163.2780603235365</c:v>
                </c:pt>
                <c:pt idx="5">
                  <c:v>29304.121129103114</c:v>
                </c:pt>
                <c:pt idx="6">
                  <c:v>205.19028778196389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6789.7398072807846</c:v>
                </c:pt>
                <c:pt idx="1">
                  <c:v>1213.3685366357543</c:v>
                </c:pt>
                <c:pt idx="2">
                  <c:v>18.762825909732477</c:v>
                </c:pt>
                <c:pt idx="3">
                  <c:v>3148.3552221319924</c:v>
                </c:pt>
                <c:pt idx="4">
                  <c:v>538.09244334341247</c:v>
                </c:pt>
                <c:pt idx="5">
                  <c:v>7402.6089580511416</c:v>
                </c:pt>
                <c:pt idx="6">
                  <c:v>52.453089645383116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1744"/>
      </c:barChart>
      <c:catAx>
        <c:axId val="182413568"/>
        <c:scaling>
          <c:orientation val="minMax"/>
        </c:scaling>
        <c:axPos val="b"/>
        <c:numFmt formatCode="General" sourceLinked="0"/>
        <c:tickLblPos val="nextTo"/>
        <c:crossAx val="182431744"/>
        <c:crosses val="autoZero"/>
        <c:auto val="1"/>
        <c:lblAlgn val="ctr"/>
        <c:lblOffset val="100"/>
      </c:catAx>
      <c:valAx>
        <c:axId val="182431744"/>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6789.7398072807846</c:v>
                </c:pt>
                <c:pt idx="1">
                  <c:v>1213.3685366357543</c:v>
                </c:pt>
                <c:pt idx="2">
                  <c:v>18.762825909732477</c:v>
                </c:pt>
                <c:pt idx="3">
                  <c:v>3148.3552221319924</c:v>
                </c:pt>
                <c:pt idx="4">
                  <c:v>538.09244334341247</c:v>
                </c:pt>
                <c:pt idx="5">
                  <c:v>7402.6089580511416</c:v>
                </c:pt>
                <c:pt idx="6">
                  <c:v>52.453089645383116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33041</v>
      </c>
      <c r="B6" s="398"/>
      <c r="C6" s="399"/>
    </row>
    <row r="7" spans="1:7" s="396" customFormat="1" ht="15.75" customHeight="1">
      <c r="A7" s="400" t="str">
        <f>txtMunicipality</f>
        <v>VLETEREN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33041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1418</v>
      </c>
      <c r="C9" s="338">
        <v>1512</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3162</v>
      </c>
    </row>
    <row r="15" spans="1:6">
      <c r="A15" s="1269" t="s">
        <v>184</v>
      </c>
      <c r="B15" s="335">
        <v>43</v>
      </c>
    </row>
    <row r="16" spans="1:6">
      <c r="A16" s="1269" t="s">
        <v>6</v>
      </c>
      <c r="B16" s="335">
        <v>1299</v>
      </c>
    </row>
    <row r="17" spans="1:6">
      <c r="A17" s="1269" t="s">
        <v>7</v>
      </c>
      <c r="B17" s="335">
        <v>1206</v>
      </c>
    </row>
    <row r="18" spans="1:6">
      <c r="A18" s="1269" t="s">
        <v>8</v>
      </c>
      <c r="B18" s="335">
        <v>1682</v>
      </c>
    </row>
    <row r="19" spans="1:6">
      <c r="A19" s="1269" t="s">
        <v>9</v>
      </c>
      <c r="B19" s="335">
        <v>1692</v>
      </c>
    </row>
    <row r="20" spans="1:6">
      <c r="A20" s="1269" t="s">
        <v>10</v>
      </c>
      <c r="B20" s="335">
        <v>766</v>
      </c>
    </row>
    <row r="21" spans="1:6">
      <c r="A21" s="1269" t="s">
        <v>11</v>
      </c>
      <c r="B21" s="335">
        <v>20729</v>
      </c>
    </row>
    <row r="22" spans="1:6">
      <c r="A22" s="1269" t="s">
        <v>12</v>
      </c>
      <c r="B22" s="335">
        <v>38562</v>
      </c>
    </row>
    <row r="23" spans="1:6">
      <c r="A23" s="1269" t="s">
        <v>13</v>
      </c>
      <c r="B23" s="335">
        <v>647</v>
      </c>
    </row>
    <row r="24" spans="1:6">
      <c r="A24" s="1269" t="s">
        <v>14</v>
      </c>
      <c r="B24" s="335">
        <v>49</v>
      </c>
    </row>
    <row r="25" spans="1:6">
      <c r="A25" s="1269" t="s">
        <v>15</v>
      </c>
      <c r="B25" s="335">
        <v>4841</v>
      </c>
    </row>
    <row r="26" spans="1:6">
      <c r="A26" s="1269" t="s">
        <v>16</v>
      </c>
      <c r="B26" s="335">
        <v>134</v>
      </c>
    </row>
    <row r="27" spans="1:6">
      <c r="A27" s="1269" t="s">
        <v>17</v>
      </c>
      <c r="B27" s="335">
        <v>24</v>
      </c>
    </row>
    <row r="28" spans="1:6" s="341" customFormat="1">
      <c r="A28" s="1270" t="s">
        <v>18</v>
      </c>
      <c r="B28" s="1270">
        <v>151747</v>
      </c>
    </row>
    <row r="29" spans="1:6">
      <c r="A29" s="1270" t="s">
        <v>874</v>
      </c>
      <c r="B29" s="1270">
        <v>145</v>
      </c>
      <c r="C29" s="341"/>
      <c r="D29" s="341"/>
      <c r="E29" s="341"/>
      <c r="F29" s="341"/>
    </row>
    <row r="30" spans="1:6">
      <c r="A30" s="1265" t="s">
        <v>875</v>
      </c>
      <c r="B30" s="1265">
        <v>35</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9989.4728205913998</v>
      </c>
      <c r="E38" s="335">
        <v>1</v>
      </c>
      <c r="F38" s="335">
        <v>995</v>
      </c>
    </row>
    <row r="39" spans="1:6">
      <c r="A39" s="1269" t="s">
        <v>30</v>
      </c>
      <c r="B39" s="1269" t="s">
        <v>31</v>
      </c>
      <c r="C39" s="335">
        <v>578</v>
      </c>
      <c r="D39" s="335">
        <v>10186001.503737001</v>
      </c>
      <c r="E39" s="335">
        <v>1249</v>
      </c>
      <c r="F39" s="335">
        <v>5368202.0742657203</v>
      </c>
    </row>
    <row r="40" spans="1:6">
      <c r="A40" s="1269" t="s">
        <v>30</v>
      </c>
      <c r="B40" s="1269" t="s">
        <v>29</v>
      </c>
      <c r="C40" s="335">
        <v>0</v>
      </c>
      <c r="D40" s="335">
        <v>0</v>
      </c>
      <c r="E40" s="335">
        <v>0</v>
      </c>
      <c r="F40" s="335">
        <v>0</v>
      </c>
    </row>
    <row r="41" spans="1:6">
      <c r="A41" s="1269" t="s">
        <v>32</v>
      </c>
      <c r="B41" s="1269" t="s">
        <v>33</v>
      </c>
      <c r="C41" s="335">
        <v>3</v>
      </c>
      <c r="D41" s="335">
        <v>25286.0588356306</v>
      </c>
      <c r="E41" s="335">
        <v>16</v>
      </c>
      <c r="F41" s="335">
        <v>158174.52544433399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6</v>
      </c>
      <c r="F44" s="335">
        <v>45343.504671163202</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15</v>
      </c>
      <c r="D48" s="335">
        <v>890020.41783865006</v>
      </c>
      <c r="E48" s="335">
        <v>19</v>
      </c>
      <c r="F48" s="335">
        <v>158042.66441150499</v>
      </c>
    </row>
    <row r="49" spans="1:6">
      <c r="A49" s="1269" t="s">
        <v>32</v>
      </c>
      <c r="B49" s="1269" t="s">
        <v>40</v>
      </c>
      <c r="C49" s="335">
        <v>0</v>
      </c>
      <c r="D49" s="335">
        <v>0</v>
      </c>
      <c r="E49" s="335">
        <v>0</v>
      </c>
      <c r="F49" s="335">
        <v>0</v>
      </c>
    </row>
    <row r="50" spans="1:6">
      <c r="A50" s="1269" t="s">
        <v>32</v>
      </c>
      <c r="B50" s="1269" t="s">
        <v>41</v>
      </c>
      <c r="C50" s="335">
        <v>3</v>
      </c>
      <c r="D50" s="335">
        <v>244036.40571190399</v>
      </c>
      <c r="E50" s="335">
        <v>10</v>
      </c>
      <c r="F50" s="335">
        <v>510955.79067950899</v>
      </c>
    </row>
    <row r="51" spans="1:6">
      <c r="A51" s="1269" t="s">
        <v>42</v>
      </c>
      <c r="B51" s="1269" t="s">
        <v>43</v>
      </c>
      <c r="C51" s="335">
        <v>4</v>
      </c>
      <c r="D51" s="335">
        <v>180017.91488344999</v>
      </c>
      <c r="E51" s="335">
        <v>108</v>
      </c>
      <c r="F51" s="335">
        <v>2875467.4109052201</v>
      </c>
    </row>
    <row r="52" spans="1:6">
      <c r="A52" s="1269" t="s">
        <v>42</v>
      </c>
      <c r="B52" s="1269" t="s">
        <v>29</v>
      </c>
      <c r="C52" s="335">
        <v>1</v>
      </c>
      <c r="D52" s="335">
        <v>23053.828776857801</v>
      </c>
      <c r="E52" s="335">
        <v>3</v>
      </c>
      <c r="F52" s="335">
        <v>55941.570584653397</v>
      </c>
    </row>
    <row r="53" spans="1:6">
      <c r="A53" s="1269" t="s">
        <v>44</v>
      </c>
      <c r="B53" s="1269" t="s">
        <v>45</v>
      </c>
      <c r="C53" s="335">
        <v>14</v>
      </c>
      <c r="D53" s="335">
        <v>234137.87946266399</v>
      </c>
      <c r="E53" s="335">
        <v>41</v>
      </c>
      <c r="F53" s="335">
        <v>320812.75767961901</v>
      </c>
    </row>
    <row r="54" spans="1:6">
      <c r="A54" s="1269" t="s">
        <v>46</v>
      </c>
      <c r="B54" s="1269" t="s">
        <v>47</v>
      </c>
      <c r="C54" s="335">
        <v>0</v>
      </c>
      <c r="D54" s="335">
        <v>0</v>
      </c>
      <c r="E54" s="335">
        <v>1</v>
      </c>
      <c r="F54" s="335">
        <v>269901</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8</v>
      </c>
      <c r="D57" s="335">
        <v>342016.53453247098</v>
      </c>
      <c r="E57" s="335">
        <v>16</v>
      </c>
      <c r="F57" s="335">
        <v>67382.870526603394</v>
      </c>
    </row>
    <row r="58" spans="1:6">
      <c r="A58" s="1269" t="s">
        <v>49</v>
      </c>
      <c r="B58" s="1269" t="s">
        <v>51</v>
      </c>
      <c r="C58" s="335">
        <v>0</v>
      </c>
      <c r="D58" s="335">
        <v>0</v>
      </c>
      <c r="E58" s="335">
        <v>0</v>
      </c>
      <c r="F58" s="335">
        <v>0</v>
      </c>
    </row>
    <row r="59" spans="1:6">
      <c r="A59" s="1269" t="s">
        <v>49</v>
      </c>
      <c r="B59" s="1269" t="s">
        <v>52</v>
      </c>
      <c r="C59" s="335">
        <v>6</v>
      </c>
      <c r="D59" s="335">
        <v>1270336.9369186501</v>
      </c>
      <c r="E59" s="335">
        <v>31</v>
      </c>
      <c r="F59" s="335">
        <v>918568.28231515596</v>
      </c>
    </row>
    <row r="60" spans="1:6">
      <c r="A60" s="1269" t="s">
        <v>49</v>
      </c>
      <c r="B60" s="1269" t="s">
        <v>53</v>
      </c>
      <c r="C60" s="335">
        <v>11</v>
      </c>
      <c r="D60" s="335">
        <v>503377.14902081899</v>
      </c>
      <c r="E60" s="335">
        <v>32</v>
      </c>
      <c r="F60" s="335">
        <v>658425.98930087197</v>
      </c>
    </row>
    <row r="61" spans="1:6">
      <c r="A61" s="1269" t="s">
        <v>49</v>
      </c>
      <c r="B61" s="1269" t="s">
        <v>54</v>
      </c>
      <c r="C61" s="335">
        <v>10</v>
      </c>
      <c r="D61" s="335">
        <v>630934.39781026298</v>
      </c>
      <c r="E61" s="335">
        <v>17</v>
      </c>
      <c r="F61" s="335">
        <v>186887.525359477</v>
      </c>
    </row>
    <row r="62" spans="1:6">
      <c r="A62" s="1269" t="s">
        <v>49</v>
      </c>
      <c r="B62" s="1269" t="s">
        <v>55</v>
      </c>
      <c r="C62" s="335">
        <v>3</v>
      </c>
      <c r="D62" s="335">
        <v>234087.75614681101</v>
      </c>
      <c r="E62" s="335">
        <v>4</v>
      </c>
      <c r="F62" s="335">
        <v>65684.827662132506</v>
      </c>
    </row>
    <row r="63" spans="1:6">
      <c r="A63" s="1269" t="s">
        <v>49</v>
      </c>
      <c r="B63" s="1269" t="s">
        <v>29</v>
      </c>
      <c r="C63" s="335">
        <v>30</v>
      </c>
      <c r="D63" s="335">
        <v>1294508.5378624001</v>
      </c>
      <c r="E63" s="335">
        <v>62</v>
      </c>
      <c r="F63" s="335">
        <v>1426117.20098819</v>
      </c>
    </row>
    <row r="64" spans="1:6">
      <c r="A64" s="1269" t="s">
        <v>56</v>
      </c>
      <c r="B64" s="1269" t="s">
        <v>57</v>
      </c>
      <c r="C64" s="335">
        <v>0</v>
      </c>
      <c r="D64" s="335">
        <v>0</v>
      </c>
      <c r="E64" s="335">
        <v>0</v>
      </c>
      <c r="F64" s="335">
        <v>0</v>
      </c>
    </row>
    <row r="65" spans="1:6">
      <c r="A65" s="1269" t="s">
        <v>56</v>
      </c>
      <c r="B65" s="1269" t="s">
        <v>29</v>
      </c>
      <c r="C65" s="335">
        <v>1</v>
      </c>
      <c r="D65" s="335">
        <v>33972.211605558499</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5</v>
      </c>
      <c r="F68" s="335">
        <v>41210.158928175799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32720257</v>
      </c>
      <c r="E73" s="335">
        <v>29842158.773781631</v>
      </c>
    </row>
    <row r="74" spans="1:6">
      <c r="A74" s="1269" t="s">
        <v>64</v>
      </c>
      <c r="B74" s="1269" t="s">
        <v>727</v>
      </c>
      <c r="C74" s="1269" t="s">
        <v>728</v>
      </c>
      <c r="D74" s="335">
        <v>2718638.5864188634</v>
      </c>
      <c r="E74" s="335">
        <v>2583487.1001156555</v>
      </c>
    </row>
    <row r="75" spans="1:6">
      <c r="A75" s="1269" t="s">
        <v>65</v>
      </c>
      <c r="B75" s="1269" t="s">
        <v>725</v>
      </c>
      <c r="C75" s="1269" t="s">
        <v>729</v>
      </c>
      <c r="D75" s="335">
        <v>3065442</v>
      </c>
      <c r="E75" s="335">
        <v>2804173.1929982621</v>
      </c>
    </row>
    <row r="76" spans="1:6">
      <c r="A76" s="1269" t="s">
        <v>65</v>
      </c>
      <c r="B76" s="1269" t="s">
        <v>727</v>
      </c>
      <c r="C76" s="1269" t="s">
        <v>730</v>
      </c>
      <c r="D76" s="335">
        <v>4884.5864188636187</v>
      </c>
      <c r="E76" s="335">
        <v>3022.8678427607265</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54208.827162272763</v>
      </c>
      <c r="C83" s="335">
        <v>54532.237764422585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1171.922714267768</v>
      </c>
    </row>
    <row r="92" spans="1:6">
      <c r="A92" s="1265" t="s">
        <v>69</v>
      </c>
      <c r="B92" s="338">
        <v>885.42658598920934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316</v>
      </c>
    </row>
    <row r="98" spans="1:6">
      <c r="A98" s="1269" t="s">
        <v>72</v>
      </c>
      <c r="B98" s="335">
        <v>0</v>
      </c>
    </row>
    <row r="99" spans="1:6">
      <c r="A99" s="1269" t="s">
        <v>73</v>
      </c>
      <c r="B99" s="335">
        <v>83</v>
      </c>
    </row>
    <row r="100" spans="1:6">
      <c r="A100" s="1269" t="s">
        <v>74</v>
      </c>
      <c r="B100" s="335">
        <v>97</v>
      </c>
    </row>
    <row r="101" spans="1:6">
      <c r="A101" s="1269" t="s">
        <v>75</v>
      </c>
      <c r="B101" s="335">
        <v>61</v>
      </c>
    </row>
    <row r="102" spans="1:6">
      <c r="A102" s="1269" t="s">
        <v>76</v>
      </c>
      <c r="B102" s="335">
        <v>25</v>
      </c>
    </row>
    <row r="103" spans="1:6">
      <c r="A103" s="1269" t="s">
        <v>77</v>
      </c>
      <c r="B103" s="335">
        <v>127</v>
      </c>
    </row>
    <row r="104" spans="1:6">
      <c r="A104" s="1269" t="s">
        <v>78</v>
      </c>
      <c r="B104" s="335">
        <v>593</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3</v>
      </c>
      <c r="C123" s="335">
        <v>3</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44</v>
      </c>
    </row>
    <row r="130" spans="1:6">
      <c r="A130" s="1269" t="s">
        <v>295</v>
      </c>
      <c r="B130" s="335">
        <v>1</v>
      </c>
    </row>
    <row r="131" spans="1:6">
      <c r="A131" s="1269" t="s">
        <v>296</v>
      </c>
      <c r="B131" s="335">
        <v>1</v>
      </c>
    </row>
    <row r="132" spans="1:6">
      <c r="A132" s="1265" t="s">
        <v>297</v>
      </c>
      <c r="B132" s="338">
        <v>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13938.971991757844</v>
      </c>
      <c r="C3" s="43" t="s">
        <v>170</v>
      </c>
      <c r="D3" s="43"/>
      <c r="E3" s="156"/>
      <c r="F3" s="43"/>
      <c r="G3" s="43"/>
      <c r="H3" s="43"/>
      <c r="I3" s="43"/>
      <c r="J3" s="43"/>
      <c r="K3" s="96"/>
    </row>
    <row r="4" spans="1:11">
      <c r="A4" s="366" t="s">
        <v>171</v>
      </c>
      <c r="B4" s="49">
        <f>IF(ISERROR('SEAP template'!B69),0,'SEAP template'!B69)</f>
        <v>9554.3493002569776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6.9517437540922322E-2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10710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269.90100000000001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269.90100000000001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6.9517437540922322E-2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18.762825909732477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5368.2020742657205</v>
      </c>
      <c r="C5" s="17">
        <f>IF(ISERROR('Eigen informatie GS &amp; warmtenet'!B57),0,'Eigen informatie GS &amp; warmtenet'!B57)</f>
        <v>0</v>
      </c>
      <c r="D5" s="30">
        <f>(SUM(HH_hh_gas_kWh,HH_rest_gas_kWh)/1000)*0.902</f>
        <v>9187.7733563707752</v>
      </c>
      <c r="E5" s="17">
        <f>B46*B57</f>
        <v>2712.7058085119825</v>
      </c>
      <c r="F5" s="17">
        <f>B51*B62</f>
        <v>9032.4732903315653</v>
      </c>
      <c r="G5" s="18"/>
      <c r="H5" s="17"/>
      <c r="I5" s="17"/>
      <c r="J5" s="17">
        <f>B50*B61+C50*C61</f>
        <v>4100.8539145379236</v>
      </c>
      <c r="K5" s="17"/>
      <c r="L5" s="17"/>
      <c r="M5" s="17"/>
      <c r="N5" s="17">
        <f>B48*B59+C48*C59</f>
        <v>7474.1441047924109</v>
      </c>
      <c r="O5" s="17">
        <f>B69*B70*B71</f>
        <v>73.476666666666674</v>
      </c>
      <c r="P5" s="17">
        <f>B77*B78*B79/1000-B77*B78*B79/1000/B80</f>
        <v>76.266666666666666</v>
      </c>
    </row>
    <row r="6" spans="1:16">
      <c r="A6" s="16" t="s">
        <v>634</v>
      </c>
      <c r="B6" s="831">
        <f>kWh_PV_kleiner_dan_10kW</f>
        <v>1171.922714267768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6540.1247885334888</v>
      </c>
      <c r="C8" s="21">
        <f>C5</f>
        <v>0</v>
      </c>
      <c r="D8" s="21">
        <f>D5</f>
        <v>9187.7733563707752</v>
      </c>
      <c r="E8" s="21">
        <f>E5</f>
        <v>2712.7058085119825</v>
      </c>
      <c r="F8" s="21">
        <f>F5</f>
        <v>9032.4732903315653</v>
      </c>
      <c r="G8" s="21"/>
      <c r="H8" s="21"/>
      <c r="I8" s="21"/>
      <c r="J8" s="21">
        <f>J5</f>
        <v>4100.8539145379236</v>
      </c>
      <c r="K8" s="21"/>
      <c r="L8" s="21">
        <f>L5</f>
        <v>0</v>
      </c>
      <c r="M8" s="21">
        <f>M5</f>
        <v>0</v>
      </c>
      <c r="N8" s="21">
        <f>N5</f>
        <v>7474.1441047924109</v>
      </c>
      <c r="O8" s="21">
        <f>O5</f>
        <v>73.476666666666674</v>
      </c>
      <c r="P8" s="21">
        <f>P5</f>
        <v>76.266666666666666</v>
      </c>
    </row>
    <row r="9" spans="1:16">
      <c r="B9" s="19"/>
      <c r="C9" s="19"/>
      <c r="D9" s="261"/>
      <c r="E9" s="19"/>
      <c r="F9" s="19"/>
      <c r="G9" s="19"/>
      <c r="H9" s="19"/>
      <c r="I9" s="19"/>
      <c r="J9" s="19"/>
      <c r="K9" s="19"/>
      <c r="L9" s="19"/>
      <c r="M9" s="19"/>
      <c r="N9" s="19"/>
      <c r="O9" s="19"/>
      <c r="P9" s="19"/>
    </row>
    <row r="10" spans="1:16">
      <c r="A10" s="24" t="s">
        <v>214</v>
      </c>
      <c r="B10" s="25">
        <f ca="1">'EF ele_warmte'!B12</f>
        <v>6.9517437540922322E-2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454.65271649671462</v>
      </c>
      <c r="C12" s="23">
        <f ca="1">C10*C8</f>
        <v>0</v>
      </c>
      <c r="D12" s="23">
        <f>D8*D10</f>
        <v>1855.9302179868967</v>
      </c>
      <c r="E12" s="23">
        <f>E10*E8</f>
        <v>615.78421853222005</v>
      </c>
      <c r="F12" s="23">
        <f>F10*F8</f>
        <v>2411.670368518528</v>
      </c>
      <c r="G12" s="23"/>
      <c r="H12" s="23"/>
      <c r="I12" s="23"/>
      <c r="J12" s="23">
        <f>J10*J8</f>
        <v>1451.7022857464249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316</v>
      </c>
      <c r="C18" s="168" t="s">
        <v>111</v>
      </c>
      <c r="D18" s="230"/>
      <c r="E18" s="15"/>
    </row>
    <row r="19" spans="1:7">
      <c r="A19" s="173" t="s">
        <v>72</v>
      </c>
      <c r="B19" s="37">
        <f>aantalw2001_ander</f>
        <v>0</v>
      </c>
      <c r="C19" s="168" t="s">
        <v>111</v>
      </c>
      <c r="D19" s="231"/>
      <c r="E19" s="15"/>
    </row>
    <row r="20" spans="1:7">
      <c r="A20" s="173" t="s">
        <v>73</v>
      </c>
      <c r="B20" s="37">
        <f>aantalw2001_propaan</f>
        <v>83</v>
      </c>
      <c r="C20" s="169">
        <f>IF(ISERROR(B20/SUM($B$20,$B$21,$B$22)*100),0,B20/SUM($B$20,$B$21,$B$22)*100)</f>
        <v>34.439834024896264</v>
      </c>
      <c r="D20" s="231"/>
      <c r="E20" s="15"/>
    </row>
    <row r="21" spans="1:7">
      <c r="A21" s="173" t="s">
        <v>74</v>
      </c>
      <c r="B21" s="37">
        <f>aantalw2001_elektriciteit</f>
        <v>97</v>
      </c>
      <c r="C21" s="169">
        <f>IF(ISERROR(B21/SUM($B$20,$B$21,$B$22)*100),0,B21/SUM($B$20,$B$21,$B$22)*100)</f>
        <v>40.248962655601659</v>
      </c>
      <c r="D21" s="231"/>
      <c r="E21" s="15"/>
    </row>
    <row r="22" spans="1:7">
      <c r="A22" s="173" t="s">
        <v>75</v>
      </c>
      <c r="B22" s="37">
        <f>aantalw2001_hout</f>
        <v>61</v>
      </c>
      <c r="C22" s="169">
        <f>IF(ISERROR(B22/SUM($B$20,$B$21,$B$22)*100),0,B22/SUM($B$20,$B$21,$B$22)*100)</f>
        <v>25.311203319502074</v>
      </c>
      <c r="D22" s="231"/>
      <c r="E22" s="15"/>
    </row>
    <row r="23" spans="1:7">
      <c r="A23" s="173" t="s">
        <v>76</v>
      </c>
      <c r="B23" s="37">
        <f>aantalw2001_niet_gespec</f>
        <v>25</v>
      </c>
      <c r="C23" s="168" t="s">
        <v>111</v>
      </c>
      <c r="D23" s="230"/>
      <c r="E23" s="15"/>
    </row>
    <row r="24" spans="1:7">
      <c r="A24" s="173" t="s">
        <v>77</v>
      </c>
      <c r="B24" s="37">
        <f>aantalw2001_steenkool</f>
        <v>127</v>
      </c>
      <c r="C24" s="168" t="s">
        <v>111</v>
      </c>
      <c r="D24" s="231"/>
      <c r="E24" s="15"/>
    </row>
    <row r="25" spans="1:7">
      <c r="A25" s="173" t="s">
        <v>78</v>
      </c>
      <c r="B25" s="37">
        <f>aantalw2001_stookolie</f>
        <v>593</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1418</v>
      </c>
      <c r="C28" s="36"/>
      <c r="D28" s="230"/>
    </row>
    <row r="29" spans="1:7" s="15" customFormat="1">
      <c r="A29" s="232" t="s">
        <v>746</v>
      </c>
      <c r="B29" s="37">
        <f>SUM(HH_hh_gas_aantal,HH_rest_gas_aantal)</f>
        <v>578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578</v>
      </c>
      <c r="C32" s="169">
        <f>IF(ISERROR(B32/SUM($B$32,$B$34,$B$35,$B$36,$B$38,$B$39)*100),0,B32/SUM($B$32,$B$34,$B$35,$B$36,$B$38,$B$39)*100)</f>
        <v>40.876944837340879</v>
      </c>
      <c r="D32" s="235"/>
      <c r="G32" s="15"/>
    </row>
    <row r="33" spans="1:7">
      <c r="A33" s="173" t="s">
        <v>72</v>
      </c>
      <c r="B33" s="34" t="s">
        <v>111</v>
      </c>
      <c r="C33" s="169"/>
      <c r="D33" s="235"/>
      <c r="G33" s="15"/>
    </row>
    <row r="34" spans="1:7">
      <c r="A34" s="173" t="s">
        <v>73</v>
      </c>
      <c r="B34" s="33">
        <f>IF((($B$28-$B$32-$B$39-$B$77-$B$38)*C20/100)&lt;0,0,($B$28-$B$32-$B$39-$B$77-$B$38)*C20/100)</f>
        <v>130.1825726141079</v>
      </c>
      <c r="C34" s="169">
        <f>IF(ISERROR(B34/SUM($B$32,$B$34,$B$35,$B$36,$B$38,$B$39)*100),0,B34/SUM($B$32,$B$34,$B$35,$B$36,$B$38,$B$39)*100)</f>
        <v>9.2066883036851408</v>
      </c>
      <c r="D34" s="235"/>
      <c r="G34" s="15"/>
    </row>
    <row r="35" spans="1:7">
      <c r="A35" s="173" t="s">
        <v>74</v>
      </c>
      <c r="B35" s="33">
        <f>IF((($B$28-$B$32-$B$39-$B$77-$B$38)*C21/100)&lt;0,0,($B$28-$B$32-$B$39-$B$77-$B$38)*C21/100)</f>
        <v>152.14107883817428</v>
      </c>
      <c r="C35" s="169">
        <f>IF(ISERROR(B35/SUM($B$32,$B$34,$B$35,$B$36,$B$38,$B$39)*100),0,B35/SUM($B$32,$B$34,$B$35,$B$36,$B$38,$B$39)*100)</f>
        <v>10.759623680210344</v>
      </c>
      <c r="D35" s="235"/>
      <c r="G35" s="15"/>
    </row>
    <row r="36" spans="1:7">
      <c r="A36" s="173" t="s">
        <v>75</v>
      </c>
      <c r="B36" s="33">
        <f>IF((($B$28-$B$32-$B$39-$B$77-$B$38)*C22/100)&lt;0,0,($B$28-$B$32-$B$39-$B$77-$B$38)*C22/100)</f>
        <v>95.676348547717851</v>
      </c>
      <c r="C36" s="169">
        <f>IF(ISERROR(B36/SUM($B$32,$B$34,$B$35,$B$36,$B$38,$B$39)*100),0,B36/SUM($B$32,$B$34,$B$35,$B$36,$B$38,$B$39)*100)</f>
        <v>6.7663612834312481</v>
      </c>
      <c r="D36" s="235"/>
      <c r="G36" s="15"/>
    </row>
    <row r="37" spans="1:7">
      <c r="A37" s="173" t="s">
        <v>76</v>
      </c>
      <c r="B37" s="34" t="s">
        <v>111</v>
      </c>
      <c r="C37" s="169"/>
      <c r="D37" s="175"/>
      <c r="G37" s="15"/>
    </row>
    <row r="38" spans="1:7">
      <c r="A38" s="173" t="s">
        <v>77</v>
      </c>
      <c r="B38" s="33">
        <f>IF((B24-(B29-B18)*0.1)&lt;0,0,B24-(B29-B18)*0.1)</f>
        <v>100.8</v>
      </c>
      <c r="C38" s="169">
        <f>IF(ISERROR(B38/SUM($B$32,$B$34,$B$35,$B$36,$B$38,$B$39)*100),0,B38/SUM($B$32,$B$34,$B$35,$B$36,$B$38,$B$39)*100)</f>
        <v>7.1287128712871279</v>
      </c>
      <c r="D38" s="236"/>
      <c r="G38" s="15"/>
    </row>
    <row r="39" spans="1:7">
      <c r="A39" s="173" t="s">
        <v>78</v>
      </c>
      <c r="B39" s="33">
        <f>IF((B25-(B29-B18))&lt;0,0,B25-(B29-B18)*0.9)</f>
        <v>357.2</v>
      </c>
      <c r="C39" s="169">
        <f>IF(ISERROR(B39/SUM($B$32,$B$34,$B$35,$B$36,$B$38,$B$39)*100),0,B39/SUM($B$32,$B$34,$B$35,$B$36,$B$38,$B$39)*100)</f>
        <v>25.261669024045265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578</v>
      </c>
      <c r="C44" s="34" t="s">
        <v>111</v>
      </c>
      <c r="D44" s="176"/>
    </row>
    <row r="45" spans="1:7">
      <c r="A45" s="173" t="s">
        <v>72</v>
      </c>
      <c r="B45" s="33" t="str">
        <f t="shared" si="0"/>
        <v>-</v>
      </c>
      <c r="C45" s="34" t="s">
        <v>111</v>
      </c>
      <c r="D45" s="176"/>
    </row>
    <row r="46" spans="1:7">
      <c r="A46" s="173" t="s">
        <v>73</v>
      </c>
      <c r="B46" s="33">
        <f t="shared" si="0"/>
        <v>130.1825726141079</v>
      </c>
      <c r="C46" s="34" t="s">
        <v>111</v>
      </c>
      <c r="D46" s="176"/>
    </row>
    <row r="47" spans="1:7">
      <c r="A47" s="173" t="s">
        <v>74</v>
      </c>
      <c r="B47" s="33">
        <f t="shared" si="0"/>
        <v>152.14107883817428</v>
      </c>
      <c r="C47" s="34" t="s">
        <v>111</v>
      </c>
      <c r="D47" s="176"/>
    </row>
    <row r="48" spans="1:7">
      <c r="A48" s="173" t="s">
        <v>75</v>
      </c>
      <c r="B48" s="33">
        <f t="shared" si="0"/>
        <v>95.676348547717851</v>
      </c>
      <c r="C48" s="33">
        <f>B48*10</f>
        <v>956.76348547717851</v>
      </c>
      <c r="D48" s="236"/>
    </row>
    <row r="49" spans="1:6">
      <c r="A49" s="173" t="s">
        <v>76</v>
      </c>
      <c r="B49" s="33" t="str">
        <f t="shared" si="0"/>
        <v>-</v>
      </c>
      <c r="C49" s="34" t="s">
        <v>111</v>
      </c>
      <c r="D49" s="236"/>
    </row>
    <row r="50" spans="1:6">
      <c r="A50" s="173" t="s">
        <v>77</v>
      </c>
      <c r="B50" s="33">
        <f t="shared" si="0"/>
        <v>100.8</v>
      </c>
      <c r="C50" s="33">
        <f>B50*2</f>
        <v>201.6</v>
      </c>
      <c r="D50" s="236"/>
    </row>
    <row r="51" spans="1:6">
      <c r="A51" s="173" t="s">
        <v>78</v>
      </c>
      <c r="B51" s="33">
        <f t="shared" si="0"/>
        <v>357.2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3323.0666961524312</v>
      </c>
      <c r="C5" s="17">
        <f>IF(ISERROR('Eigen informatie GS &amp; warmtenet'!B58),0,'Eigen informatie GS &amp; warmtenet'!B58)</f>
        <v>0</v>
      </c>
      <c r="D5" s="30">
        <f>SUM(D6:D12)</f>
        <v>3856.2857036868554</v>
      </c>
      <c r="E5" s="17">
        <f>SUM(E6:E12)</f>
        <v>68.724002502340483</v>
      </c>
      <c r="F5" s="17">
        <f>SUM(F6:F12)</f>
        <v>703.32357464000893</v>
      </c>
      <c r="G5" s="18"/>
      <c r="H5" s="17"/>
      <c r="I5" s="17"/>
      <c r="J5" s="17">
        <f>SUM(J6:J12)</f>
        <v>0</v>
      </c>
      <c r="K5" s="17"/>
      <c r="L5" s="17"/>
      <c r="M5" s="17"/>
      <c r="N5" s="17">
        <f>SUM(N6:N12)</f>
        <v>163.14536924093139</v>
      </c>
      <c r="O5" s="17">
        <f>B38*B39*B40</f>
        <v>1.5633333333333335</v>
      </c>
      <c r="P5" s="17">
        <f>B46*B47*B48/1000-B46*B47*B48/1000/B49</f>
        <v>19.066666666666666</v>
      </c>
      <c r="R5" s="32"/>
    </row>
    <row r="6" spans="1:18">
      <c r="A6" s="32" t="s">
        <v>54</v>
      </c>
      <c r="B6" s="37">
        <f>B26</f>
        <v>186.887525359477</v>
      </c>
      <c r="C6" s="33"/>
      <c r="D6" s="37">
        <f>IF(ISERROR(TER_kantoor_gas_kWh/1000),0,TER_kantoor_gas_kWh/1000)*0.902</f>
        <v>569.10282682485729</v>
      </c>
      <c r="E6" s="33">
        <f>$C$26*'E Balans VL '!I12/100/3.6*1000000</f>
        <v>0.72609760241601651</v>
      </c>
      <c r="F6" s="33">
        <f>$C$26*('E Balans VL '!L12+'E Balans VL '!N12)/100/3.6*1000000</f>
        <v>28.423892066274561</v>
      </c>
      <c r="G6" s="34"/>
      <c r="H6" s="33"/>
      <c r="I6" s="33"/>
      <c r="J6" s="33">
        <f>$C$26*('E Balans VL '!D12+'E Balans VL '!E12)/100/3.6*1000000</f>
        <v>0</v>
      </c>
      <c r="K6" s="33"/>
      <c r="L6" s="33"/>
      <c r="M6" s="33"/>
      <c r="N6" s="33">
        <f>$C$26*'E Balans VL '!Y12/100/3.6*1000000</f>
        <v>0.10299741504724776</v>
      </c>
      <c r="O6" s="33"/>
      <c r="P6" s="33"/>
      <c r="R6" s="32"/>
    </row>
    <row r="7" spans="1:18">
      <c r="A7" s="32" t="s">
        <v>53</v>
      </c>
      <c r="B7" s="37">
        <f t="shared" ref="B7:B12" si="0">B27</f>
        <v>658.42598930087195</v>
      </c>
      <c r="C7" s="33"/>
      <c r="D7" s="37">
        <f>IF(ISERROR(TER_horeca_gas_kWh/1000),0,TER_horeca_gas_kWh/1000)*0.902</f>
        <v>454.04618841677876</v>
      </c>
      <c r="E7" s="33">
        <f>$C$27*'E Balans VL '!I9/100/3.6*1000000</f>
        <v>37.089312011261917</v>
      </c>
      <c r="F7" s="33">
        <f>$C$27*('E Balans VL '!L9+'E Balans VL '!N9)/100/3.6*1000000</f>
        <v>189.85063615509463</v>
      </c>
      <c r="G7" s="34"/>
      <c r="H7" s="33"/>
      <c r="I7" s="33"/>
      <c r="J7" s="33">
        <f>$C$27*('E Balans VL '!D9+'E Balans VL '!E9)/100/3.6*1000000</f>
        <v>0</v>
      </c>
      <c r="K7" s="33"/>
      <c r="L7" s="33"/>
      <c r="M7" s="33"/>
      <c r="N7" s="33">
        <f>$C$27*'E Balans VL '!Y9/100/3.6*1000000</f>
        <v>0.18178799414261165</v>
      </c>
      <c r="O7" s="33"/>
      <c r="P7" s="33"/>
      <c r="R7" s="32"/>
    </row>
    <row r="8" spans="1:18">
      <c r="A8" s="6" t="s">
        <v>52</v>
      </c>
      <c r="B8" s="37">
        <f t="shared" si="0"/>
        <v>918.56828231515601</v>
      </c>
      <c r="C8" s="33"/>
      <c r="D8" s="37">
        <f>IF(ISERROR(TER_handel_gas_kWh/1000),0,TER_handel_gas_kWh/1000)*0.902</f>
        <v>1145.8439171006223</v>
      </c>
      <c r="E8" s="33">
        <f>$C$28*'E Balans VL '!I13/100/3.6*1000000</f>
        <v>13.239685340338076</v>
      </c>
      <c r="F8" s="33">
        <f>$C$28*('E Balans VL '!L13+'E Balans VL '!N13)/100/3.6*1000000</f>
        <v>159.5767026499293</v>
      </c>
      <c r="G8" s="34"/>
      <c r="H8" s="33"/>
      <c r="I8" s="33"/>
      <c r="J8" s="33">
        <f>$C$28*('E Balans VL '!D13+'E Balans VL '!E13)/100/3.6*1000000</f>
        <v>0</v>
      </c>
      <c r="K8" s="33"/>
      <c r="L8" s="33"/>
      <c r="M8" s="33"/>
      <c r="N8" s="33">
        <f>$C$28*'E Balans VL '!Y13/100/3.6*1000000</f>
        <v>2.752132830943907</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67.382870526603398</v>
      </c>
      <c r="C10" s="33"/>
      <c r="D10" s="37">
        <f>IF(ISERROR(TER_ander_gas_kWh/1000),0,TER_ander_gas_kWh/1000)*0.902</f>
        <v>308.49891414828886</v>
      </c>
      <c r="E10" s="33">
        <f>$C$30*'E Balans VL '!I14/100/3.6*1000000</f>
        <v>0.30988357185636978</v>
      </c>
      <c r="F10" s="33">
        <f>$C$30*('E Balans VL '!L14+'E Balans VL '!N14)/100/3.6*1000000</f>
        <v>20.196771743590983</v>
      </c>
      <c r="G10" s="34"/>
      <c r="H10" s="33"/>
      <c r="I10" s="33"/>
      <c r="J10" s="33">
        <f>$C$30*('E Balans VL '!D14+'E Balans VL '!E14)/100/3.6*1000000</f>
        <v>0</v>
      </c>
      <c r="K10" s="33"/>
      <c r="L10" s="33"/>
      <c r="M10" s="33"/>
      <c r="N10" s="33">
        <f>$C$30*'E Balans VL '!Y14/100/3.6*1000000</f>
        <v>46.902925881595664</v>
      </c>
      <c r="O10" s="33"/>
      <c r="P10" s="33"/>
      <c r="R10" s="32"/>
    </row>
    <row r="11" spans="1:18">
      <c r="A11" s="32" t="s">
        <v>55</v>
      </c>
      <c r="B11" s="37">
        <f t="shared" si="0"/>
        <v>65.684827662132506</v>
      </c>
      <c r="C11" s="33"/>
      <c r="D11" s="37">
        <f>IF(ISERROR(TER_onderwijs_gas_kWh/1000),0,TER_onderwijs_gas_kWh/1000)*0.902</f>
        <v>211.14715604442355</v>
      </c>
      <c r="E11" s="33">
        <f>$C$31*'E Balans VL '!I11/100/3.6*1000000</f>
        <v>6.0931315788061553E-2</v>
      </c>
      <c r="F11" s="33">
        <f>$C$31*('E Balans VL '!L11+'E Balans VL '!N11)/100/3.6*1000000</f>
        <v>23.073570300481965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1426.11720098819</v>
      </c>
      <c r="C12" s="33"/>
      <c r="D12" s="37">
        <f>IF(ISERROR(TER_rest_gas_kWh/1000),0,TER_rest_gas_kWh/1000)*0.902</f>
        <v>1167.6467011518848</v>
      </c>
      <c r="E12" s="33">
        <f>$C$32*'E Balans VL '!I8/100/3.6*1000000</f>
        <v>17.298092660680037</v>
      </c>
      <c r="F12" s="33">
        <f>$C$32*('E Balans VL '!L8+'E Balans VL '!N8)/100/3.6*1000000</f>
        <v>282.20200172463751</v>
      </c>
      <c r="G12" s="34"/>
      <c r="H12" s="33"/>
      <c r="I12" s="33"/>
      <c r="J12" s="33">
        <f>$C$32*('E Balans VL '!D8+'E Balans VL '!E8)/100/3.6*1000000</f>
        <v>0</v>
      </c>
      <c r="K12" s="33"/>
      <c r="L12" s="33"/>
      <c r="M12" s="33"/>
      <c r="N12" s="33">
        <f>$C$32*'E Balans VL '!Y8/100/3.6*1000000</f>
        <v>113.20552511920195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3323.0666961524312</v>
      </c>
      <c r="C16" s="21">
        <f t="shared" ca="1" si="1"/>
        <v>0</v>
      </c>
      <c r="D16" s="21">
        <f t="shared" ca="1" si="1"/>
        <v>3856.2857036868554</v>
      </c>
      <c r="E16" s="21">
        <f t="shared" si="1"/>
        <v>68.724002502340483</v>
      </c>
      <c r="F16" s="21">
        <f t="shared" ca="1" si="1"/>
        <v>703.32357464000893</v>
      </c>
      <c r="G16" s="21">
        <f t="shared" si="1"/>
        <v>0</v>
      </c>
      <c r="H16" s="21">
        <f t="shared" si="1"/>
        <v>0</v>
      </c>
      <c r="I16" s="21">
        <f t="shared" si="1"/>
        <v>0</v>
      </c>
      <c r="J16" s="21">
        <f t="shared" si="1"/>
        <v>0</v>
      </c>
      <c r="K16" s="21">
        <f t="shared" si="1"/>
        <v>0</v>
      </c>
      <c r="L16" s="21">
        <f t="shared" ca="1" si="1"/>
        <v>0</v>
      </c>
      <c r="M16" s="21">
        <f t="shared" si="1"/>
        <v>0</v>
      </c>
      <c r="N16" s="21">
        <f t="shared" ca="1" si="1"/>
        <v>163.14536924093139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6.9517437540922322E-2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231.01108149409572</v>
      </c>
      <c r="C20" s="23">
        <f t="shared" ref="C20:P20" ca="1" si="2">C16*C18</f>
        <v>0</v>
      </c>
      <c r="D20" s="23">
        <f t="shared" ca="1" si="2"/>
        <v>778.96971214474479</v>
      </c>
      <c r="E20" s="23">
        <f t="shared" si="2"/>
        <v>15.60034856803129</v>
      </c>
      <c r="F20" s="23">
        <f t="shared" ca="1" si="2"/>
        <v>187.78739442888241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186.887525359477</v>
      </c>
      <c r="C26" s="39">
        <f>IF(ISERROR(B26*3.6/1000000/'E Balans VL '!Z12*100),0,B26*3.6/1000000/'E Balans VL '!Z12*100)</f>
        <v>3.9695836106811528E-3</v>
      </c>
      <c r="D26" s="239" t="s">
        <v>692</v>
      </c>
      <c r="F26" s="6"/>
    </row>
    <row r="27" spans="1:18">
      <c r="A27" s="233" t="s">
        <v>53</v>
      </c>
      <c r="B27" s="33">
        <f>IF(ISERROR(TER_horeca_ele_kWh/1000),0,TER_horeca_ele_kWh/1000)</f>
        <v>658.42598930087195</v>
      </c>
      <c r="C27" s="39">
        <f>IF(ISERROR(B27*3.6/1000000/'E Balans VL '!Z9*100),0,B27*3.6/1000000/'E Balans VL '!Z9*100)</f>
        <v>5.1196630533969625E-2</v>
      </c>
      <c r="D27" s="239" t="s">
        <v>692</v>
      </c>
      <c r="F27" s="6"/>
    </row>
    <row r="28" spans="1:18">
      <c r="A28" s="173" t="s">
        <v>52</v>
      </c>
      <c r="B28" s="33">
        <f>IF(ISERROR(TER_handel_ele_kWh/1000),0,TER_handel_ele_kWh/1000)</f>
        <v>918.56828231515601</v>
      </c>
      <c r="C28" s="39">
        <f>IF(ISERROR(B28*3.6/1000000/'E Balans VL '!Z13*100),0,B28*3.6/1000000/'E Balans VL '!Z13*100)</f>
        <v>2.6281319603762301E-2</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67.382870526603398</v>
      </c>
      <c r="C30" s="39">
        <f>IF(ISERROR(B30*3.6/1000000/'E Balans VL '!Z14*100),0,B30*3.6/1000000/'E Balans VL '!Z14*100)</f>
        <v>4.9309256107185296E-3</v>
      </c>
      <c r="D30" s="239" t="s">
        <v>692</v>
      </c>
      <c r="F30" s="6"/>
    </row>
    <row r="31" spans="1:18">
      <c r="A31" s="233" t="s">
        <v>55</v>
      </c>
      <c r="B31" s="33">
        <f>IF(ISERROR(TER_onderwijs_ele_kWh/1000),0,TER_onderwijs_ele_kWh/1000)</f>
        <v>65.684827662132506</v>
      </c>
      <c r="C31" s="39">
        <f>IF(ISERROR(B31*3.6/1000000/'E Balans VL '!Z11*100),0,B31*3.6/1000000/'E Balans VL '!Z11*100)</f>
        <v>1.3192846412147333E-2</v>
      </c>
      <c r="D31" s="239" t="s">
        <v>692</v>
      </c>
    </row>
    <row r="32" spans="1:18">
      <c r="A32" s="233" t="s">
        <v>260</v>
      </c>
      <c r="B32" s="33">
        <f>IF(ISERROR(TER_rest_ele_kWh/1000),0,TER_rest_ele_kWh/1000)</f>
        <v>1426.11720098819</v>
      </c>
      <c r="C32" s="39">
        <f>IF(ISERROR(B32*3.6/1000000/'E Balans VL '!Z8*100),0,B32*3.6/1000000/'E Balans VL '!Z8*100)</f>
        <v>1.1621989721498126E-2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872.51648520651111</v>
      </c>
      <c r="C5" s="17">
        <f>IF(ISERROR('Eigen informatie GS &amp; warmtenet'!B59),0,'Eigen informatie GS &amp; warmtenet'!B59)</f>
        <v>0</v>
      </c>
      <c r="D5" s="30">
        <f>SUM(D6:D15)</f>
        <v>1045.7272799123386</v>
      </c>
      <c r="E5" s="17">
        <f>SUM(E6:E15)</f>
        <v>94.608029079452137</v>
      </c>
      <c r="F5" s="17">
        <f>SUM(F6:F15)</f>
        <v>916.02476101683612</v>
      </c>
      <c r="G5" s="18"/>
      <c r="H5" s="17"/>
      <c r="I5" s="17"/>
      <c r="J5" s="17">
        <f>SUM(J6:J15)</f>
        <v>0.41183261248734682</v>
      </c>
      <c r="K5" s="17"/>
      <c r="L5" s="17"/>
      <c r="M5" s="17"/>
      <c r="N5" s="17">
        <f>SUM(N6:N15)</f>
        <v>233.98967249591107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45.343504671163203</v>
      </c>
      <c r="C8" s="33"/>
      <c r="D8" s="37">
        <f>IF( ISERROR(IND_metaal_Gas_kWH/1000),0,IND_metaal_Gas_kWH/1000)*0.902</f>
        <v>0</v>
      </c>
      <c r="E8" s="33">
        <f>C30*'E Balans VL '!I18/100/3.6*1000000</f>
        <v>1.3024356527926195</v>
      </c>
      <c r="F8" s="33">
        <f>C30*'E Balans VL '!L18/100/3.6*1000000+C30*'E Balans VL '!N18/100/3.6*1000000</f>
        <v>11.629736867230667</v>
      </c>
      <c r="G8" s="34"/>
      <c r="H8" s="33"/>
      <c r="I8" s="33"/>
      <c r="J8" s="40">
        <f>C30*'E Balans VL '!D18/100/3.6*1000000+C30*'E Balans VL '!E18/100/3.6*1000000</f>
        <v>0</v>
      </c>
      <c r="K8" s="33"/>
      <c r="L8" s="33"/>
      <c r="M8" s="33"/>
      <c r="N8" s="33">
        <f>C30*'E Balans VL '!Y18/100/3.6*1000000</f>
        <v>1.2311687110286922</v>
      </c>
      <c r="O8" s="33"/>
      <c r="P8" s="33"/>
      <c r="R8" s="32"/>
    </row>
    <row r="9" spans="1:18">
      <c r="A9" s="6" t="s">
        <v>33</v>
      </c>
      <c r="B9" s="37">
        <f t="shared" si="0"/>
        <v>158.17452544433399</v>
      </c>
      <c r="C9" s="33"/>
      <c r="D9" s="37">
        <f>IF( ISERROR(IND_andere_gas_kWh/1000),0,IND_andere_gas_kWh/1000)*0.902</f>
        <v>22.8080250697388</v>
      </c>
      <c r="E9" s="33">
        <f>C31*'E Balans VL '!I19/100/3.6*1000000</f>
        <v>42.813954994326622</v>
      </c>
      <c r="F9" s="33">
        <f>C31*'E Balans VL '!L19/100/3.6*1000000+C31*'E Balans VL '!N19/100/3.6*1000000</f>
        <v>105.36097230719892</v>
      </c>
      <c r="G9" s="34"/>
      <c r="H9" s="33"/>
      <c r="I9" s="33"/>
      <c r="J9" s="40">
        <f>C31*'E Balans VL '!D19/100/3.6*1000000+C31*'E Balans VL '!E19/100/3.6*1000000</f>
        <v>0</v>
      </c>
      <c r="K9" s="33"/>
      <c r="L9" s="33"/>
      <c r="M9" s="33"/>
      <c r="N9" s="33">
        <f>C31*'E Balans VL '!Y19/100/3.6*1000000</f>
        <v>51.64135505376418</v>
      </c>
      <c r="O9" s="33"/>
      <c r="P9" s="33"/>
      <c r="R9" s="32"/>
    </row>
    <row r="10" spans="1:18">
      <c r="A10" s="6" t="s">
        <v>41</v>
      </c>
      <c r="B10" s="37">
        <f t="shared" si="0"/>
        <v>510.95579067950899</v>
      </c>
      <c r="C10" s="33"/>
      <c r="D10" s="37">
        <f>IF( ISERROR(IND_voed_gas_kWh/1000),0,IND_voed_gas_kWh/1000)*0.902</f>
        <v>220.12083795213741</v>
      </c>
      <c r="E10" s="33">
        <f>C32*'E Balans VL '!I20/100/3.6*1000000</f>
        <v>41.674728178203623</v>
      </c>
      <c r="F10" s="33">
        <f>C32*'E Balans VL '!L20/100/3.6*1000000+C32*'E Balans VL '!N20/100/3.6*1000000</f>
        <v>761.88144187442379</v>
      </c>
      <c r="G10" s="34"/>
      <c r="H10" s="33"/>
      <c r="I10" s="33"/>
      <c r="J10" s="40">
        <f>C32*'E Balans VL '!D20/100/3.6*1000000+C32*'E Balans VL '!E20/100/3.6*1000000</f>
        <v>6.7593248935625258E-3</v>
      </c>
      <c r="K10" s="33"/>
      <c r="L10" s="33"/>
      <c r="M10" s="33"/>
      <c r="N10" s="33">
        <f>C32*'E Balans VL '!Y20/100/3.6*1000000</f>
        <v>150.1007816158891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158.04266441150497</v>
      </c>
      <c r="C15" s="33"/>
      <c r="D15" s="37">
        <f>IF( ISERROR(IND_rest_gas_kWh/1000),0,IND_rest_gas_kWh/1000)*0.902</f>
        <v>802.79841689046236</v>
      </c>
      <c r="E15" s="33">
        <f>C37*'E Balans VL '!I15/100/3.6*1000000</f>
        <v>8.8169102541292759</v>
      </c>
      <c r="F15" s="33">
        <f>C37*'E Balans VL '!L15/100/3.6*1000000+C37*'E Balans VL '!N15/100/3.6*1000000</f>
        <v>37.152609967982841</v>
      </c>
      <c r="G15" s="34"/>
      <c r="H15" s="33"/>
      <c r="I15" s="33"/>
      <c r="J15" s="40">
        <f>C37*'E Balans VL '!D15/100/3.6*1000000+C37*'E Balans VL '!E15/100/3.6*1000000</f>
        <v>0.4050732875937843</v>
      </c>
      <c r="K15" s="33"/>
      <c r="L15" s="33"/>
      <c r="M15" s="33"/>
      <c r="N15" s="33">
        <f>C37*'E Balans VL '!Y15/100/3.6*1000000</f>
        <v>31.01636711522908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872.51648520651111</v>
      </c>
      <c r="C18" s="21">
        <f>C5+C16</f>
        <v>0</v>
      </c>
      <c r="D18" s="21">
        <f>MAX((D5+D16),0)</f>
        <v>1045.7272799123386</v>
      </c>
      <c r="E18" s="21">
        <f>MAX((E5+E16),0)</f>
        <v>94.608029079452137</v>
      </c>
      <c r="F18" s="21">
        <f>MAX((F5+F16),0)</f>
        <v>916.02476101683612</v>
      </c>
      <c r="G18" s="21"/>
      <c r="H18" s="21"/>
      <c r="I18" s="21"/>
      <c r="J18" s="21">
        <f>MAX((J5+J16),0)</f>
        <v>0.41183261248734682</v>
      </c>
      <c r="K18" s="21"/>
      <c r="L18" s="21">
        <f>MAX((L5+L16),0)</f>
        <v>0</v>
      </c>
      <c r="M18" s="21"/>
      <c r="N18" s="21">
        <f>MAX((N5+N16),0)</f>
        <v>233.98967249591107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6.9517437540922322E-2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60.655110263768712</v>
      </c>
      <c r="C22" s="23">
        <f ca="1">C18*C20</f>
        <v>0</v>
      </c>
      <c r="D22" s="23">
        <f>D18*D20</f>
        <v>211.23691054229241</v>
      </c>
      <c r="E22" s="23">
        <f>E18*E20</f>
        <v>21.476022601035638</v>
      </c>
      <c r="F22" s="23">
        <f>F18*F20</f>
        <v>244.57861119149527</v>
      </c>
      <c r="G22" s="23"/>
      <c r="H22" s="23"/>
      <c r="I22" s="23"/>
      <c r="J22" s="23">
        <f>J18*J20</f>
        <v>0.14578874482052076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45.343504671163203</v>
      </c>
      <c r="C30" s="39">
        <f>IF(ISERROR(B30*3.6/1000000/'E Balans VL '!Z18*100),0,B30*3.6/1000000/'E Balans VL '!Z18*100)</f>
        <v>4.4616851100052705E-3</v>
      </c>
      <c r="D30" s="239" t="s">
        <v>692</v>
      </c>
    </row>
    <row r="31" spans="1:18">
      <c r="A31" s="6" t="s">
        <v>33</v>
      </c>
      <c r="B31" s="37">
        <f>IF( ISERROR(IND_ander_ele_kWh/1000),0,IND_ander_ele_kWh/1000)</f>
        <v>158.17452544433399</v>
      </c>
      <c r="C31" s="39">
        <f>IF(ISERROR(B31*3.6/1000000/'E Balans VL '!Z19*100),0,B31*3.6/1000000/'E Balans VL '!Z19*100)</f>
        <v>6.8883744085247002E-3</v>
      </c>
      <c r="D31" s="239" t="s">
        <v>692</v>
      </c>
    </row>
    <row r="32" spans="1:18">
      <c r="A32" s="173" t="s">
        <v>41</v>
      </c>
      <c r="B32" s="37">
        <f>IF( ISERROR(IND_voed_ele_kWh/1000),0,IND_voed_ele_kWh/1000)</f>
        <v>510.95579067950899</v>
      </c>
      <c r="C32" s="39">
        <f>IF(ISERROR(B32*3.6/1000000/'E Balans VL '!Z20*100),0,B32*3.6/1000000/'E Balans VL '!Z20*100)</f>
        <v>9.6946492497307316E-2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158.04266441150497</v>
      </c>
      <c r="C37" s="39">
        <f>IF(ISERROR(B37*3.6/1000000/'E Balans VL '!Z15*100),0,B37*3.6/1000000/'E Balans VL '!Z15*100)</f>
        <v>1.2179128456954755E-3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2931.4089814898734</v>
      </c>
      <c r="C5" s="17">
        <f>'Eigen informatie GS &amp; warmtenet'!B60</f>
        <v>0</v>
      </c>
      <c r="D5" s="30">
        <f>IF(ISERROR(SUM(LB_lb_gas_kWh,LB_rest_gas_kWh,onbekend_gas_kWh)/1000),0,SUM(LB_lb_gas_kWh,LB_rest_gas_kWh,onbekend_gas_kWh)/1000)*0.902</f>
        <v>394.36308005692052</v>
      </c>
      <c r="E5" s="17">
        <f>B17*'E Balans VL '!I25/3.6*1000000/100</f>
        <v>36.939529589364973</v>
      </c>
      <c r="F5" s="17">
        <f>B17*('E Balans VL '!L25/3.6*1000000+'E Balans VL '!N25/3.6*1000000)/100</f>
        <v>10114.095347969844</v>
      </c>
      <c r="G5" s="18"/>
      <c r="H5" s="17"/>
      <c r="I5" s="17"/>
      <c r="J5" s="17">
        <f>('E Balans VL '!D25+'E Balans VL '!E25)/3.6*1000000*landbouw!B17/100</f>
        <v>440.85058773485633</v>
      </c>
      <c r="K5" s="17"/>
      <c r="L5" s="17">
        <f>L6*(-1)</f>
        <v>0</v>
      </c>
      <c r="M5" s="17"/>
      <c r="N5" s="17">
        <f>N6*(-1)</f>
        <v>21420</v>
      </c>
      <c r="O5" s="17"/>
      <c r="P5" s="17"/>
      <c r="R5" s="32"/>
    </row>
    <row r="6" spans="1:18">
      <c r="A6" s="16" t="s">
        <v>497</v>
      </c>
      <c r="B6" s="17" t="s">
        <v>211</v>
      </c>
      <c r="C6" s="17">
        <f>'lokale energieproductie'!O91+'lokale energieproductie'!O60</f>
        <v>10710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-21420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2931.4089814898734</v>
      </c>
      <c r="C8" s="21">
        <f>C5+C6</f>
        <v>10710</v>
      </c>
      <c r="D8" s="21">
        <f>MAX((D5+D6),0)</f>
        <v>394.36308005692052</v>
      </c>
      <c r="E8" s="21">
        <f>MAX((E5+E6),0)</f>
        <v>36.939529589364973</v>
      </c>
      <c r="F8" s="21">
        <f>MAX((F5+F6),0)</f>
        <v>10114.095347969844</v>
      </c>
      <c r="G8" s="21"/>
      <c r="H8" s="21"/>
      <c r="I8" s="21"/>
      <c r="J8" s="21">
        <f>MAX((J5+J6),0)</f>
        <v>440.85058773485633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6.9517437540922322E-2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203.78404077762099</v>
      </c>
      <c r="C12" s="23">
        <f ca="1">C8*C10</f>
        <v>0</v>
      </c>
      <c r="D12" s="23">
        <f>D8*D10</f>
        <v>79.661342171497949</v>
      </c>
      <c r="E12" s="23">
        <f>E8*E10</f>
        <v>8.3852732167858495</v>
      </c>
      <c r="F12" s="23">
        <f>F8*F10</f>
        <v>2700.4634579079484</v>
      </c>
      <c r="G12" s="23"/>
      <c r="H12" s="23"/>
      <c r="I12" s="23"/>
      <c r="J12" s="23">
        <f>J8*J10</f>
        <v>156.06110805813913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0.40883916026979211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569.82498838977597</v>
      </c>
      <c r="C26" s="249">
        <f>B26*'GWP N2O_CH4'!B5</f>
        <v>11966.324756185295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359.24349738783781</v>
      </c>
      <c r="C27" s="249">
        <f>B27*'GWP N2O_CH4'!B5</f>
        <v>7544.1134451445942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8.4470087261676436</v>
      </c>
      <c r="C28" s="249">
        <f>B28*'GWP N2O_CH4'!B4</f>
        <v>2618.5727051119698</v>
      </c>
      <c r="D28" s="50"/>
    </row>
    <row r="29" spans="1:4">
      <c r="A29" s="41" t="s">
        <v>277</v>
      </c>
      <c r="B29" s="249">
        <f>B34*'ha_N2O bodem landbouw'!B4</f>
        <v>18.834845580255379</v>
      </c>
      <c r="C29" s="249">
        <f>B29*'GWP N2O_CH4'!B4</f>
        <v>5838.8021298791673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4.7028727383599438E-3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7.034545351937292E-6</v>
      </c>
      <c r="C5" s="448" t="s">
        <v>211</v>
      </c>
      <c r="D5" s="433">
        <f>SUM(D6:D11)</f>
        <v>1.0629223685158953E-5</v>
      </c>
      <c r="E5" s="433">
        <f>SUM(E6:E11)</f>
        <v>3.3006013535105948E-4</v>
      </c>
      <c r="F5" s="446" t="s">
        <v>211</v>
      </c>
      <c r="G5" s="433">
        <f>SUM(G6:G11)</f>
        <v>8.4593560953058478E-2</v>
      </c>
      <c r="H5" s="433">
        <f>SUM(H6:H11)</f>
        <v>1.600542850217377E-2</v>
      </c>
      <c r="I5" s="448" t="s">
        <v>211</v>
      </c>
      <c r="J5" s="448" t="s">
        <v>211</v>
      </c>
      <c r="K5" s="448" t="s">
        <v>211</v>
      </c>
      <c r="L5" s="448" t="s">
        <v>211</v>
      </c>
      <c r="M5" s="433">
        <f>SUM(M6:M11)</f>
        <v>4.5481227051507979E-3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6.4319585260453807E-6</v>
      </c>
      <c r="C6" s="949"/>
      <c r="D6" s="949">
        <f>vkm_2011_GW_PW*SUMIFS(TableVerdeelsleutelVkm[CNG],TableVerdeelsleutelVkm[Voertuigtype],"Lichte voertuigen")*SUMIFS(TableECFTransport[EnergieConsumptieFactor (PJ per km)],TableECFTransport[Index],CONCATENATE($A6,"_CNG_CNG"))</f>
        <v>9.1089112392808752E-6</v>
      </c>
      <c r="E6" s="949">
        <f>vkm_2011_GW_PW*SUMIFS(TableVerdeelsleutelVkm[LPG],TableVerdeelsleutelVkm[Voertuigtype],"Lichte voertuigen")*SUMIFS(TableECFTransport[EnergieConsumptieFactor (PJ per km)],TableECFTransport[Index],CONCATENATE($A6,"_LPG_LPG"))</f>
        <v>2.8608091469834097E-4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5.1416573850122882E-2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1.377748469187294E-2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2.9495875213622243E-3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2.5663264155511328E-2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9.1178917094888505E-6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1.1581018927091617E-3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6.0258682589191163E-7</v>
      </c>
      <c r="C8" s="949"/>
      <c r="D8" s="436">
        <f>vkm_2011_NGW_PW*SUMIFS(TableVerdeelsleutelVkm[CNG],TableVerdeelsleutelVkm[Voertuigtype],"Lichte voertuigen")*SUMIFS(TableECFTransport[EnergieConsumptieFactor (PJ per km)],TableECFTransport[Index],CONCATENATE($A8,"_CNG_CNG"))</f>
        <v>1.5203124458780778E-6</v>
      </c>
      <c r="E8" s="436">
        <f>vkm_2011_NGW_PW*SUMIFS(TableVerdeelsleutelVkm[LPG],TableVerdeelsleutelVkm[Voertuigtype],"Lichte voertuigen")*SUMIFS(TableECFTransport[EnergieConsumptieFactor (PJ per km)],TableECFTransport[Index],CONCATENATE($A8,"_LPG_LPG"))</f>
        <v>4.3979220652718516E-5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7.4549043669887901E-3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2.2188061433507399E-3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4.3777904602835665E-4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5.8818580435484011E-5</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1.9775240600611386E-8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2.6542450510557305E-6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1.9540403755381368</v>
      </c>
      <c r="C14" s="21"/>
      <c r="D14" s="21">
        <f t="shared" ref="D14:M14" si="0">((D5)*10^9/3600)+D12</f>
        <v>2.9525621347663757</v>
      </c>
      <c r="E14" s="21">
        <f t="shared" si="0"/>
        <v>91.683370930849861</v>
      </c>
      <c r="F14" s="21"/>
      <c r="G14" s="21">
        <f t="shared" si="0"/>
        <v>23498.21137584958</v>
      </c>
      <c r="H14" s="21">
        <f t="shared" si="0"/>
        <v>4445.9523617149362</v>
      </c>
      <c r="I14" s="21"/>
      <c r="J14" s="21"/>
      <c r="K14" s="21"/>
      <c r="L14" s="21"/>
      <c r="M14" s="21">
        <f t="shared" si="0"/>
        <v>1263.367418097444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6.9517437540922322E-2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0.13583987975891282</v>
      </c>
      <c r="C18" s="23"/>
      <c r="D18" s="23">
        <f t="shared" ref="D18:M18" si="1">D14*D16</f>
        <v>0.59641755122280793</v>
      </c>
      <c r="E18" s="23">
        <f t="shared" si="1"/>
        <v>20.812125201302919</v>
      </c>
      <c r="F18" s="23"/>
      <c r="G18" s="23">
        <f t="shared" si="1"/>
        <v>6274.0224373518386</v>
      </c>
      <c r="H18" s="23">
        <f t="shared" si="1"/>
        <v>1107.0421380670191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7.0723266937595215E-4</v>
      </c>
      <c r="H50" s="323">
        <f t="shared" si="2"/>
        <v>0</v>
      </c>
      <c r="I50" s="323">
        <f t="shared" si="2"/>
        <v>0</v>
      </c>
      <c r="J50" s="323">
        <f t="shared" si="2"/>
        <v>0</v>
      </c>
      <c r="K50" s="323">
        <f t="shared" si="2"/>
        <v>0</v>
      </c>
      <c r="L50" s="323">
        <f t="shared" si="2"/>
        <v>0</v>
      </c>
      <c r="M50" s="323">
        <f t="shared" si="2"/>
        <v>3.1452366639117947E-5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7.0723266937595215E-4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3.1452366639117947E-5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196.4535192710978</v>
      </c>
      <c r="H54" s="21">
        <f t="shared" si="3"/>
        <v>0</v>
      </c>
      <c r="I54" s="21">
        <f t="shared" si="3"/>
        <v>0</v>
      </c>
      <c r="J54" s="21">
        <f t="shared" si="3"/>
        <v>0</v>
      </c>
      <c r="K54" s="21">
        <f t="shared" si="3"/>
        <v>0</v>
      </c>
      <c r="L54" s="21">
        <f t="shared" si="3"/>
        <v>0</v>
      </c>
      <c r="M54" s="21">
        <f t="shared" si="3"/>
        <v>8.7367685108660957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6.9517437540922322E-2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52.453089645383116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2057.3493002569776</v>
      </c>
      <c r="C6" s="1251"/>
      <c r="D6" s="1236"/>
      <c r="E6" s="1236"/>
      <c r="F6" s="1254"/>
      <c r="G6" s="1257"/>
      <c r="H6" s="1248"/>
      <c r="I6" s="1236"/>
      <c r="J6" s="1236"/>
      <c r="K6" s="1236"/>
      <c r="L6" s="1240"/>
      <c r="M6" s="561"/>
      <c r="N6" s="1214"/>
      <c r="O6" s="1215"/>
      <c r="Q6" s="559"/>
      <c r="R6" s="1202"/>
      <c r="S6" s="1202"/>
    </row>
    <row r="7" spans="1:19" s="549" customFormat="1">
      <c r="A7" s="562" t="s">
        <v>252</v>
      </c>
      <c r="B7" s="563">
        <f>N57</f>
        <v>7497</v>
      </c>
      <c r="C7" s="564">
        <f>B100</f>
        <v>0</v>
      </c>
      <c r="D7" s="565"/>
      <c r="E7" s="565">
        <f>E100</f>
        <v>0</v>
      </c>
      <c r="F7" s="566"/>
      <c r="G7" s="567"/>
      <c r="H7" s="565">
        <f>I100</f>
        <v>0</v>
      </c>
      <c r="I7" s="565">
        <f>G100+F100</f>
        <v>0</v>
      </c>
      <c r="J7" s="565">
        <f>H100+D100+C100</f>
        <v>8820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9554.3493002569776</v>
      </c>
      <c r="C9" s="580">
        <f t="shared" ref="C9:L9" si="0">SUM(C7:C8)</f>
        <v>0</v>
      </c>
      <c r="D9" s="580">
        <f t="shared" si="0"/>
        <v>0</v>
      </c>
      <c r="E9" s="580">
        <f t="shared" si="0"/>
        <v>0</v>
      </c>
      <c r="F9" s="580">
        <f t="shared" si="0"/>
        <v>0</v>
      </c>
      <c r="G9" s="580">
        <f t="shared" si="0"/>
        <v>0</v>
      </c>
      <c r="H9" s="580">
        <f t="shared" si="0"/>
        <v>0</v>
      </c>
      <c r="I9" s="580">
        <f t="shared" si="0"/>
        <v>0</v>
      </c>
      <c r="J9" s="580">
        <f t="shared" si="0"/>
        <v>8820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10710</v>
      </c>
      <c r="C16" s="596">
        <f>B101</f>
        <v>0</v>
      </c>
      <c r="D16" s="597"/>
      <c r="E16" s="597">
        <f>E101</f>
        <v>0</v>
      </c>
      <c r="F16" s="598"/>
      <c r="G16" s="599"/>
      <c r="H16" s="596">
        <f>I101</f>
        <v>0</v>
      </c>
      <c r="I16" s="597">
        <f>G101+F101</f>
        <v>0</v>
      </c>
      <c r="J16" s="597">
        <f>H101+D101+C101</f>
        <v>12600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10710</v>
      </c>
      <c r="C19" s="579">
        <f>SUM(C16:C18)</f>
        <v>0</v>
      </c>
      <c r="D19" s="579">
        <f t="shared" ref="D19:M19" si="1">SUM(D16:D18)</f>
        <v>0</v>
      </c>
      <c r="E19" s="579">
        <f t="shared" si="1"/>
        <v>0</v>
      </c>
      <c r="F19" s="579">
        <f t="shared" si="1"/>
        <v>0</v>
      </c>
      <c r="G19" s="579">
        <f t="shared" si="1"/>
        <v>0</v>
      </c>
      <c r="H19" s="579">
        <f t="shared" si="1"/>
        <v>0</v>
      </c>
      <c r="I19" s="579">
        <f t="shared" si="1"/>
        <v>0</v>
      </c>
      <c r="J19" s="579">
        <f t="shared" si="1"/>
        <v>12600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33041</v>
      </c>
      <c r="C27" s="839">
        <v>8640</v>
      </c>
      <c r="D27" s="658" t="s">
        <v>878</v>
      </c>
      <c r="E27" s="657" t="s">
        <v>879</v>
      </c>
      <c r="F27" s="657" t="s">
        <v>880</v>
      </c>
      <c r="G27" s="657" t="s">
        <v>881</v>
      </c>
      <c r="H27" s="657" t="s">
        <v>882</v>
      </c>
      <c r="I27" s="657" t="s">
        <v>879</v>
      </c>
      <c r="J27" s="838">
        <v>39847</v>
      </c>
      <c r="K27" s="838">
        <v>39847</v>
      </c>
      <c r="L27" s="657" t="s">
        <v>883</v>
      </c>
      <c r="M27" s="657">
        <v>1666</v>
      </c>
      <c r="N27" s="657">
        <v>7497</v>
      </c>
      <c r="O27" s="657">
        <v>10710</v>
      </c>
      <c r="P27" s="657">
        <v>0</v>
      </c>
      <c r="Q27" s="657">
        <v>21420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1666</v>
      </c>
      <c r="N57" s="615">
        <f>SUM(N27:N56)</f>
        <v>7497</v>
      </c>
      <c r="O57" s="615">
        <f t="shared" ref="O57:W57" si="2">SUM(O27:O56)</f>
        <v>10710</v>
      </c>
      <c r="P57" s="615">
        <f t="shared" si="2"/>
        <v>0</v>
      </c>
      <c r="Q57" s="615">
        <f t="shared" si="2"/>
        <v>21420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1666</v>
      </c>
      <c r="N60" s="620">
        <f t="shared" ref="N60:W60" si="4">SUMIF($Z$27:$Z$56,"landbouw",N27:N56)</f>
        <v>7497</v>
      </c>
      <c r="O60" s="620">
        <f t="shared" si="4"/>
        <v>10710</v>
      </c>
      <c r="P60" s="620">
        <f t="shared" si="4"/>
        <v>0</v>
      </c>
      <c r="Q60" s="620">
        <f t="shared" si="4"/>
        <v>21420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8820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12600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3592.967696152431</v>
      </c>
      <c r="D10" s="704">
        <f ca="1">tertiair!C16</f>
        <v>0</v>
      </c>
      <c r="E10" s="704">
        <f ca="1">tertiair!D16</f>
        <v>3856.2857036868554</v>
      </c>
      <c r="F10" s="704">
        <f>tertiair!E16</f>
        <v>68.724002502340483</v>
      </c>
      <c r="G10" s="704">
        <f ca="1">tertiair!F16</f>
        <v>703.32357464000893</v>
      </c>
      <c r="H10" s="704">
        <f>tertiair!G16</f>
        <v>0</v>
      </c>
      <c r="I10" s="704">
        <f>tertiair!H16</f>
        <v>0</v>
      </c>
      <c r="J10" s="704">
        <f>tertiair!I16</f>
        <v>0</v>
      </c>
      <c r="K10" s="704">
        <f>tertiair!J16</f>
        <v>0</v>
      </c>
      <c r="L10" s="704">
        <f>tertiair!K16</f>
        <v>0</v>
      </c>
      <c r="M10" s="704">
        <f ca="1">tertiair!L16</f>
        <v>0</v>
      </c>
      <c r="N10" s="704">
        <f>tertiair!M16</f>
        <v>0</v>
      </c>
      <c r="O10" s="704">
        <f ca="1">tertiair!N16</f>
        <v>163.14536924093139</v>
      </c>
      <c r="P10" s="704">
        <f>tertiair!O16</f>
        <v>1.5633333333333335</v>
      </c>
      <c r="Q10" s="705">
        <f>tertiair!P16</f>
        <v>19.066666666666666</v>
      </c>
      <c r="R10" s="707">
        <f ca="1">SUM(C10:Q10)</f>
        <v>8405.0763462225696</v>
      </c>
      <c r="S10" s="67"/>
    </row>
    <row r="11" spans="1:19" s="459" customFormat="1">
      <c r="A11" s="858" t="s">
        <v>225</v>
      </c>
      <c r="B11" s="863"/>
      <c r="C11" s="704">
        <f>huishoudens!B8</f>
        <v>6540.1247885334888</v>
      </c>
      <c r="D11" s="704">
        <f>huishoudens!C8</f>
        <v>0</v>
      </c>
      <c r="E11" s="704">
        <f>huishoudens!D8</f>
        <v>9187.7733563707752</v>
      </c>
      <c r="F11" s="704">
        <f>huishoudens!E8</f>
        <v>2712.7058085119825</v>
      </c>
      <c r="G11" s="704">
        <f>huishoudens!F8</f>
        <v>9032.4732903315653</v>
      </c>
      <c r="H11" s="704">
        <f>huishoudens!G8</f>
        <v>0</v>
      </c>
      <c r="I11" s="704">
        <f>huishoudens!H8</f>
        <v>0</v>
      </c>
      <c r="J11" s="704">
        <f>huishoudens!I8</f>
        <v>0</v>
      </c>
      <c r="K11" s="704">
        <f>huishoudens!J8</f>
        <v>4100.8539145379236</v>
      </c>
      <c r="L11" s="704">
        <f>huishoudens!K8</f>
        <v>0</v>
      </c>
      <c r="M11" s="704">
        <f>huishoudens!L8</f>
        <v>0</v>
      </c>
      <c r="N11" s="704">
        <f>huishoudens!M8</f>
        <v>0</v>
      </c>
      <c r="O11" s="704">
        <f>huishoudens!N8</f>
        <v>7474.1441047924109</v>
      </c>
      <c r="P11" s="704">
        <f>huishoudens!O8</f>
        <v>73.476666666666674</v>
      </c>
      <c r="Q11" s="705">
        <f>huishoudens!P8</f>
        <v>76.266666666666666</v>
      </c>
      <c r="R11" s="707">
        <f>SUM(C11:Q11)</f>
        <v>39197.818596411489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872.51648520651111</v>
      </c>
      <c r="D13" s="704">
        <f>industrie!C18</f>
        <v>0</v>
      </c>
      <c r="E13" s="704">
        <f>industrie!D18</f>
        <v>1045.7272799123386</v>
      </c>
      <c r="F13" s="704">
        <f>industrie!E18</f>
        <v>94.608029079452137</v>
      </c>
      <c r="G13" s="704">
        <f>industrie!F18</f>
        <v>916.02476101683612</v>
      </c>
      <c r="H13" s="704">
        <f>industrie!G18</f>
        <v>0</v>
      </c>
      <c r="I13" s="704">
        <f>industrie!H18</f>
        <v>0</v>
      </c>
      <c r="J13" s="704">
        <f>industrie!I18</f>
        <v>0</v>
      </c>
      <c r="K13" s="704">
        <f>industrie!J18</f>
        <v>0.41183261248734682</v>
      </c>
      <c r="L13" s="704">
        <f>industrie!K18</f>
        <v>0</v>
      </c>
      <c r="M13" s="704">
        <f>industrie!L18</f>
        <v>0</v>
      </c>
      <c r="N13" s="704">
        <f>industrie!M18</f>
        <v>0</v>
      </c>
      <c r="O13" s="704">
        <f>industrie!N18</f>
        <v>233.98967249591107</v>
      </c>
      <c r="P13" s="704">
        <f>industrie!O18</f>
        <v>0</v>
      </c>
      <c r="Q13" s="705">
        <f>industrie!P18</f>
        <v>0</v>
      </c>
      <c r="R13" s="707">
        <f>SUM(C13:Q13)</f>
        <v>3163.2780603235365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11005.608969892432</v>
      </c>
      <c r="D15" s="709">
        <f t="shared" ref="D15:Q15" ca="1" si="0">SUM(D9:D14)</f>
        <v>0</v>
      </c>
      <c r="E15" s="709">
        <f t="shared" ca="1" si="0"/>
        <v>14089.786339969969</v>
      </c>
      <c r="F15" s="709">
        <f t="shared" si="0"/>
        <v>2876.0378400937752</v>
      </c>
      <c r="G15" s="709">
        <f t="shared" ca="1" si="0"/>
        <v>10651.82162598841</v>
      </c>
      <c r="H15" s="709">
        <f t="shared" si="0"/>
        <v>0</v>
      </c>
      <c r="I15" s="709">
        <f t="shared" si="0"/>
        <v>0</v>
      </c>
      <c r="J15" s="709">
        <f t="shared" si="0"/>
        <v>0</v>
      </c>
      <c r="K15" s="709">
        <f t="shared" si="0"/>
        <v>4101.2657471504108</v>
      </c>
      <c r="L15" s="709">
        <f t="shared" si="0"/>
        <v>0</v>
      </c>
      <c r="M15" s="709">
        <f t="shared" ca="1" si="0"/>
        <v>0</v>
      </c>
      <c r="N15" s="709">
        <f t="shared" si="0"/>
        <v>0</v>
      </c>
      <c r="O15" s="709">
        <f t="shared" ca="1" si="0"/>
        <v>7871.279146529253</v>
      </c>
      <c r="P15" s="709">
        <f t="shared" si="0"/>
        <v>75.040000000000006</v>
      </c>
      <c r="Q15" s="710">
        <f t="shared" si="0"/>
        <v>95.333333333333329</v>
      </c>
      <c r="R15" s="711">
        <f ca="1">SUM(R9:R14)</f>
        <v>50766.173002957592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196.4535192710978</v>
      </c>
      <c r="I18" s="704">
        <f>transport!H54</f>
        <v>0</v>
      </c>
      <c r="J18" s="704">
        <f>transport!I54</f>
        <v>0</v>
      </c>
      <c r="K18" s="704">
        <f>transport!J54</f>
        <v>0</v>
      </c>
      <c r="L18" s="704">
        <f>transport!K54</f>
        <v>0</v>
      </c>
      <c r="M18" s="704">
        <f>transport!L54</f>
        <v>0</v>
      </c>
      <c r="N18" s="704">
        <f>transport!M54</f>
        <v>8.7367685108660957</v>
      </c>
      <c r="O18" s="704">
        <f>transport!N54</f>
        <v>0</v>
      </c>
      <c r="P18" s="704">
        <f>transport!O54</f>
        <v>0</v>
      </c>
      <c r="Q18" s="705">
        <f>transport!P54</f>
        <v>0</v>
      </c>
      <c r="R18" s="707">
        <f>SUM(C18:Q18)</f>
        <v>205.19028778196389</v>
      </c>
      <c r="S18" s="67"/>
    </row>
    <row r="19" spans="1:19" s="459" customFormat="1" ht="15" thickBot="1">
      <c r="A19" s="858" t="s">
        <v>307</v>
      </c>
      <c r="B19" s="863"/>
      <c r="C19" s="713">
        <f>transport!B14</f>
        <v>1.9540403755381368</v>
      </c>
      <c r="D19" s="713">
        <f>transport!C14</f>
        <v>0</v>
      </c>
      <c r="E19" s="713">
        <f>transport!D14</f>
        <v>2.9525621347663757</v>
      </c>
      <c r="F19" s="713">
        <f>transport!E14</f>
        <v>91.683370930849861</v>
      </c>
      <c r="G19" s="713">
        <f>transport!F14</f>
        <v>0</v>
      </c>
      <c r="H19" s="713">
        <f>transport!G14</f>
        <v>23498.21137584958</v>
      </c>
      <c r="I19" s="713">
        <f>transport!H14</f>
        <v>4445.9523617149362</v>
      </c>
      <c r="J19" s="713">
        <f>transport!I14</f>
        <v>0</v>
      </c>
      <c r="K19" s="713">
        <f>transport!J14</f>
        <v>0</v>
      </c>
      <c r="L19" s="713">
        <f>transport!K14</f>
        <v>0</v>
      </c>
      <c r="M19" s="713">
        <f>transport!L14</f>
        <v>0</v>
      </c>
      <c r="N19" s="713">
        <f>transport!M14</f>
        <v>1263.367418097444</v>
      </c>
      <c r="O19" s="713">
        <f>transport!N14</f>
        <v>0</v>
      </c>
      <c r="P19" s="713">
        <f>transport!O14</f>
        <v>0</v>
      </c>
      <c r="Q19" s="714">
        <f>transport!P14</f>
        <v>0</v>
      </c>
      <c r="R19" s="715">
        <f>SUM(C19:Q19)</f>
        <v>29304.121129103114</v>
      </c>
      <c r="S19" s="67"/>
    </row>
    <row r="20" spans="1:19" s="459" customFormat="1" ht="15.75" thickBot="1">
      <c r="A20" s="716" t="s">
        <v>230</v>
      </c>
      <c r="B20" s="866"/>
      <c r="C20" s="861">
        <f>SUM(C17:C19)</f>
        <v>1.9540403755381368</v>
      </c>
      <c r="D20" s="717">
        <f t="shared" ref="D20:R20" si="1">SUM(D17:D19)</f>
        <v>0</v>
      </c>
      <c r="E20" s="717">
        <f t="shared" si="1"/>
        <v>2.9525621347663757</v>
      </c>
      <c r="F20" s="717">
        <f t="shared" si="1"/>
        <v>91.683370930849861</v>
      </c>
      <c r="G20" s="717">
        <f t="shared" si="1"/>
        <v>0</v>
      </c>
      <c r="H20" s="717">
        <f t="shared" si="1"/>
        <v>23694.664895120677</v>
      </c>
      <c r="I20" s="717">
        <f t="shared" si="1"/>
        <v>4445.9523617149362</v>
      </c>
      <c r="J20" s="717">
        <f t="shared" si="1"/>
        <v>0</v>
      </c>
      <c r="K20" s="717">
        <f t="shared" si="1"/>
        <v>0</v>
      </c>
      <c r="L20" s="717">
        <f t="shared" si="1"/>
        <v>0</v>
      </c>
      <c r="M20" s="717">
        <f t="shared" si="1"/>
        <v>0</v>
      </c>
      <c r="N20" s="717">
        <f t="shared" si="1"/>
        <v>1272.1041866083101</v>
      </c>
      <c r="O20" s="717">
        <f t="shared" si="1"/>
        <v>0</v>
      </c>
      <c r="P20" s="717">
        <f t="shared" si="1"/>
        <v>0</v>
      </c>
      <c r="Q20" s="718">
        <f t="shared" si="1"/>
        <v>0</v>
      </c>
      <c r="R20" s="719">
        <f t="shared" si="1"/>
        <v>29509.311416885077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2931.4089814898734</v>
      </c>
      <c r="D22" s="713">
        <f>+landbouw!C8</f>
        <v>10710</v>
      </c>
      <c r="E22" s="713">
        <f>+landbouw!D8</f>
        <v>394.36308005692052</v>
      </c>
      <c r="F22" s="713">
        <f>+landbouw!E8</f>
        <v>36.939529589364973</v>
      </c>
      <c r="G22" s="713">
        <f>+landbouw!F8</f>
        <v>10114.095347969844</v>
      </c>
      <c r="H22" s="713">
        <f>+landbouw!G8</f>
        <v>0</v>
      </c>
      <c r="I22" s="713">
        <f>+landbouw!H8</f>
        <v>0</v>
      </c>
      <c r="J22" s="713">
        <f>+landbouw!I8</f>
        <v>0</v>
      </c>
      <c r="K22" s="713">
        <f>+landbouw!J8</f>
        <v>440.85058773485633</v>
      </c>
      <c r="L22" s="713">
        <f>+landbouw!K8</f>
        <v>0</v>
      </c>
      <c r="M22" s="713">
        <f>+landbouw!L8</f>
        <v>0</v>
      </c>
      <c r="N22" s="713">
        <f>+landbouw!M8</f>
        <v>0</v>
      </c>
      <c r="O22" s="713">
        <f>+landbouw!N8</f>
        <v>0</v>
      </c>
      <c r="P22" s="713">
        <f>+landbouw!O8</f>
        <v>0</v>
      </c>
      <c r="Q22" s="714">
        <f>+landbouw!P8</f>
        <v>0</v>
      </c>
      <c r="R22" s="715">
        <f>SUM(C22:Q22)</f>
        <v>24627.65752684086</v>
      </c>
      <c r="S22" s="67"/>
    </row>
    <row r="23" spans="1:19" s="459" customFormat="1" ht="17.25" thickTop="1" thickBot="1">
      <c r="A23" s="720" t="s">
        <v>116</v>
      </c>
      <c r="B23" s="852"/>
      <c r="C23" s="721">
        <f ca="1">C20+C15+C22</f>
        <v>13938.971991757844</v>
      </c>
      <c r="D23" s="721">
        <f t="shared" ref="D23:Q23" ca="1" si="2">D20+D15+D22</f>
        <v>10710</v>
      </c>
      <c r="E23" s="721">
        <f t="shared" ca="1" si="2"/>
        <v>14487.101982161656</v>
      </c>
      <c r="F23" s="721">
        <f t="shared" si="2"/>
        <v>3004.6607406139901</v>
      </c>
      <c r="G23" s="721">
        <f t="shared" ca="1" si="2"/>
        <v>20765.916973958254</v>
      </c>
      <c r="H23" s="721">
        <f t="shared" si="2"/>
        <v>23694.664895120677</v>
      </c>
      <c r="I23" s="721">
        <f t="shared" si="2"/>
        <v>4445.9523617149362</v>
      </c>
      <c r="J23" s="721">
        <f t="shared" si="2"/>
        <v>0</v>
      </c>
      <c r="K23" s="721">
        <f t="shared" si="2"/>
        <v>4542.116334885267</v>
      </c>
      <c r="L23" s="721">
        <f t="shared" si="2"/>
        <v>0</v>
      </c>
      <c r="M23" s="721">
        <f t="shared" ca="1" si="2"/>
        <v>0</v>
      </c>
      <c r="N23" s="721">
        <f t="shared" si="2"/>
        <v>1272.1041866083101</v>
      </c>
      <c r="O23" s="721">
        <f t="shared" ca="1" si="2"/>
        <v>7871.279146529253</v>
      </c>
      <c r="P23" s="721">
        <f t="shared" si="2"/>
        <v>75.040000000000006</v>
      </c>
      <c r="Q23" s="722">
        <f t="shared" si="2"/>
        <v>95.333333333333329</v>
      </c>
      <c r="R23" s="723">
        <f ca="1">R20+R15+R22</f>
        <v>104903.14194668354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249.77390740382819</v>
      </c>
      <c r="D36" s="704">
        <f ca="1">tertiair!C20</f>
        <v>0</v>
      </c>
      <c r="E36" s="704">
        <f ca="1">tertiair!D20</f>
        <v>778.96971214474479</v>
      </c>
      <c r="F36" s="704">
        <f>tertiair!E20</f>
        <v>15.60034856803129</v>
      </c>
      <c r="G36" s="704">
        <f ca="1">tertiair!F20</f>
        <v>187.78739442888241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1232.1313625454866</v>
      </c>
    </row>
    <row r="37" spans="1:18">
      <c r="A37" s="873" t="s">
        <v>225</v>
      </c>
      <c r="B37" s="880"/>
      <c r="C37" s="704">
        <f ca="1">huishoudens!B12</f>
        <v>454.65271649671462</v>
      </c>
      <c r="D37" s="704">
        <f ca="1">huishoudens!C12</f>
        <v>0</v>
      </c>
      <c r="E37" s="704">
        <f>huishoudens!D12</f>
        <v>1855.9302179868967</v>
      </c>
      <c r="F37" s="704">
        <f>huishoudens!E12</f>
        <v>615.78421853222005</v>
      </c>
      <c r="G37" s="704">
        <f>huishoudens!F12</f>
        <v>2411.670368518528</v>
      </c>
      <c r="H37" s="704">
        <f>huishoudens!G12</f>
        <v>0</v>
      </c>
      <c r="I37" s="704">
        <f>huishoudens!H12</f>
        <v>0</v>
      </c>
      <c r="J37" s="704">
        <f>huishoudens!I12</f>
        <v>0</v>
      </c>
      <c r="K37" s="704">
        <f>huishoudens!J12</f>
        <v>1451.7022857464249</v>
      </c>
      <c r="L37" s="704">
        <f>huishoudens!K12</f>
        <v>0</v>
      </c>
      <c r="M37" s="704">
        <f>huishoudens!L12</f>
        <v>0</v>
      </c>
      <c r="N37" s="704">
        <f>huishoudens!M12</f>
        <v>0</v>
      </c>
      <c r="O37" s="704">
        <f>huishoudens!N12</f>
        <v>0</v>
      </c>
      <c r="P37" s="704">
        <f>huishoudens!O12</f>
        <v>0</v>
      </c>
      <c r="Q37" s="814">
        <f>huishoudens!P12</f>
        <v>0</v>
      </c>
      <c r="R37" s="905">
        <f ca="1">SUM(C37:Q37)</f>
        <v>6789.7398072807846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60.655110263768712</v>
      </c>
      <c r="D39" s="704">
        <f ca="1">industrie!C22</f>
        <v>0</v>
      </c>
      <c r="E39" s="704">
        <f>industrie!D22</f>
        <v>211.23691054229241</v>
      </c>
      <c r="F39" s="704">
        <f>industrie!E22</f>
        <v>21.476022601035638</v>
      </c>
      <c r="G39" s="704">
        <f>industrie!F22</f>
        <v>244.57861119149527</v>
      </c>
      <c r="H39" s="704">
        <f>industrie!G22</f>
        <v>0</v>
      </c>
      <c r="I39" s="704">
        <f>industrie!H22</f>
        <v>0</v>
      </c>
      <c r="J39" s="704">
        <f>industrie!I22</f>
        <v>0</v>
      </c>
      <c r="K39" s="704">
        <f>industrie!J22</f>
        <v>0.14578874482052076</v>
      </c>
      <c r="L39" s="704">
        <f>industrie!K22</f>
        <v>0</v>
      </c>
      <c r="M39" s="704">
        <f>industrie!L22</f>
        <v>0</v>
      </c>
      <c r="N39" s="704">
        <f>industrie!M22</f>
        <v>0</v>
      </c>
      <c r="O39" s="704">
        <f>industrie!N22</f>
        <v>0</v>
      </c>
      <c r="P39" s="704">
        <f>industrie!O22</f>
        <v>0</v>
      </c>
      <c r="Q39" s="814">
        <f>industrie!P22</f>
        <v>0</v>
      </c>
      <c r="R39" s="906">
        <f ca="1">SUM(C39:Q39)</f>
        <v>538.09244334341247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765.08173416431157</v>
      </c>
      <c r="D41" s="749">
        <f t="shared" ref="D41:R41" ca="1" si="4">SUM(D35:D40)</f>
        <v>0</v>
      </c>
      <c r="E41" s="749">
        <f t="shared" ca="1" si="4"/>
        <v>2846.1368406739339</v>
      </c>
      <c r="F41" s="749">
        <f t="shared" si="4"/>
        <v>652.86058970128704</v>
      </c>
      <c r="G41" s="749">
        <f t="shared" ca="1" si="4"/>
        <v>2844.036374138906</v>
      </c>
      <c r="H41" s="749">
        <f t="shared" si="4"/>
        <v>0</v>
      </c>
      <c r="I41" s="749">
        <f t="shared" si="4"/>
        <v>0</v>
      </c>
      <c r="J41" s="749">
        <f t="shared" si="4"/>
        <v>0</v>
      </c>
      <c r="K41" s="749">
        <f t="shared" si="4"/>
        <v>1451.8480744912454</v>
      </c>
      <c r="L41" s="749">
        <f t="shared" si="4"/>
        <v>0</v>
      </c>
      <c r="M41" s="749">
        <f t="shared" ca="1" si="4"/>
        <v>0</v>
      </c>
      <c r="N41" s="749">
        <f t="shared" si="4"/>
        <v>0</v>
      </c>
      <c r="O41" s="749">
        <f t="shared" ca="1" si="4"/>
        <v>0</v>
      </c>
      <c r="P41" s="749">
        <f t="shared" si="4"/>
        <v>0</v>
      </c>
      <c r="Q41" s="750">
        <f t="shared" si="4"/>
        <v>0</v>
      </c>
      <c r="R41" s="751">
        <f t="shared" ca="1" si="4"/>
        <v>8559.9636131696843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52.453089645383116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52.453089645383116</v>
      </c>
    </row>
    <row r="45" spans="1:18" ht="15" thickBot="1">
      <c r="A45" s="876" t="s">
        <v>307</v>
      </c>
      <c r="B45" s="886"/>
      <c r="C45" s="713">
        <f ca="1">transport!B18</f>
        <v>0.13583987975891282</v>
      </c>
      <c r="D45" s="713">
        <f>transport!C18</f>
        <v>0</v>
      </c>
      <c r="E45" s="713">
        <f>transport!D18</f>
        <v>0.59641755122280793</v>
      </c>
      <c r="F45" s="713">
        <f>transport!E18</f>
        <v>20.812125201302919</v>
      </c>
      <c r="G45" s="713">
        <f>transport!F18</f>
        <v>0</v>
      </c>
      <c r="H45" s="713">
        <f>transport!G18</f>
        <v>6274.0224373518386</v>
      </c>
      <c r="I45" s="713">
        <f>transport!H18</f>
        <v>1107.0421380670191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7402.6089580511416</v>
      </c>
    </row>
    <row r="46" spans="1:18" ht="15.75" thickBot="1">
      <c r="A46" s="874" t="s">
        <v>230</v>
      </c>
      <c r="B46" s="887"/>
      <c r="C46" s="749">
        <f t="shared" ref="C46:R46" ca="1" si="5">SUM(C43:C45)</f>
        <v>0.13583987975891282</v>
      </c>
      <c r="D46" s="749">
        <f t="shared" ca="1" si="5"/>
        <v>0</v>
      </c>
      <c r="E46" s="749">
        <f t="shared" si="5"/>
        <v>0.59641755122280793</v>
      </c>
      <c r="F46" s="749">
        <f t="shared" si="5"/>
        <v>20.812125201302919</v>
      </c>
      <c r="G46" s="749">
        <f t="shared" si="5"/>
        <v>0</v>
      </c>
      <c r="H46" s="749">
        <f t="shared" si="5"/>
        <v>6326.475526997222</v>
      </c>
      <c r="I46" s="749">
        <f t="shared" si="5"/>
        <v>1107.0421380670191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7455.062047696525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203.78404077762099</v>
      </c>
      <c r="D48" s="704">
        <f ca="1">+landbouw!C12</f>
        <v>0</v>
      </c>
      <c r="E48" s="704">
        <f>+landbouw!D12</f>
        <v>79.661342171497949</v>
      </c>
      <c r="F48" s="704">
        <f>+landbouw!E12</f>
        <v>8.3852732167858495</v>
      </c>
      <c r="G48" s="704">
        <f>+landbouw!F12</f>
        <v>2700.4634579079484</v>
      </c>
      <c r="H48" s="704">
        <f>+landbouw!G12</f>
        <v>0</v>
      </c>
      <c r="I48" s="704">
        <f>+landbouw!H12</f>
        <v>0</v>
      </c>
      <c r="J48" s="704">
        <f>+landbouw!I12</f>
        <v>0</v>
      </c>
      <c r="K48" s="704">
        <f>+landbouw!J12</f>
        <v>156.06110805813913</v>
      </c>
      <c r="L48" s="704">
        <f>+landbouw!K12</f>
        <v>0</v>
      </c>
      <c r="M48" s="704">
        <f>+landbouw!L12</f>
        <v>0</v>
      </c>
      <c r="N48" s="704">
        <f>+landbouw!M12</f>
        <v>0</v>
      </c>
      <c r="O48" s="704">
        <f>+landbouw!N12</f>
        <v>0</v>
      </c>
      <c r="P48" s="704">
        <f>+landbouw!O12</f>
        <v>0</v>
      </c>
      <c r="Q48" s="705">
        <f>+landbouw!P12</f>
        <v>0</v>
      </c>
      <c r="R48" s="747">
        <f ca="1">SUM(C48:Q48)</f>
        <v>3148.3552221319924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969.00161482169142</v>
      </c>
      <c r="D53" s="759">
        <f t="shared" ref="D53:Q53" ca="1" si="6">D41+D46+D48</f>
        <v>0</v>
      </c>
      <c r="E53" s="759">
        <f t="shared" ca="1" si="6"/>
        <v>2926.3946003966544</v>
      </c>
      <c r="F53" s="759">
        <f t="shared" si="6"/>
        <v>682.05798811937586</v>
      </c>
      <c r="G53" s="759">
        <f t="shared" ca="1" si="6"/>
        <v>5544.4998320468549</v>
      </c>
      <c r="H53" s="759">
        <f t="shared" si="6"/>
        <v>6326.475526997222</v>
      </c>
      <c r="I53" s="759">
        <f t="shared" si="6"/>
        <v>1107.0421380670191</v>
      </c>
      <c r="J53" s="759">
        <f t="shared" si="6"/>
        <v>0</v>
      </c>
      <c r="K53" s="759">
        <f t="shared" si="6"/>
        <v>1607.9091825493845</v>
      </c>
      <c r="L53" s="759">
        <f t="shared" si="6"/>
        <v>0</v>
      </c>
      <c r="M53" s="759">
        <f t="shared" ca="1" si="6"/>
        <v>0</v>
      </c>
      <c r="N53" s="759">
        <f t="shared" si="6"/>
        <v>0</v>
      </c>
      <c r="O53" s="759">
        <f t="shared" ca="1" si="6"/>
        <v>0</v>
      </c>
      <c r="P53" s="759">
        <f>P41+P46+P48</f>
        <v>0</v>
      </c>
      <c r="Q53" s="760">
        <f t="shared" si="6"/>
        <v>0</v>
      </c>
      <c r="R53" s="761">
        <f ca="1">R41+R46+R48</f>
        <v>19163.380882998201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6.9517437540922308E-2</v>
      </c>
      <c r="D55" s="824">
        <f t="shared" ca="1" si="7"/>
        <v>0</v>
      </c>
      <c r="E55" s="824">
        <f t="shared" ca="1" si="7"/>
        <v>0.20199999999999999</v>
      </c>
      <c r="F55" s="824">
        <f t="shared" si="7"/>
        <v>0.22700000000000004</v>
      </c>
      <c r="G55" s="824">
        <f t="shared" ca="1" si="7"/>
        <v>0.26700000000000007</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2057.3493002569776</v>
      </c>
      <c r="C66" s="781">
        <f>'lokale energieproductie'!B6</f>
        <v>2057.3493002569776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7497</v>
      </c>
      <c r="C67" s="780">
        <f>B67*IFERROR(SUM(J67:L67)/SUM(D67:M67),0)</f>
        <v>7497</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8820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9554.3493002569776</v>
      </c>
      <c r="C69" s="789">
        <f>SUM(C64:C68)</f>
        <v>9554.3493002569776</v>
      </c>
      <c r="D69" s="790">
        <f t="shared" ref="D69:M69" si="8">SUM(D67:D68)</f>
        <v>0</v>
      </c>
      <c r="E69" s="790">
        <f t="shared" si="8"/>
        <v>0</v>
      </c>
      <c r="F69" s="790">
        <f t="shared" si="8"/>
        <v>0</v>
      </c>
      <c r="G69" s="790">
        <f t="shared" si="8"/>
        <v>0</v>
      </c>
      <c r="H69" s="790">
        <f t="shared" si="8"/>
        <v>0</v>
      </c>
      <c r="I69" s="790">
        <f t="shared" si="8"/>
        <v>0</v>
      </c>
      <c r="J69" s="790">
        <f t="shared" si="8"/>
        <v>0</v>
      </c>
      <c r="K69" s="790">
        <f t="shared" si="8"/>
        <v>8820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10710</v>
      </c>
      <c r="C78" s="803">
        <f>B78*IFERROR(SUM(I78:L78)/SUM(D78:M78),0)</f>
        <v>10710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12600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10710</v>
      </c>
      <c r="C81" s="789">
        <f>SUM(C78:C80)</f>
        <v>10710</v>
      </c>
      <c r="D81" s="789">
        <f t="shared" ref="D81:P81" si="9">SUM(D78:D80)</f>
        <v>0</v>
      </c>
      <c r="E81" s="789">
        <f t="shared" si="9"/>
        <v>0</v>
      </c>
      <c r="F81" s="789">
        <f t="shared" si="9"/>
        <v>0</v>
      </c>
      <c r="G81" s="789">
        <f t="shared" si="9"/>
        <v>0</v>
      </c>
      <c r="H81" s="789">
        <f t="shared" si="9"/>
        <v>0</v>
      </c>
      <c r="I81" s="789">
        <f t="shared" si="9"/>
        <v>0</v>
      </c>
      <c r="J81" s="789">
        <f t="shared" si="9"/>
        <v>0</v>
      </c>
      <c r="K81" s="789">
        <f t="shared" si="9"/>
        <v>12600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6540.1247885334888</v>
      </c>
      <c r="C4" s="463">
        <f>huishoudens!C8</f>
        <v>0</v>
      </c>
      <c r="D4" s="463">
        <f>huishoudens!D8</f>
        <v>9187.7733563707752</v>
      </c>
      <c r="E4" s="463">
        <f>huishoudens!E8</f>
        <v>2712.7058085119825</v>
      </c>
      <c r="F4" s="463">
        <f>huishoudens!F8</f>
        <v>9032.4732903315653</v>
      </c>
      <c r="G4" s="463">
        <f>huishoudens!G8</f>
        <v>0</v>
      </c>
      <c r="H4" s="463">
        <f>huishoudens!H8</f>
        <v>0</v>
      </c>
      <c r="I4" s="463">
        <f>huishoudens!I8</f>
        <v>0</v>
      </c>
      <c r="J4" s="463">
        <f>huishoudens!J8</f>
        <v>4100.8539145379236</v>
      </c>
      <c r="K4" s="463">
        <f>huishoudens!K8</f>
        <v>0</v>
      </c>
      <c r="L4" s="463">
        <f>huishoudens!L8</f>
        <v>0</v>
      </c>
      <c r="M4" s="463">
        <f>huishoudens!M8</f>
        <v>0</v>
      </c>
      <c r="N4" s="463">
        <f>huishoudens!N8</f>
        <v>7474.1441047924109</v>
      </c>
      <c r="O4" s="463">
        <f>huishoudens!O8</f>
        <v>73.476666666666674</v>
      </c>
      <c r="P4" s="464">
        <f>huishoudens!P8</f>
        <v>76.266666666666666</v>
      </c>
      <c r="Q4" s="465">
        <f>SUM(B4:P4)</f>
        <v>39197.818596411489</v>
      </c>
    </row>
    <row r="5" spans="1:17">
      <c r="A5" s="462" t="s">
        <v>156</v>
      </c>
      <c r="B5" s="463">
        <f ca="1">tertiair!B16</f>
        <v>3323.0666961524312</v>
      </c>
      <c r="C5" s="463">
        <f ca="1">tertiair!C16</f>
        <v>0</v>
      </c>
      <c r="D5" s="463">
        <f ca="1">tertiair!D16</f>
        <v>3856.2857036868554</v>
      </c>
      <c r="E5" s="463">
        <f>tertiair!E16</f>
        <v>68.724002502340483</v>
      </c>
      <c r="F5" s="463">
        <f ca="1">tertiair!F16</f>
        <v>703.32357464000893</v>
      </c>
      <c r="G5" s="463">
        <f>tertiair!G16</f>
        <v>0</v>
      </c>
      <c r="H5" s="463">
        <f>tertiair!H16</f>
        <v>0</v>
      </c>
      <c r="I5" s="463">
        <f>tertiair!I16</f>
        <v>0</v>
      </c>
      <c r="J5" s="463">
        <f>tertiair!J16</f>
        <v>0</v>
      </c>
      <c r="K5" s="463">
        <f>tertiair!K16</f>
        <v>0</v>
      </c>
      <c r="L5" s="463">
        <f ca="1">tertiair!L16</f>
        <v>0</v>
      </c>
      <c r="M5" s="463">
        <f>tertiair!M16</f>
        <v>0</v>
      </c>
      <c r="N5" s="463">
        <f ca="1">tertiair!N16</f>
        <v>163.14536924093139</v>
      </c>
      <c r="O5" s="463">
        <f>tertiair!O16</f>
        <v>1.5633333333333335</v>
      </c>
      <c r="P5" s="464">
        <f>tertiair!P16</f>
        <v>19.066666666666666</v>
      </c>
      <c r="Q5" s="462">
        <f t="shared" ref="Q5:Q13" ca="1" si="0">SUM(B5:P5)</f>
        <v>8135.175346222567</v>
      </c>
    </row>
    <row r="6" spans="1:17">
      <c r="A6" s="462" t="s">
        <v>194</v>
      </c>
      <c r="B6" s="463">
        <f>'openbare verlichting'!B8</f>
        <v>269.90100000000001</v>
      </c>
      <c r="C6" s="463"/>
      <c r="D6" s="463"/>
      <c r="E6" s="463"/>
      <c r="F6" s="463"/>
      <c r="G6" s="463"/>
      <c r="H6" s="463"/>
      <c r="I6" s="463"/>
      <c r="J6" s="463"/>
      <c r="K6" s="463"/>
      <c r="L6" s="463"/>
      <c r="M6" s="463"/>
      <c r="N6" s="463"/>
      <c r="O6" s="463"/>
      <c r="P6" s="464"/>
      <c r="Q6" s="462">
        <f t="shared" si="0"/>
        <v>269.90100000000001</v>
      </c>
    </row>
    <row r="7" spans="1:17">
      <c r="A7" s="462" t="s">
        <v>112</v>
      </c>
      <c r="B7" s="463">
        <f>landbouw!B8</f>
        <v>2931.4089814898734</v>
      </c>
      <c r="C7" s="463">
        <f>landbouw!C8</f>
        <v>10710</v>
      </c>
      <c r="D7" s="463">
        <f>landbouw!D8</f>
        <v>394.36308005692052</v>
      </c>
      <c r="E7" s="463">
        <f>landbouw!E8</f>
        <v>36.939529589364973</v>
      </c>
      <c r="F7" s="463">
        <f>landbouw!F8</f>
        <v>10114.095347969844</v>
      </c>
      <c r="G7" s="463">
        <f>landbouw!G8</f>
        <v>0</v>
      </c>
      <c r="H7" s="463">
        <f>landbouw!H8</f>
        <v>0</v>
      </c>
      <c r="I7" s="463">
        <f>landbouw!I8</f>
        <v>0</v>
      </c>
      <c r="J7" s="463">
        <f>landbouw!J8</f>
        <v>440.85058773485633</v>
      </c>
      <c r="K7" s="463">
        <f>landbouw!K8</f>
        <v>0</v>
      </c>
      <c r="L7" s="463">
        <f>landbouw!L8</f>
        <v>0</v>
      </c>
      <c r="M7" s="463">
        <f>landbouw!M8</f>
        <v>0</v>
      </c>
      <c r="N7" s="463">
        <f>landbouw!N8</f>
        <v>0</v>
      </c>
      <c r="O7" s="463">
        <f>landbouw!O8</f>
        <v>0</v>
      </c>
      <c r="P7" s="464">
        <f>landbouw!P8</f>
        <v>0</v>
      </c>
      <c r="Q7" s="462">
        <f t="shared" si="0"/>
        <v>24627.65752684086</v>
      </c>
    </row>
    <row r="8" spans="1:17">
      <c r="A8" s="462" t="s">
        <v>657</v>
      </c>
      <c r="B8" s="463">
        <f>industrie!B18</f>
        <v>872.51648520651111</v>
      </c>
      <c r="C8" s="463">
        <f>industrie!C18</f>
        <v>0</v>
      </c>
      <c r="D8" s="463">
        <f>industrie!D18</f>
        <v>1045.7272799123386</v>
      </c>
      <c r="E8" s="463">
        <f>industrie!E18</f>
        <v>94.608029079452137</v>
      </c>
      <c r="F8" s="463">
        <f>industrie!F18</f>
        <v>916.02476101683612</v>
      </c>
      <c r="G8" s="463">
        <f>industrie!G18</f>
        <v>0</v>
      </c>
      <c r="H8" s="463">
        <f>industrie!H18</f>
        <v>0</v>
      </c>
      <c r="I8" s="463">
        <f>industrie!I18</f>
        <v>0</v>
      </c>
      <c r="J8" s="463">
        <f>industrie!J18</f>
        <v>0.41183261248734682</v>
      </c>
      <c r="K8" s="463">
        <f>industrie!K18</f>
        <v>0</v>
      </c>
      <c r="L8" s="463">
        <f>industrie!L18</f>
        <v>0</v>
      </c>
      <c r="M8" s="463">
        <f>industrie!M18</f>
        <v>0</v>
      </c>
      <c r="N8" s="463">
        <f>industrie!N18</f>
        <v>233.98967249591107</v>
      </c>
      <c r="O8" s="463">
        <f>industrie!O18</f>
        <v>0</v>
      </c>
      <c r="P8" s="464">
        <f>industrie!P18</f>
        <v>0</v>
      </c>
      <c r="Q8" s="462">
        <f t="shared" si="0"/>
        <v>3163.2780603235365</v>
      </c>
    </row>
    <row r="9" spans="1:17" s="468" customFormat="1">
      <c r="A9" s="466" t="s">
        <v>574</v>
      </c>
      <c r="B9" s="467">
        <f>transport!B14</f>
        <v>1.9540403755381368</v>
      </c>
      <c r="C9" s="467"/>
      <c r="D9" s="467">
        <f>transport!D14</f>
        <v>2.9525621347663757</v>
      </c>
      <c r="E9" s="467">
        <f>transport!E14</f>
        <v>91.683370930849861</v>
      </c>
      <c r="F9" s="467"/>
      <c r="G9" s="467">
        <f>transport!G14</f>
        <v>23498.21137584958</v>
      </c>
      <c r="H9" s="467">
        <f>transport!H14</f>
        <v>4445.9523617149362</v>
      </c>
      <c r="I9" s="467"/>
      <c r="J9" s="467"/>
      <c r="K9" s="467"/>
      <c r="L9" s="467"/>
      <c r="M9" s="467">
        <f>transport!M14</f>
        <v>1263.367418097444</v>
      </c>
      <c r="N9" s="467"/>
      <c r="O9" s="467"/>
      <c r="P9" s="467"/>
      <c r="Q9" s="466">
        <f>SUM(B9:P9)</f>
        <v>29304.121129103114</v>
      </c>
    </row>
    <row r="10" spans="1:17">
      <c r="A10" s="462" t="s">
        <v>564</v>
      </c>
      <c r="B10" s="463">
        <f>transport!B54</f>
        <v>0</v>
      </c>
      <c r="C10" s="463"/>
      <c r="D10" s="463">
        <f>transport!D54</f>
        <v>0</v>
      </c>
      <c r="E10" s="463"/>
      <c r="F10" s="463"/>
      <c r="G10" s="463">
        <f>transport!G54</f>
        <v>196.4535192710978</v>
      </c>
      <c r="H10" s="463"/>
      <c r="I10" s="463"/>
      <c r="J10" s="463"/>
      <c r="K10" s="463"/>
      <c r="L10" s="463"/>
      <c r="M10" s="463">
        <f>transport!M54</f>
        <v>8.7367685108660957</v>
      </c>
      <c r="N10" s="463"/>
      <c r="O10" s="463"/>
      <c r="P10" s="464"/>
      <c r="Q10" s="462">
        <f t="shared" si="0"/>
        <v>205.19028778196389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13938.971991757842</v>
      </c>
      <c r="C14" s="473">
        <f t="shared" ref="C14:Q14" ca="1" si="1">SUM(C4:C13)</f>
        <v>10710</v>
      </c>
      <c r="D14" s="473">
        <f t="shared" ca="1" si="1"/>
        <v>14487.101982161656</v>
      </c>
      <c r="E14" s="473">
        <f t="shared" si="1"/>
        <v>3004.6607406139901</v>
      </c>
      <c r="F14" s="473">
        <f t="shared" ca="1" si="1"/>
        <v>20765.916973958258</v>
      </c>
      <c r="G14" s="473">
        <f t="shared" si="1"/>
        <v>23694.664895120677</v>
      </c>
      <c r="H14" s="473">
        <f t="shared" si="1"/>
        <v>4445.9523617149362</v>
      </c>
      <c r="I14" s="473">
        <f t="shared" si="1"/>
        <v>0</v>
      </c>
      <c r="J14" s="473">
        <f t="shared" si="1"/>
        <v>4542.116334885267</v>
      </c>
      <c r="K14" s="473">
        <f t="shared" si="1"/>
        <v>0</v>
      </c>
      <c r="L14" s="473">
        <f t="shared" ca="1" si="1"/>
        <v>0</v>
      </c>
      <c r="M14" s="473">
        <f t="shared" si="1"/>
        <v>1272.1041866083101</v>
      </c>
      <c r="N14" s="473">
        <f t="shared" ca="1" si="1"/>
        <v>7871.279146529253</v>
      </c>
      <c r="O14" s="473">
        <f t="shared" si="1"/>
        <v>75.040000000000006</v>
      </c>
      <c r="P14" s="474">
        <f t="shared" si="1"/>
        <v>95.333333333333329</v>
      </c>
      <c r="Q14" s="474">
        <f t="shared" ca="1" si="1"/>
        <v>104903.14194668352</v>
      </c>
    </row>
    <row r="16" spans="1:17">
      <c r="A16" s="476" t="s">
        <v>569</v>
      </c>
      <c r="B16" s="829">
        <f ca="1">huishoudens!B10</f>
        <v>6.9517437540922322E-2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454.65271649671462</v>
      </c>
      <c r="C21" s="463">
        <f t="shared" ref="C21:C28" ca="1" si="3">C4*$C$16</f>
        <v>0</v>
      </c>
      <c r="D21" s="463">
        <f t="shared" ref="D21:D30" si="4">D4*$D$16</f>
        <v>1855.9302179868967</v>
      </c>
      <c r="E21" s="463">
        <f t="shared" ref="E21:E30" si="5">E4*$E$16</f>
        <v>615.78421853222005</v>
      </c>
      <c r="F21" s="463">
        <f t="shared" ref="F21:F28" si="6">F4*$F$16</f>
        <v>2411.670368518528</v>
      </c>
      <c r="G21" s="463">
        <f t="shared" ref="G21:G30" si="7">G4*$G$16</f>
        <v>0</v>
      </c>
      <c r="H21" s="463">
        <f t="shared" ref="H21:H30" si="8">H4*$H$16</f>
        <v>0</v>
      </c>
      <c r="I21" s="463">
        <f t="shared" ref="I21:I28" si="9">I4*$I$16</f>
        <v>0</v>
      </c>
      <c r="J21" s="463">
        <f t="shared" ref="J21:J28" si="10">J4*$J$16</f>
        <v>1451.7022857464249</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6789.7398072807846</v>
      </c>
    </row>
    <row r="22" spans="1:17">
      <c r="A22" s="462" t="s">
        <v>156</v>
      </c>
      <c r="B22" s="463">
        <f t="shared" ca="1" si="2"/>
        <v>231.01108149409572</v>
      </c>
      <c r="C22" s="463">
        <f t="shared" ca="1" si="3"/>
        <v>0</v>
      </c>
      <c r="D22" s="463">
        <f t="shared" ca="1" si="4"/>
        <v>778.96971214474479</v>
      </c>
      <c r="E22" s="463">
        <f t="shared" si="5"/>
        <v>15.60034856803129</v>
      </c>
      <c r="F22" s="463">
        <f t="shared" ca="1" si="6"/>
        <v>187.78739442888241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1213.3685366357543</v>
      </c>
    </row>
    <row r="23" spans="1:17">
      <c r="A23" s="462" t="s">
        <v>194</v>
      </c>
      <c r="B23" s="463">
        <f t="shared" ca="1" si="2"/>
        <v>18.762825909732477</v>
      </c>
      <c r="C23" s="463"/>
      <c r="D23" s="463"/>
      <c r="E23" s="463"/>
      <c r="F23" s="463"/>
      <c r="G23" s="463"/>
      <c r="H23" s="463"/>
      <c r="I23" s="463"/>
      <c r="J23" s="463"/>
      <c r="K23" s="463"/>
      <c r="L23" s="463"/>
      <c r="M23" s="463"/>
      <c r="N23" s="463"/>
      <c r="O23" s="463"/>
      <c r="P23" s="464"/>
      <c r="Q23" s="462">
        <f t="shared" ca="1" si="17"/>
        <v>18.762825909732477</v>
      </c>
    </row>
    <row r="24" spans="1:17">
      <c r="A24" s="462" t="s">
        <v>112</v>
      </c>
      <c r="B24" s="463">
        <f t="shared" ca="1" si="2"/>
        <v>203.78404077762099</v>
      </c>
      <c r="C24" s="463">
        <f t="shared" ca="1" si="3"/>
        <v>0</v>
      </c>
      <c r="D24" s="463">
        <f t="shared" si="4"/>
        <v>79.661342171497949</v>
      </c>
      <c r="E24" s="463">
        <f t="shared" si="5"/>
        <v>8.3852732167858495</v>
      </c>
      <c r="F24" s="463">
        <f t="shared" si="6"/>
        <v>2700.4634579079484</v>
      </c>
      <c r="G24" s="463">
        <f t="shared" si="7"/>
        <v>0</v>
      </c>
      <c r="H24" s="463">
        <f t="shared" si="8"/>
        <v>0</v>
      </c>
      <c r="I24" s="463">
        <f t="shared" si="9"/>
        <v>0</v>
      </c>
      <c r="J24" s="463">
        <f t="shared" si="10"/>
        <v>156.06110805813913</v>
      </c>
      <c r="K24" s="463">
        <f t="shared" si="11"/>
        <v>0</v>
      </c>
      <c r="L24" s="463">
        <f t="shared" si="12"/>
        <v>0</v>
      </c>
      <c r="M24" s="463">
        <f t="shared" si="13"/>
        <v>0</v>
      </c>
      <c r="N24" s="463">
        <f t="shared" si="14"/>
        <v>0</v>
      </c>
      <c r="O24" s="463">
        <f t="shared" si="15"/>
        <v>0</v>
      </c>
      <c r="P24" s="464">
        <f t="shared" si="16"/>
        <v>0</v>
      </c>
      <c r="Q24" s="462">
        <f t="shared" ca="1" si="17"/>
        <v>3148.3552221319924</v>
      </c>
    </row>
    <row r="25" spans="1:17">
      <c r="A25" s="462" t="s">
        <v>657</v>
      </c>
      <c r="B25" s="463">
        <f t="shared" ca="1" si="2"/>
        <v>60.655110263768712</v>
      </c>
      <c r="C25" s="463">
        <f t="shared" ca="1" si="3"/>
        <v>0</v>
      </c>
      <c r="D25" s="463">
        <f t="shared" si="4"/>
        <v>211.23691054229241</v>
      </c>
      <c r="E25" s="463">
        <f t="shared" si="5"/>
        <v>21.476022601035638</v>
      </c>
      <c r="F25" s="463">
        <f t="shared" si="6"/>
        <v>244.57861119149527</v>
      </c>
      <c r="G25" s="463">
        <f t="shared" si="7"/>
        <v>0</v>
      </c>
      <c r="H25" s="463">
        <f t="shared" si="8"/>
        <v>0</v>
      </c>
      <c r="I25" s="463">
        <f t="shared" si="9"/>
        <v>0</v>
      </c>
      <c r="J25" s="463">
        <f t="shared" si="10"/>
        <v>0.14578874482052076</v>
      </c>
      <c r="K25" s="463">
        <f t="shared" si="11"/>
        <v>0</v>
      </c>
      <c r="L25" s="463">
        <f t="shared" si="12"/>
        <v>0</v>
      </c>
      <c r="M25" s="463">
        <f t="shared" si="13"/>
        <v>0</v>
      </c>
      <c r="N25" s="463">
        <f t="shared" si="14"/>
        <v>0</v>
      </c>
      <c r="O25" s="463">
        <f t="shared" si="15"/>
        <v>0</v>
      </c>
      <c r="P25" s="464">
        <f t="shared" si="16"/>
        <v>0</v>
      </c>
      <c r="Q25" s="462">
        <f t="shared" ca="1" si="17"/>
        <v>538.09244334341247</v>
      </c>
    </row>
    <row r="26" spans="1:17" s="468" customFormat="1">
      <c r="A26" s="466" t="s">
        <v>574</v>
      </c>
      <c r="B26" s="823">
        <f t="shared" ca="1" si="2"/>
        <v>0.13583987975891282</v>
      </c>
      <c r="C26" s="467"/>
      <c r="D26" s="467">
        <f t="shared" si="4"/>
        <v>0.59641755122280793</v>
      </c>
      <c r="E26" s="467">
        <f t="shared" si="5"/>
        <v>20.812125201302919</v>
      </c>
      <c r="F26" s="467"/>
      <c r="G26" s="467">
        <f t="shared" si="7"/>
        <v>6274.0224373518386</v>
      </c>
      <c r="H26" s="467">
        <f t="shared" si="8"/>
        <v>1107.0421380670191</v>
      </c>
      <c r="I26" s="467"/>
      <c r="J26" s="467"/>
      <c r="K26" s="467"/>
      <c r="L26" s="467"/>
      <c r="M26" s="467">
        <f t="shared" si="13"/>
        <v>0</v>
      </c>
      <c r="N26" s="467"/>
      <c r="O26" s="467"/>
      <c r="P26" s="478"/>
      <c r="Q26" s="466">
        <f t="shared" ca="1" si="17"/>
        <v>7402.6089580511416</v>
      </c>
    </row>
    <row r="27" spans="1:17">
      <c r="A27" s="462" t="s">
        <v>564</v>
      </c>
      <c r="B27" s="463">
        <f t="shared" ca="1" si="2"/>
        <v>0</v>
      </c>
      <c r="C27" s="463"/>
      <c r="D27" s="467">
        <f t="shared" si="4"/>
        <v>0</v>
      </c>
      <c r="E27" s="463"/>
      <c r="F27" s="463"/>
      <c r="G27" s="463">
        <f t="shared" si="7"/>
        <v>52.453089645383116</v>
      </c>
      <c r="H27" s="463"/>
      <c r="I27" s="463"/>
      <c r="J27" s="463"/>
      <c r="K27" s="463"/>
      <c r="L27" s="463"/>
      <c r="M27" s="463">
        <f t="shared" si="13"/>
        <v>0</v>
      </c>
      <c r="N27" s="463"/>
      <c r="O27" s="463"/>
      <c r="P27" s="464"/>
      <c r="Q27" s="462">
        <f t="shared" ca="1" si="17"/>
        <v>52.453089645383116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969.00161482169142</v>
      </c>
      <c r="C31" s="473">
        <f t="shared" ca="1" si="18"/>
        <v>0</v>
      </c>
      <c r="D31" s="473">
        <f t="shared" ca="1" si="18"/>
        <v>2926.3946003966544</v>
      </c>
      <c r="E31" s="473">
        <f t="shared" si="18"/>
        <v>682.05798811937586</v>
      </c>
      <c r="F31" s="473">
        <f t="shared" ca="1" si="18"/>
        <v>5544.499832046854</v>
      </c>
      <c r="G31" s="473">
        <f t="shared" si="18"/>
        <v>6326.475526997222</v>
      </c>
      <c r="H31" s="473">
        <f t="shared" si="18"/>
        <v>1107.0421380670191</v>
      </c>
      <c r="I31" s="473">
        <f t="shared" si="18"/>
        <v>0</v>
      </c>
      <c r="J31" s="473">
        <f t="shared" si="18"/>
        <v>1607.9091825493845</v>
      </c>
      <c r="K31" s="473">
        <f t="shared" si="18"/>
        <v>0</v>
      </c>
      <c r="L31" s="473">
        <f t="shared" ca="1" si="18"/>
        <v>0</v>
      </c>
      <c r="M31" s="473">
        <f t="shared" si="18"/>
        <v>0</v>
      </c>
      <c r="N31" s="473">
        <f t="shared" ca="1" si="18"/>
        <v>0</v>
      </c>
      <c r="O31" s="473">
        <f t="shared" si="18"/>
        <v>0</v>
      </c>
      <c r="P31" s="474">
        <f t="shared" si="18"/>
        <v>0</v>
      </c>
      <c r="Q31" s="474">
        <f t="shared" ca="1" si="18"/>
        <v>19163.380882998201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6.9517437540922322E-2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6.9517437540922322E-2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6.9517437540922322E-2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2019-01-02T18:03:57Z</dcterms:modified>
</cp:coreProperties>
</file>