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Q55" s="1"/>
  <c r="I7" i="18"/>
  <c r="H14" i="22"/>
  <c r="M22" i="14"/>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D31" s="1"/>
  <c r="J67" i="14"/>
  <c r="I9" i="18"/>
  <c r="G58" i="22"/>
  <c r="H44" i="14" s="1"/>
  <c r="G10" i="48"/>
  <c r="G9"/>
  <c r="R18" i="14"/>
  <c r="R17"/>
  <c r="Q13" i="48"/>
  <c r="I19" i="14"/>
  <c r="I20" s="1"/>
  <c r="I23" s="1"/>
  <c r="M18" i="22"/>
  <c r="N45" i="14" s="1"/>
  <c r="M9" i="48"/>
  <c r="N19" i="14"/>
  <c r="E5" i="48"/>
  <c r="E22" s="1"/>
  <c r="P14"/>
  <c r="B8"/>
  <c r="J5"/>
  <c r="J22" s="1"/>
  <c r="J55" i="14"/>
  <c r="L55"/>
  <c r="E36"/>
  <c r="E41" s="1"/>
  <c r="N20" i="15"/>
  <c r="O36" i="14" s="1"/>
  <c r="O10"/>
  <c r="L5" i="48"/>
  <c r="L22" s="1"/>
  <c r="L31" s="1"/>
  <c r="M10" i="14"/>
  <c r="M15" s="1"/>
  <c r="F20" i="15"/>
  <c r="G36" i="14" s="1"/>
  <c r="G10"/>
  <c r="C10"/>
  <c r="B5" i="48"/>
  <c r="D23" i="14"/>
  <c r="B20" i="6" s="1"/>
  <c r="N5" i="16"/>
  <c r="F5" i="48"/>
  <c r="F22" s="1"/>
  <c r="E5" i="16"/>
  <c r="J5"/>
  <c r="C35" i="13"/>
  <c r="F5" i="16"/>
  <c r="C36" i="13"/>
  <c r="O22" i="48"/>
  <c r="O31" s="1"/>
  <c r="N12" i="13"/>
  <c r="O37" i="14" s="1"/>
  <c r="O11"/>
  <c r="C38" i="13"/>
  <c r="C39"/>
  <c r="C32"/>
  <c r="C34"/>
  <c r="E4" i="48"/>
  <c r="E21" s="1"/>
  <c r="F11" i="14"/>
  <c r="J4" i="48"/>
  <c r="J12" i="13"/>
  <c r="K37" i="14" s="1"/>
  <c r="K11"/>
  <c r="N5" i="48"/>
  <c r="L20" i="15"/>
  <c r="J20" l="1"/>
  <c r="K36" i="14" s="1"/>
  <c r="E15"/>
  <c r="E23" s="1"/>
  <c r="Q7" i="48"/>
  <c r="F10" i="14"/>
  <c r="R10"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Q5" i="48"/>
  <c r="F22" i="16"/>
  <c r="G39" i="14" s="1"/>
  <c r="G41" s="1"/>
  <c r="F8" i="48"/>
  <c r="Q4"/>
  <c r="N22"/>
  <c r="R11" i="14"/>
  <c r="J21" i="48"/>
  <c r="C17" i="19" l="1"/>
  <c r="C19" s="1"/>
  <c r="D35" i="14" s="1"/>
  <c r="C20" i="16"/>
  <c r="C22" s="1"/>
  <c r="D39" i="14" s="1"/>
  <c r="C18" i="15"/>
  <c r="C20" s="1"/>
  <c r="D36" i="14" s="1"/>
  <c r="C10" i="13"/>
  <c r="C16" i="48" s="1"/>
  <c r="C21" s="1"/>
  <c r="C16" i="22"/>
  <c r="C10" i="17"/>
  <c r="C12" s="1"/>
  <c r="D48" i="14" s="1"/>
  <c r="C56" i="22"/>
  <c r="C58" s="1"/>
  <c r="D44" i="14" s="1"/>
  <c r="D46" s="1"/>
  <c r="C17" i="49"/>
  <c r="C29" i="20"/>
  <c r="O13" i="14"/>
  <c r="O15" s="1"/>
  <c r="F13"/>
  <c r="F15" s="1"/>
  <c r="F23" s="1"/>
  <c r="N55"/>
  <c r="N22" i="16"/>
  <c r="O39" i="14" s="1"/>
  <c r="O41" s="1"/>
  <c r="O53" s="1"/>
  <c r="E22" i="16"/>
  <c r="F39" i="14" s="1"/>
  <c r="F41" s="1"/>
  <c r="F53" s="1"/>
  <c r="F55" s="1"/>
  <c r="K13"/>
  <c r="K15" s="1"/>
  <c r="K23" s="1"/>
  <c r="K55" s="1"/>
  <c r="N25" i="48"/>
  <c r="N14"/>
  <c r="E25"/>
  <c r="E31" s="1"/>
  <c r="E14"/>
  <c r="N31"/>
  <c r="H55" i="14"/>
  <c r="E55"/>
  <c r="C78"/>
  <c r="C81" s="1"/>
  <c r="J14" i="48"/>
  <c r="J31"/>
  <c r="Q8"/>
  <c r="Q14" s="1"/>
  <c r="R19" i="14"/>
  <c r="R20" s="1"/>
  <c r="H14" i="48"/>
  <c r="G31"/>
  <c r="H26"/>
  <c r="H31" s="1"/>
  <c r="G53" i="14"/>
  <c r="G55" s="1"/>
  <c r="O69" s="1"/>
  <c r="B9" i="6" s="1"/>
  <c r="B12" s="1"/>
  <c r="M53" i="14"/>
  <c r="M55" s="1"/>
  <c r="C12" i="13"/>
  <c r="D37" i="14" s="1"/>
  <c r="D41" s="1"/>
  <c r="C24" i="48"/>
  <c r="F25"/>
  <c r="F31" s="1"/>
  <c r="F14"/>
  <c r="C28" l="1"/>
  <c r="C22"/>
  <c r="C25"/>
  <c r="C31" s="1"/>
  <c r="R13" i="14"/>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<sst xmlns="http://schemas.openxmlformats.org/spreadsheetml/2006/main" count="2160" uniqueCount="884">
  <si>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</si>
  <si>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</si>
  <si>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</si>
  <si>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</si>
  <si>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</si>
  <si>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</si>
  <si>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</si>
  <si>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</si>
  <si>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</si>
  <si>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</si>
  <si>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</si>
  <si>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</si>
  <si>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</si>
  <si>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</si>
  <si>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</si>
  <si>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</si>
  <si>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</si>
  <si>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</si>
  <si>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</si>
  <si>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</si>
  <si>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</si>
  <si>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</si>
  <si>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</si>
  <si>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</si>
  <si>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</si>
  <si>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</si>
  <si>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</si>
  <si>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</si>
  <si>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</si>
  <si>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</si>
  <si>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</si>
  <si>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</si>
  <si>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</si>
  <si>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</si>
  <si>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</si>
  <si>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</si>
  <si>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</si>
  <si>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</si>
  <si>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</si>
  <si>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</si>
  <si>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</si>
  <si>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</si>
  <si>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</si>
  <si>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</si>
  <si>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</si>
  <si>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</si>
  <si>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</si>
  <si>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</si>
  <si>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</si>
  <si>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</si>
  <si>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</si>
  <si>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</si>
  <si>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</si>
  <si>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</si>
  <si>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</si>
  <si>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</si>
  <si>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</si>
  <si>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</si>
  <si>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</si>
  <si>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</si>
  <si>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</si>
  <si>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</si>
  <si>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</si>
  <si>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</si>
  <si>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</si>
  <si>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</si>
  <si>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</si>
  <si>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</si>
  <si>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</si>
  <si>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</si>
  <si>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</si>
  <si>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</si>
  <si>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</si>
  <si>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</si>
  <si>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</si>
  <si>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</si>
  <si>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</si>
  <si>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</si>
  <si>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</si>
  <si>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</si>
  <si>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</si>
  <si>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</si>
  <si>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</si>
  <si>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</si>
  <si>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</si>
  <si>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</si>
  <si>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</si>
  <si>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</si>
  <si>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</si>
  <si>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</si>
  <si>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</si>
  <si>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</si>
  <si>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</si>
  <si>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</si>
  <si>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</si>
  <si>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</si>
  <si>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</si>
  <si>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</si>
  <si>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</si>
  <si>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</si>
  <si>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</si>
  <si>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</si>
  <si>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</si>
  <si>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</si>
  <si>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</si>
  <si>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</si>
  <si>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</si>
  <si>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</si>
  <si>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</si>
  <si>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</si>
  <si>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</si>
  <si>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</si>
  <si>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</si>
  <si>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</si>
  <si>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</si>
  <si>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</si>
  <si>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</si>
  <si>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</si>
  <si>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</si>
  <si>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</si>
  <si>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</si>
  <si>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</si>
  <si>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</si>
  <si>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</si>
  <si>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</si>
  <si>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</si>
  <si>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</si>
  <si>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</si>
  <si>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</si>
  <si>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</si>
  <si>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</si>
  <si>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</si>
  <si>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</si>
  <si>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</si>
  <si>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</si>
  <si>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</si>
  <si>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</si>
  <si>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</si>
  <si>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</si>
  <si>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</si>
  <si>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</si>
  <si>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</si>
  <si>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</si>
  <si>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</si>
  <si>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</si>
  <si>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</si>
  <si>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</si>
  <si>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</si>
  <si>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</si>
  <si>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</si>
  <si>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</si>
  <si>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</si>
  <si>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</si>
  <si>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</si>
  <si>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</si>
  <si>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</si>
  <si>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</si>
  <si>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</si>
  <si>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</si>
  <si>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</si>
  <si>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</si>
  <si>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</si>
  <si>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</si>
  <si>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</si>
  <si>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</si>
  <si>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</si>
  <si>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</si>
  <si>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</si>
  <si>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</si>
  <si>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</si>
  <si>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</si>
  <si>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</si>
  <si>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</si>
  <si>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</si>
  <si>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</si>
  <si>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</si>
  <si>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</si>
  <si>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</si>
  <si>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</si>
  <si>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</si>
  <si>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</si>
  <si>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</si>
  <si>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</si>
  <si>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</si>
  <si>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</si>
  <si>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</si>
  <si>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</si>
  <si>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</si>
  <si>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</si>
  <si>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</si>
  <si>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</si>
  <si>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</si>
  <si>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</si>
  <si>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</si>
  <si>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</si>
  <si>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</si>
  <si>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</si>
  <si>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</si>
  <si>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</si>
  <si>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</si>
  <si>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</si>
  <si>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</si>
  <si>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</si>
  <si>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</si>
  <si>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</si>
  <si>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</si>
  <si>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</si>
  <si>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</si>
  <si>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</si>
  <si>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</si>
  <si>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</si>
  <si>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</si>
  <si>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</si>
  <si>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</si>
  <si>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</si>
  <si>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</si>
  <si>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</si>
  <si>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</si>
  <si>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</si>
  <si>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</si>
  <si>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</si>
  <si>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</si>
  <si>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</si>
  <si>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</si>
  <si>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</si>
  <si>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</si>
  <si>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</si>
  <si>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</si>
  <si>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</si>
  <si>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</si>
  <si>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</si>
  <si>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</si>
  <si>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</si>
  <si>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</si>
  <si>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</si>
  <si>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</si>
  <si>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</si>
  <si>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</si>
  <si>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</si>
  <si>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</si>
  <si>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</si>
  <si>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</si>
  <si>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</si>
  <si>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</si>
  <si>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</si>
  <si>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</si>
  <si>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</si>
  <si>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</si>
  <si>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</si>
  <si>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</si>
  <si>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</si>
  <si>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</si>
  <si>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</si>
  <si>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</si>
  <si>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</si>
  <si>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</si>
  <si>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</si>
  <si>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</si>
  <si>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</si>
  <si>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</si>
  <si>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</si>
  <si>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</si>
  <si>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</si>
  <si>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</si>
  <si>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</si>
  <si>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</si>
  <si>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</si>
  <si>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</si>
  <si>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</si>
  <si>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</si>
  <si>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</si>
  <si>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</si>
  <si>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</si>
  <si>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</si>
  <si>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</si>
  <si>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</si>
  <si>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</si>
  <si>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</si>
  <si>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</si>
  <si>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</si>
  <si>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</si>
  <si>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</si>
  <si>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</si>
  <si>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</si>
  <si>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</si>
  <si>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</si>
  <si>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</si>
  <si>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</si>
  <si>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</si>
  <si>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</si>
  <si>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</si>
  <si>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</si>
  <si>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</si>
  <si>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</si>
  <si>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</si>
  <si>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</si>
  <si>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</si>
  <si>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</si>
  <si>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</si>
  <si>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</si>
  <si>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</si>
  <si>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</si>
  <si>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</si>
  <si>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</si>
  <si>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</si>
  <si>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</si>
  <si>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</si>
  <si>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</si>
  <si>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</si>
  <si>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</si>
  <si>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</si>
  <si>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</si>
  <si>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</si>
  <si>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</si>
  <si>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</si>
  <si>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</si>
  <si>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</si>
  <si>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</si>
  <si>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</si>
  <si>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</si>
  <si>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</si>
  <si>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</si>
  <si>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</si>
  <si>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</si>
  <si>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</si>
  <si>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</si>
  <si>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</si>
  <si>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</si>
  <si>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</si>
  <si>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</si>
  <si>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</si>
  <si>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</si>
  <si>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</si>
  <si>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</si>
  <si>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</si>
  <si>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</si>
  <si>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</si>
  <si>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</si>
  <si>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</si>
  <si>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</si>
  <si>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</si>
  <si>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</si>
  <si>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</si>
  <si>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</si>
  <si>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</si>
  <si>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</si>
  <si>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</si>
  <si>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</si>
  <si>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</si>
  <si>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</si>
  <si>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</si>
  <si>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</si>
  <si>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</si>
  <si>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</si>
  <si>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</si>
  <si>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</si>
  <si>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</si>
  <si>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</si>
  <si>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</si>
  <si>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</si>
  <si>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</si>
  <si>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</si>
  <si>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</si>
  <si>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</si>
  <si>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</si>
  <si>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</si>
  <si>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</si>
  <si>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</si>
  <si>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</si>
  <si>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</si>
  <si>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</si>
  <si>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</si>
  <si>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</si>
  <si>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</si>
  <si>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</si>
  <si>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</si>
  <si>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</si>
  <si>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</si>
  <si>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</si>
  <si>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</si>
  <si>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</si>
  <si>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</si>
  <si>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</si>
  <si>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</si>
  <si>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</si>
  <si>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</si>
  <si>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</si>
  <si>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</si>
  <si>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</si>
  <si>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</si>
  <si>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</si>
  <si>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</si>
  <si>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</si>
  <si>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</si>
  <si>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</si>
  <si>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</si>
  <si>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</si>
  <si>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</si>
  <si>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</si>
  <si>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</si>
  <si>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</si>
  <si>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</si>
  <si>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</si>
  <si>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</si>
  <si>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</si>
  <si>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</si>
  <si>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</si>
  <si>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</si>
  <si>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</si>
  <si>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</si>
  <si>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</si>
  <si>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</si>
  <si>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</si>
  <si>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</si>
  <si>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</si>
  <si>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</si>
  <si>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</si>
  <si>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</si>
  <si>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</si>
  <si>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</si>
  <si>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</si>
  <si>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</si>
  <si>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</si>
  <si>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</si>
  <si>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</si>
  <si>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</si>
  <si>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</si>
  <si>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</si>
  <si>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</si>
  <si>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</si>
  <si>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</si>
  <si>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</si>
  <si>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</si>
  <si>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</si>
  <si>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</si>
  <si>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</si>
  <si>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</si>
  <si>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</si>
  <si>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</si>
  <si>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</si>
  <si>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</si>
  <si>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</si>
  <si>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</si>
  <si>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</si>
  <si>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</si>
  <si>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</si>
  <si>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</si>
  <si>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</si>
  <si>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</si>
  <si>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</si>
  <si>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</si>
  <si>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</si>
  <si>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</si>
  <si>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</si>
  <si>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</si>
  <si>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</si>
  <si>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</si>
  <si>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</si>
  <si>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</si>
  <si>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</si>
  <si>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</si>
  <si>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</si>
  <si>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</si>
  <si>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</si>
  <si>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</si>
  <si>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</si>
  <si>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</si>
  <si>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</si>
  <si>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</si>
  <si>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</si>
  <si>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</si>
  <si>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</si>
  <si>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</si>
  <si>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</si>
  <si>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</si>
  <si>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</si>
  <si>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</si>
  <si>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</si>
  <si>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</si>
  <si>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</si>
  <si>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</si>
  <si>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</si>
  <si>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</si>
  <si>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</si>
  <si>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</si>
  <si>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</si>
  <si>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</si>
  <si>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</si>
  <si>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</si>
  <si>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</si>
  <si>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</si>
  <si>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</si>
  <si>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</si>
  <si>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</si>
  <si>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</si>
  <si>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</si>
  <si>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</si>
  <si>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</si>
  <si>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</si>
  <si>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</si>
  <si>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</si>
  <si>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</si>
  <si>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</si>
  <si>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</si>
  <si>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</si>
  <si>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</si>
  <si>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</si>
  <si>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</si>
  <si>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</si>
  <si>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</si>
  <si>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</si>
  <si>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</si>
  <si>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</si>
  <si>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</si>
  <si>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</si>
  <si>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</si>
  <si>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</si>
  <si>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</si>
  <si>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</si>
  <si>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</si>
  <si>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</si>
  <si>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</si>
  <si>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</si>
  <si>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</si>
  <si>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</si>
  <si>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</si>
  <si>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</si>
  <si>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</si>
  <si>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</si>
  <si>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</si>
  <si>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</si>
  <si>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</si>
  <si>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</si>
  <si>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</si>
  <si>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</si>
  <si>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</si>
  <si>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</si>
  <si>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</si>
  <si>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</si>
  <si>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</si>
  <si>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</si>
  <si>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</si>
  <si>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</si>
  <si>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</si>
  <si>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</si>
  <si>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</si>
  <si>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</si>
  <si>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</si>
  <si>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</si>
  <si>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</si>
  <si>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</si>
  <si>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</si>
  <si>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</si>
  <si>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</si>
  <si>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</si>
  <si>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</si>
  <si>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</si>
  <si>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</si>
  <si>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</si>
  <si>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</si>
  <si>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</si>
  <si>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</si>
  <si>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</si>
  <si>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</si>
  <si>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</si>
  <si>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</si>
  <si>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</si>
  <si>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</si>
  <si>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</si>
  <si>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</si>
  <si>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</si>
  <si>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</si>
  <si>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</si>
  <si>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</si>
  <si>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</si>
  <si>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</si>
  <si>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</si>
  <si>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</si>
  <si>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</si>
  <si>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</si>
  <si>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</si>
  <si>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</si>
  <si>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</si>
  <si>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</si>
  <si>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</si>
  <si>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</si>
  <si>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</si>
  <si>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</si>
  <si>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</si>
  <si>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</si>
  <si>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</si>
  <si>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</si>
  <si>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</si>
  <si>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</si>
  <si>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</si>
  <si>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</si>
  <si>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</si>
  <si>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</si>
  <si>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</si>
  <si>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</si>
  <si>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</si>
  <si>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</si>
  <si>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</si>
  <si>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</si>
  <si>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</si>
  <si>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</si>
  <si>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</si>
  <si>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</si>
  <si>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</si>
  <si>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</si>
  <si>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</si>
  <si>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</si>
  <si>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</si>
  <si>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</si>
  <si>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</si>
  <si>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</si>
  <si>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</si>
  <si>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</si>
  <si>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</si>
  <si>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</si>
  <si>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</si>
  <si>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</si>
  <si>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</si>
  <si>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</si>
  <si>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</si>
  <si>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</si>
  <si>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</si>
  <si>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</si>
  <si>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</si>
  <si>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</si>
  <si>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</si>
  <si>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</si>
  <si>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</si>
  <si>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</si>
  <si>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</si>
  <si>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</si>
  <si>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</si>
  <si>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</si>
  <si>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</si>
  <si>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</si>
  <si>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</si>
  <si>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</si>
  <si>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</si>
  <si>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</si>
  <si>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</si>
  <si>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</si>
  <si>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</si>
  <si>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</si>
  <si>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</si>
  <si>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</si>
  <si>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</si>
  <si>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</si>
  <si>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</si>
  <si>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</si>
  <si>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</si>
  <si>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</si>
  <si>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</si>
  <si>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</si>
  <si>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</si>
  <si>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</si>
  <si>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</si>
  <si>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</si>
  <si>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</si>
  <si>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</si>
  <si>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</si>
  <si>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</si>
  <si>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</si>
  <si>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</si>
  <si>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</si>
  <si>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</si>
  <si>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</si>
  <si>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</si>
  <si>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</si>
  <si>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</si>
  <si>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</si>
  <si>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</si>
  <si>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</si>
  <si>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</si>
  <si>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</si>
  <si>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</si>
  <si>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</si>
  <si>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</si>
  <si>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</si>
  <si>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</si>
  <si>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</si>
  <si>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</si>
  <si>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</si>
  <si>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</si>
  <si>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</si>
  <si>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</si>
  <si>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</si>
  <si>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</si>
  <si>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</si>
  <si>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</si>
  <si>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</si>
  <si>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</si>
  <si>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</si>
  <si>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</si>
  <si>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</si>
  <si>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</si>
  <si>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</si>
  <si>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</si>
  <si>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</si>
  <si>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</si>
  <si>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</si>
  <si>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</si>
  <si>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</si>
  <si>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</si>
  <si>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</si>
  <si>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</si>
  <si>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</si>
  <si>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</si>
  <si>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</si>
  <si>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</si>
  <si>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</si>
  <si>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</si>
  <si>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</si>
  <si>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</si>
  <si>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</si>
  <si>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</si>
  <si>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</si>
  <si>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</si>
  <si>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</si>
  <si>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</si>
  <si>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</si>
  <si>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</si>
  <si>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</si>
  <si>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</si>
  <si>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</si>
  <si>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</si>
  <si>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</si>
  <si>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</si>
  <si>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</si>
  <si>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</si>
  <si>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</si>
  <si>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</si>
  <si>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</si>
  <si>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</si>
  <si>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</si>
  <si>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</si>
  <si>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</si>
  <si>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</si>
  <si>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</si>
  <si>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</si>
  <si>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</si>
  <si>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</si>
  <si>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</si>
  <si>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</si>
  <si>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</si>
  <si>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</si>
  <si>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</si>
  <si>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</si>
  <si>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</si>
  <si>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</si>
  <si>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</si>
  <si>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</si>
  <si>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</si>
  <si>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</si>
  <si>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</si>
  <si>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</si>
  <si>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</si>
  <si>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</si>
  <si>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</si>
  <si>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</si>
  <si>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</si>
  <si>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</si>
  <si>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</si>
  <si>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</si>
  <si>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</si>
  <si>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</si>
  <si>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</si>
  <si>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</si>
  <si>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</si>
  <si>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</si>
  <si>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</si>
  <si>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</si>
  <si>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</si>
  <si>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</si>
  <si>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</si>
  <si>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</si>
  <si>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</si>
  <si>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</si>
  <si>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</si>
  <si>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</si>
  <si>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</si>
  <si>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</si>
  <si>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</si>
  <si>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</si>
  <si>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</si>
  <si>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</si>
  <si>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</si>
  <si>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</si>
  <si>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</si>
  <si>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</si>
  <si>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</si>
  <si>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</si>
  <si>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</si>
  <si>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</si>
  <si>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</si>
  <si>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</si>
  <si>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</si>
  <si>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</si>
  <si>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</si>
  <si>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</si>
  <si>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</si>
  <si>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</si>
  <si>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</si>
  <si>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</si>
  <si>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</si>
  <si>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</si>
  <si>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</si>
  <si>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</si>
  <si>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</si>
  <si>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</si>
  <si>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</si>
  <si>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</si>
  <si>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</si>
  <si>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</si>
  <si>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</si>
  <si>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</si>
  <si>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</si>
  <si>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</si>
  <si>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</si>
  <si>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</si>
  <si>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</si>
  <si>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</si>
  <si>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</si>
  <si>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</si>
  <si>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</si>
  <si>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</si>
  <si>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</si>
  <si>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</si>
  <si>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</si>
  <si>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</si>
  <si>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</si>
  <si>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</si>
  <si>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</si>
  <si>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</si>
  <si>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</si>
  <si>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</si>
  <si>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</si>
  <si>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</si>
  <si>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</si>
  <si>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</si>
  <si>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</si>
  <si>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</si>
  <si>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</si>
  <si>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</si>
  <si>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</si>
  <si>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</si>
  <si>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</si>
  <si>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</si>
  <si>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</si>
  <si>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</si>
  <si>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</si>
  <si>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</si>
  <si>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</si>
  <si>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</si>
  <si>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</si>
  <si>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</si>
  <si>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</si>
  <si>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</si>
  <si>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</si>
  <si>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</si>
  <si>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</si>
  <si>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</si>
  <si>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</si>
  <si>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</si>
  <si>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</si>
  <si>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</si>
  <si>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</si>
  <si>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33037</t>
  </si>
  <si>
    <t>ZONNEBEKE</t>
  </si>
  <si>
    <t>Cultuurgrond (ha)</t>
  </si>
  <si>
    <t>Paarden&amp;pony's 200 - 600 kg</t>
  </si>
  <si>
    <t>Paarden&amp;pony's &lt; 200 kg</t>
  </si>
  <si>
    <t>op basis van VEA (maart 2018) en Inventaris Hernieuwbare Energiebronnen (juni 2018)</t>
  </si>
  <si>
    <t>VEA (juni 2018)</t>
  </si>
  <si>
    <t>Holsteinthema-Legrand LV</t>
  </si>
  <si>
    <t>Houtemstraat 33 , 8980 Zonnebeke</t>
  </si>
  <si>
    <t>WKK-0440 Holsteinthema-Legrand</t>
  </si>
  <si>
    <t>interne verbrandingsmotor</t>
  </si>
  <si>
    <t>WKK interne verbrandinsgmotor (gas)</t>
  </si>
  <si>
    <t>GASELWEST</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</si>
</sst>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126909.4529542297</c:v>
                </c:pt>
                <c:pt idx="1">
                  <c:v>32064.983625660116</c:v>
                </c:pt>
                <c:pt idx="2">
                  <c:v>1063.038</c:v>
                </c:pt>
                <c:pt idx="3">
                  <c:v>32086.029442602412</c:v>
                </c:pt>
                <c:pt idx="4">
                  <c:v>181795.40124692203</c:v>
                </c:pt>
                <c:pt idx="5">
                  <c:v>114495.08396314229</c:v>
                </c:pt>
                <c:pt idx="6">
                  <c:v>1076.8209368243652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5936"/>
        <c:axId val="182297728"/>
      </c:barChart>
      <c:catAx>
        <c:axId val="182295936"/>
        <c:scaling>
          <c:orientation val="minMax"/>
        </c:scaling>
        <c:axPos val="b"/>
        <c:numFmt formatCode="General" sourceLinked="0"/>
        <c:tickLblPos val="nextTo"/>
        <c:crossAx val="182297728"/>
        <c:crosses val="autoZero"/>
        <c:auto val="1"/>
        <c:lblAlgn val="ctr"/>
        <c:lblOffset val="100"/>
      </c:catAx>
      <c:valAx>
        <c:axId val="182297728"/>
        <c:scaling>
          <c:orientation val="minMax"/>
        </c:scaling>
        <c:axPos val="l"/>
        <c:majorGridlines/>
        <c:numFmt formatCode="#,##0" sourceLinked="1"/>
        <c:tickLblPos val="nextTo"/>
        <c:crossAx val="182295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126909.4529542297</c:v>
                </c:pt>
                <c:pt idx="1">
                  <c:v>32064.983625660116</c:v>
                </c:pt>
                <c:pt idx="2">
                  <c:v>1063.038</c:v>
                </c:pt>
                <c:pt idx="3">
                  <c:v>32086.029442602412</c:v>
                </c:pt>
                <c:pt idx="4">
                  <c:v>181795.40124692203</c:v>
                </c:pt>
                <c:pt idx="5">
                  <c:v>114495.08396314229</c:v>
                </c:pt>
                <c:pt idx="6">
                  <c:v>1076.8209368243652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23059.057640981518</c:v>
                </c:pt>
                <c:pt idx="1">
                  <c:v>6028.4889705110727</c:v>
                </c:pt>
                <c:pt idx="2">
                  <c:v>222.00135322920397</c:v>
                </c:pt>
                <c:pt idx="3">
                  <c:v>8060.8487085847546</c:v>
                </c:pt>
                <c:pt idx="4">
                  <c:v>36298.711993654768</c:v>
                </c:pt>
                <c:pt idx="5">
                  <c:v>28973.996203446804</c:v>
                </c:pt>
                <c:pt idx="6">
                  <c:v>275.26929145541476</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93088"/>
        <c:axId val="182423552"/>
      </c:barChart>
      <c:catAx>
        <c:axId val="182393088"/>
        <c:scaling>
          <c:orientation val="minMax"/>
        </c:scaling>
        <c:axPos val="b"/>
        <c:numFmt formatCode="General" sourceLinked="0"/>
        <c:tickLblPos val="nextTo"/>
        <c:crossAx val="182423552"/>
        <c:crosses val="autoZero"/>
        <c:auto val="1"/>
        <c:lblAlgn val="ctr"/>
        <c:lblOffset val="100"/>
      </c:catAx>
      <c:valAx>
        <c:axId val="182423552"/>
        <c:scaling>
          <c:orientation val="minMax"/>
        </c:scaling>
        <c:axPos val="l"/>
        <c:majorGridlines/>
        <c:numFmt formatCode="#,##0" sourceLinked="1"/>
        <c:tickLblPos val="nextTo"/>
        <c:crossAx val="1823930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23059.057640981518</c:v>
                </c:pt>
                <c:pt idx="1">
                  <c:v>6028.4889705110727</c:v>
                </c:pt>
                <c:pt idx="2">
                  <c:v>222.00135322920397</c:v>
                </c:pt>
                <c:pt idx="3">
                  <c:v>8060.8487085847546</c:v>
                </c:pt>
                <c:pt idx="4">
                  <c:v>36298.711993654768</c:v>
                </c:pt>
                <c:pt idx="5">
                  <c:v>28973.996203446804</c:v>
                </c:pt>
                <c:pt idx="6">
                  <c:v>275.26929145541476</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33037</v>
      </c>
      <c r="B6" s="398"/>
      <c r="C6" s="399"/>
    </row>
    <row r="7" spans="1:7" s="396" customFormat="1" ht="15.75" customHeight="1">
      <c r="A7" s="400" t="str">
        <f>txtMunicipality</f>
        <v>ZONNEBEKE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33037</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4876</v>
      </c>
      <c r="C9" s="338">
        <v>5337</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5042</v>
      </c>
    </row>
    <row r="15" spans="1:6">
      <c r="A15" s="1269" t="s">
        <v>184</v>
      </c>
      <c r="B15" s="335">
        <v>51</v>
      </c>
    </row>
    <row r="16" spans="1:6">
      <c r="A16" s="1269" t="s">
        <v>6</v>
      </c>
      <c r="B16" s="335">
        <v>1849</v>
      </c>
    </row>
    <row r="17" spans="1:6">
      <c r="A17" s="1269" t="s">
        <v>7</v>
      </c>
      <c r="B17" s="335">
        <v>1343</v>
      </c>
    </row>
    <row r="18" spans="1:6">
      <c r="A18" s="1269" t="s">
        <v>8</v>
      </c>
      <c r="B18" s="335">
        <v>2012</v>
      </c>
    </row>
    <row r="19" spans="1:6">
      <c r="A19" s="1269" t="s">
        <v>9</v>
      </c>
      <c r="B19" s="335">
        <v>1837</v>
      </c>
    </row>
    <row r="20" spans="1:6">
      <c r="A20" s="1269" t="s">
        <v>10</v>
      </c>
      <c r="B20" s="335">
        <v>1382</v>
      </c>
    </row>
    <row r="21" spans="1:6">
      <c r="A21" s="1269" t="s">
        <v>11</v>
      </c>
      <c r="B21" s="335">
        <v>30296</v>
      </c>
    </row>
    <row r="22" spans="1:6">
      <c r="A22" s="1269" t="s">
        <v>12</v>
      </c>
      <c r="B22" s="335">
        <v>72620</v>
      </c>
    </row>
    <row r="23" spans="1:6">
      <c r="A23" s="1269" t="s">
        <v>13</v>
      </c>
      <c r="B23" s="335">
        <v>740</v>
      </c>
    </row>
    <row r="24" spans="1:6">
      <c r="A24" s="1269" t="s">
        <v>14</v>
      </c>
      <c r="B24" s="335">
        <v>126</v>
      </c>
    </row>
    <row r="25" spans="1:6">
      <c r="A25" s="1269" t="s">
        <v>15</v>
      </c>
      <c r="B25" s="335">
        <v>5996</v>
      </c>
    </row>
    <row r="26" spans="1:6">
      <c r="A26" s="1269" t="s">
        <v>16</v>
      </c>
      <c r="B26" s="335">
        <v>1171</v>
      </c>
    </row>
    <row r="27" spans="1:6">
      <c r="A27" s="1269" t="s">
        <v>17</v>
      </c>
      <c r="B27" s="335">
        <v>7</v>
      </c>
    </row>
    <row r="28" spans="1:6" s="341" customFormat="1">
      <c r="A28" s="1270" t="s">
        <v>18</v>
      </c>
      <c r="B28" s="1270">
        <v>261601</v>
      </c>
    </row>
    <row r="29" spans="1:6">
      <c r="A29" s="1270" t="s">
        <v>874</v>
      </c>
      <c r="B29" s="1270">
        <v>265</v>
      </c>
      <c r="C29" s="341"/>
      <c r="D29" s="341"/>
      <c r="E29" s="341"/>
      <c r="F29" s="341"/>
    </row>
    <row r="30" spans="1:6">
      <c r="A30" s="1265" t="s">
        <v>875</v>
      </c>
      <c r="B30" s="1265">
        <v>42</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5</v>
      </c>
      <c r="F36" s="335">
        <v>22844.730015453399</v>
      </c>
    </row>
    <row r="37" spans="1:6">
      <c r="A37" s="1269" t="s">
        <v>25</v>
      </c>
      <c r="B37" s="1269" t="s">
        <v>28</v>
      </c>
      <c r="C37" s="335">
        <v>0</v>
      </c>
      <c r="D37" s="335">
        <v>0</v>
      </c>
      <c r="E37" s="335">
        <v>0</v>
      </c>
      <c r="F37" s="335">
        <v>0</v>
      </c>
    </row>
    <row r="38" spans="1:6">
      <c r="A38" s="1269" t="s">
        <v>25</v>
      </c>
      <c r="B38" s="1269" t="s">
        <v>29</v>
      </c>
      <c r="C38" s="335">
        <v>1</v>
      </c>
      <c r="D38" s="335">
        <v>44151.348100763098</v>
      </c>
      <c r="E38" s="335">
        <v>2</v>
      </c>
      <c r="F38" s="335">
        <v>9954.4720504427005</v>
      </c>
    </row>
    <row r="39" spans="1:6">
      <c r="A39" s="1269" t="s">
        <v>30</v>
      </c>
      <c r="B39" s="1269" t="s">
        <v>31</v>
      </c>
      <c r="C39" s="335">
        <v>2425</v>
      </c>
      <c r="D39" s="335">
        <v>43103142.062107898</v>
      </c>
      <c r="E39" s="335">
        <v>4445</v>
      </c>
      <c r="F39" s="335">
        <v>18055172.3528261</v>
      </c>
    </row>
    <row r="40" spans="1:6">
      <c r="A40" s="1269" t="s">
        <v>30</v>
      </c>
      <c r="B40" s="1269" t="s">
        <v>29</v>
      </c>
      <c r="C40" s="335">
        <v>0</v>
      </c>
      <c r="D40" s="335">
        <v>0</v>
      </c>
      <c r="E40" s="335">
        <v>0</v>
      </c>
      <c r="F40" s="335">
        <v>0</v>
      </c>
    </row>
    <row r="41" spans="1:6">
      <c r="A41" s="1269" t="s">
        <v>32</v>
      </c>
      <c r="B41" s="1269" t="s">
        <v>33</v>
      </c>
      <c r="C41" s="335">
        <v>40</v>
      </c>
      <c r="D41" s="335">
        <v>952675.22216042504</v>
      </c>
      <c r="E41" s="335">
        <v>117</v>
      </c>
      <c r="F41" s="335">
        <v>824327.42066595505</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4</v>
      </c>
      <c r="D44" s="335">
        <v>149090.371107026</v>
      </c>
      <c r="E44" s="335">
        <v>22</v>
      </c>
      <c r="F44" s="335">
        <v>1123994.63205983</v>
      </c>
    </row>
    <row r="45" spans="1:6">
      <c r="A45" s="1269" t="s">
        <v>32</v>
      </c>
      <c r="B45" s="1269" t="s">
        <v>37</v>
      </c>
      <c r="C45" s="335">
        <v>0</v>
      </c>
      <c r="D45" s="335">
        <v>0</v>
      </c>
      <c r="E45" s="335">
        <v>3</v>
      </c>
      <c r="F45" s="335">
        <v>8533419.2244807407</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27</v>
      </c>
      <c r="D48" s="335">
        <v>70339561.529658601</v>
      </c>
      <c r="E48" s="335">
        <v>31</v>
      </c>
      <c r="F48" s="335">
        <v>55673260.683996901</v>
      </c>
    </row>
    <row r="49" spans="1:6">
      <c r="A49" s="1269" t="s">
        <v>32</v>
      </c>
      <c r="B49" s="1269" t="s">
        <v>40</v>
      </c>
      <c r="C49" s="335">
        <v>0</v>
      </c>
      <c r="D49" s="335">
        <v>0</v>
      </c>
      <c r="E49" s="335">
        <v>6</v>
      </c>
      <c r="F49" s="335">
        <v>16891935.091288</v>
      </c>
    </row>
    <row r="50" spans="1:6">
      <c r="A50" s="1269" t="s">
        <v>32</v>
      </c>
      <c r="B50" s="1269" t="s">
        <v>41</v>
      </c>
      <c r="C50" s="335">
        <v>6</v>
      </c>
      <c r="D50" s="335">
        <v>263249.51599072001</v>
      </c>
      <c r="E50" s="335">
        <v>10</v>
      </c>
      <c r="F50" s="335">
        <v>481599.50904827699</v>
      </c>
    </row>
    <row r="51" spans="1:6">
      <c r="A51" s="1269" t="s">
        <v>42</v>
      </c>
      <c r="B51" s="1269" t="s">
        <v>43</v>
      </c>
      <c r="C51" s="335">
        <v>17</v>
      </c>
      <c r="D51" s="335">
        <v>2261058.5711176</v>
      </c>
      <c r="E51" s="335">
        <v>269</v>
      </c>
      <c r="F51" s="335">
        <v>6194888.58354099</v>
      </c>
    </row>
    <row r="52" spans="1:6">
      <c r="A52" s="1269" t="s">
        <v>42</v>
      </c>
      <c r="B52" s="1269" t="s">
        <v>29</v>
      </c>
      <c r="C52" s="335">
        <v>2</v>
      </c>
      <c r="D52" s="335">
        <v>413071.67937780498</v>
      </c>
      <c r="E52" s="335">
        <v>5</v>
      </c>
      <c r="F52" s="335">
        <v>16723.888684126701</v>
      </c>
    </row>
    <row r="53" spans="1:6">
      <c r="A53" s="1269" t="s">
        <v>44</v>
      </c>
      <c r="B53" s="1269" t="s">
        <v>45</v>
      </c>
      <c r="C53" s="335">
        <v>52</v>
      </c>
      <c r="D53" s="335">
        <v>1128938.0591025599</v>
      </c>
      <c r="E53" s="335">
        <v>140</v>
      </c>
      <c r="F53" s="335">
        <v>619646.93984588399</v>
      </c>
    </row>
    <row r="54" spans="1:6">
      <c r="A54" s="1269" t="s">
        <v>46</v>
      </c>
      <c r="B54" s="1269" t="s">
        <v>47</v>
      </c>
      <c r="C54" s="335">
        <v>0</v>
      </c>
      <c r="D54" s="335">
        <v>0</v>
      </c>
      <c r="E54" s="335">
        <v>1</v>
      </c>
      <c r="F54" s="335">
        <v>1063038</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42</v>
      </c>
      <c r="D57" s="335">
        <v>5130515.8670591703</v>
      </c>
      <c r="E57" s="335">
        <v>89</v>
      </c>
      <c r="F57" s="335">
        <v>5013142.6312176604</v>
      </c>
    </row>
    <row r="58" spans="1:6">
      <c r="A58" s="1269" t="s">
        <v>49</v>
      </c>
      <c r="B58" s="1269" t="s">
        <v>51</v>
      </c>
      <c r="C58" s="335">
        <v>11</v>
      </c>
      <c r="D58" s="335">
        <v>380517.31277630402</v>
      </c>
      <c r="E58" s="335">
        <v>27</v>
      </c>
      <c r="F58" s="335">
        <v>180857.00581370699</v>
      </c>
    </row>
    <row r="59" spans="1:6">
      <c r="A59" s="1269" t="s">
        <v>49</v>
      </c>
      <c r="B59" s="1269" t="s">
        <v>52</v>
      </c>
      <c r="C59" s="335">
        <v>28</v>
      </c>
      <c r="D59" s="335">
        <v>1133993.80683185</v>
      </c>
      <c r="E59" s="335">
        <v>118</v>
      </c>
      <c r="F59" s="335">
        <v>2909712.22268565</v>
      </c>
    </row>
    <row r="60" spans="1:6">
      <c r="A60" s="1269" t="s">
        <v>49</v>
      </c>
      <c r="B60" s="1269" t="s">
        <v>53</v>
      </c>
      <c r="C60" s="335">
        <v>23</v>
      </c>
      <c r="D60" s="335">
        <v>744419.32923880697</v>
      </c>
      <c r="E60" s="335">
        <v>53</v>
      </c>
      <c r="F60" s="335">
        <v>921585.12866333697</v>
      </c>
    </row>
    <row r="61" spans="1:6">
      <c r="A61" s="1269" t="s">
        <v>49</v>
      </c>
      <c r="B61" s="1269" t="s">
        <v>54</v>
      </c>
      <c r="C61" s="335">
        <v>61</v>
      </c>
      <c r="D61" s="335">
        <v>1980311.2418016</v>
      </c>
      <c r="E61" s="335">
        <v>133</v>
      </c>
      <c r="F61" s="335">
        <v>1646342.7923574401</v>
      </c>
    </row>
    <row r="62" spans="1:6">
      <c r="A62" s="1269" t="s">
        <v>49</v>
      </c>
      <c r="B62" s="1269" t="s">
        <v>55</v>
      </c>
      <c r="C62" s="335">
        <v>3</v>
      </c>
      <c r="D62" s="335">
        <v>321598.05333881901</v>
      </c>
      <c r="E62" s="335">
        <v>5</v>
      </c>
      <c r="F62" s="335">
        <v>89894.380853337003</v>
      </c>
    </row>
    <row r="63" spans="1:6">
      <c r="A63" s="1269" t="s">
        <v>49</v>
      </c>
      <c r="B63" s="1269" t="s">
        <v>29</v>
      </c>
      <c r="C63" s="335">
        <v>61</v>
      </c>
      <c r="D63" s="335">
        <v>3619664.8155699</v>
      </c>
      <c r="E63" s="335">
        <v>83</v>
      </c>
      <c r="F63" s="335">
        <v>2387688.77296376</v>
      </c>
    </row>
    <row r="64" spans="1:6">
      <c r="A64" s="1269" t="s">
        <v>56</v>
      </c>
      <c r="B64" s="1269" t="s">
        <v>57</v>
      </c>
      <c r="C64" s="335">
        <v>0</v>
      </c>
      <c r="D64" s="335">
        <v>0</v>
      </c>
      <c r="E64" s="335">
        <v>0</v>
      </c>
      <c r="F64" s="335">
        <v>0</v>
      </c>
    </row>
    <row r="65" spans="1:6">
      <c r="A65" s="1269" t="s">
        <v>56</v>
      </c>
      <c r="B65" s="1269" t="s">
        <v>29</v>
      </c>
      <c r="C65" s="335">
        <v>0</v>
      </c>
      <c r="D65" s="335">
        <v>0</v>
      </c>
      <c r="E65" s="335">
        <v>3</v>
      </c>
      <c r="F65" s="335">
        <v>11397.0786481635</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5</v>
      </c>
      <c r="D68" s="335">
        <v>198535.43694456201</v>
      </c>
      <c r="E68" s="335">
        <v>15</v>
      </c>
      <c r="F68" s="335">
        <v>197613.77206317199</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27666755</v>
      </c>
      <c r="E73" s="335">
        <v>43053589.514953502</v>
      </c>
    </row>
    <row r="74" spans="1:6">
      <c r="A74" s="1269" t="s">
        <v>64</v>
      </c>
      <c r="B74" s="1269" t="s">
        <v>727</v>
      </c>
      <c r="C74" s="1269" t="s">
        <v>728</v>
      </c>
      <c r="D74" s="335">
        <v>3381730.3747261558</v>
      </c>
      <c r="E74" s="335">
        <v>5552210.8976107081</v>
      </c>
    </row>
    <row r="75" spans="1:6">
      <c r="A75" s="1269" t="s">
        <v>65</v>
      </c>
      <c r="B75" s="1269" t="s">
        <v>725</v>
      </c>
      <c r="C75" s="1269" t="s">
        <v>729</v>
      </c>
      <c r="D75" s="335">
        <v>13062160</v>
      </c>
      <c r="E75" s="335">
        <v>17588396.358399976</v>
      </c>
    </row>
    <row r="76" spans="1:6">
      <c r="A76" s="1269" t="s">
        <v>65</v>
      </c>
      <c r="B76" s="1269" t="s">
        <v>727</v>
      </c>
      <c r="C76" s="1269" t="s">
        <v>730</v>
      </c>
      <c r="D76" s="335">
        <v>620538.37472615601</v>
      </c>
      <c r="E76" s="335">
        <v>882158.4544367058</v>
      </c>
    </row>
    <row r="77" spans="1:6">
      <c r="A77" s="1269" t="s">
        <v>66</v>
      </c>
      <c r="B77" s="1269" t="s">
        <v>725</v>
      </c>
      <c r="C77" s="1269" t="s">
        <v>731</v>
      </c>
      <c r="D77" s="335">
        <v>69016468</v>
      </c>
      <c r="E77" s="335">
        <v>74475275.149950147</v>
      </c>
    </row>
    <row r="78" spans="1:6">
      <c r="A78" s="1265" t="s">
        <v>66</v>
      </c>
      <c r="B78" s="1265" t="s">
        <v>727</v>
      </c>
      <c r="C78" s="1265" t="s">
        <v>732</v>
      </c>
      <c r="D78" s="1265">
        <v>10837507</v>
      </c>
      <c r="E78" s="1265">
        <v>11681004.559879586</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284483.25054768805</v>
      </c>
      <c r="C83" s="335">
        <v>286180.48150023661</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3712.3965498064817</v>
      </c>
    </row>
    <row r="92" spans="1:6">
      <c r="A92" s="1265" t="s">
        <v>69</v>
      </c>
      <c r="B92" s="338">
        <v>3179.7524497906752</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1371</v>
      </c>
    </row>
    <row r="98" spans="1:6">
      <c r="A98" s="1269" t="s">
        <v>72</v>
      </c>
      <c r="B98" s="335">
        <v>0</v>
      </c>
    </row>
    <row r="99" spans="1:6">
      <c r="A99" s="1269" t="s">
        <v>73</v>
      </c>
      <c r="B99" s="335">
        <v>212</v>
      </c>
    </row>
    <row r="100" spans="1:6">
      <c r="A100" s="1269" t="s">
        <v>74</v>
      </c>
      <c r="B100" s="335">
        <v>316</v>
      </c>
    </row>
    <row r="101" spans="1:6">
      <c r="A101" s="1269" t="s">
        <v>75</v>
      </c>
      <c r="B101" s="335">
        <v>182</v>
      </c>
    </row>
    <row r="102" spans="1:6">
      <c r="A102" s="1269" t="s">
        <v>76</v>
      </c>
      <c r="B102" s="335">
        <v>54</v>
      </c>
    </row>
    <row r="103" spans="1:6">
      <c r="A103" s="1269" t="s">
        <v>77</v>
      </c>
      <c r="B103" s="335">
        <v>291</v>
      </c>
    </row>
    <row r="104" spans="1:6">
      <c r="A104" s="1269" t="s">
        <v>78</v>
      </c>
      <c r="B104" s="335">
        <v>1851</v>
      </c>
    </row>
    <row r="105" spans="1:6">
      <c r="A105" s="1265" t="s">
        <v>79</v>
      </c>
      <c r="B105" s="1265">
        <v>3</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11</v>
      </c>
      <c r="C123" s="335">
        <v>11</v>
      </c>
    </row>
    <row r="124" spans="1:6">
      <c r="A124" s="1265" t="s">
        <v>89</v>
      </c>
      <c r="B124" s="335">
        <v>4</v>
      </c>
      <c r="C124" s="335">
        <v>4</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162</v>
      </c>
    </row>
    <row r="130" spans="1:6">
      <c r="A130" s="1269" t="s">
        <v>295</v>
      </c>
      <c r="B130" s="335">
        <v>1</v>
      </c>
    </row>
    <row r="131" spans="1:6">
      <c r="A131" s="1269" t="s">
        <v>296</v>
      </c>
      <c r="B131" s="335">
        <v>1</v>
      </c>
    </row>
    <row r="132" spans="1:6">
      <c r="A132" s="1265" t="s">
        <v>297</v>
      </c>
      <c r="B132" s="338">
        <v>7</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125755.07140191867</v>
      </c>
      <c r="C3" s="43" t="s">
        <v>170</v>
      </c>
      <c r="D3" s="43"/>
      <c r="E3" s="156"/>
      <c r="F3" s="43"/>
      <c r="G3" s="43"/>
      <c r="H3" s="43"/>
      <c r="I3" s="43"/>
      <c r="J3" s="43"/>
      <c r="K3" s="96"/>
    </row>
    <row r="4" spans="1:11">
      <c r="A4" s="366" t="s">
        <v>171</v>
      </c>
      <c r="B4" s="49">
        <f>IF(ISERROR('SEAP template'!B69),0,'SEAP template'!B69)</f>
        <v>6921.2489995971573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0.20883670501826274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41.571428571428562</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1063.038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1063.038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0.20883670501826274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222.00135322920397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18055.172352826099</v>
      </c>
      <c r="C5" s="17">
        <f>IF(ISERROR('Eigen informatie GS &amp; warmtenet'!B57),0,'Eigen informatie GS &amp; warmtenet'!B57)</f>
        <v>0</v>
      </c>
      <c r="D5" s="30">
        <f>(SUM(HH_hh_gas_kWh,HH_rest_gas_kWh)/1000)*0.902</f>
        <v>38879.034140021329</v>
      </c>
      <c r="E5" s="17">
        <f>B46*B57</f>
        <v>8343.6511478936409</v>
      </c>
      <c r="F5" s="17">
        <f>B51*B62</f>
        <v>22818.879891363955</v>
      </c>
      <c r="G5" s="18"/>
      <c r="H5" s="17"/>
      <c r="I5" s="17"/>
      <c r="J5" s="17">
        <f>B50*B61+C50*C61</f>
        <v>7550.7786362920497</v>
      </c>
      <c r="K5" s="17"/>
      <c r="L5" s="17"/>
      <c r="M5" s="17"/>
      <c r="N5" s="17">
        <f>B48*B59+C48*C59</f>
        <v>26853.363569359492</v>
      </c>
      <c r="O5" s="17">
        <f>B69*B70*B71</f>
        <v>276.70999999999998</v>
      </c>
      <c r="P5" s="17">
        <f>B77*B78*B79/1000-B77*B78*B79/1000/B80</f>
        <v>419.4666666666667</v>
      </c>
    </row>
    <row r="6" spans="1:16">
      <c r="A6" s="16" t="s">
        <v>634</v>
      </c>
      <c r="B6" s="831">
        <f>kWh_PV_kleiner_dan_10kW</f>
        <v>3712.3965498064817</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21767.568902632582</v>
      </c>
      <c r="C8" s="21">
        <f>C5</f>
        <v>0</v>
      </c>
      <c r="D8" s="21">
        <f>D5</f>
        <v>38879.034140021329</v>
      </c>
      <c r="E8" s="21">
        <f>E5</f>
        <v>8343.6511478936409</v>
      </c>
      <c r="F8" s="21">
        <f>F5</f>
        <v>22818.879891363955</v>
      </c>
      <c r="G8" s="21"/>
      <c r="H8" s="21"/>
      <c r="I8" s="21"/>
      <c r="J8" s="21">
        <f>J5</f>
        <v>7550.7786362920497</v>
      </c>
      <c r="K8" s="21"/>
      <c r="L8" s="21">
        <f>L5</f>
        <v>0</v>
      </c>
      <c r="M8" s="21">
        <f>M5</f>
        <v>0</v>
      </c>
      <c r="N8" s="21">
        <f>N5</f>
        <v>26853.363569359492</v>
      </c>
      <c r="O8" s="21">
        <f>O5</f>
        <v>276.70999999999998</v>
      </c>
      <c r="P8" s="21">
        <f>P5</f>
        <v>419.4666666666667</v>
      </c>
    </row>
    <row r="9" spans="1:16">
      <c r="B9" s="19"/>
      <c r="C9" s="19"/>
      <c r="D9" s="261"/>
      <c r="E9" s="19"/>
      <c r="F9" s="19"/>
      <c r="G9" s="19"/>
      <c r="H9" s="19"/>
      <c r="I9" s="19"/>
      <c r="J9" s="19"/>
      <c r="K9" s="19"/>
      <c r="L9" s="19"/>
      <c r="M9" s="19"/>
      <c r="N9" s="19"/>
      <c r="O9" s="19"/>
      <c r="P9" s="19"/>
    </row>
    <row r="10" spans="1:16">
      <c r="A10" s="24" t="s">
        <v>214</v>
      </c>
      <c r="B10" s="25">
        <f ca="1">'EF ele_warmte'!B12</f>
        <v>0.20883670501826274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4545.8673658837897</v>
      </c>
      <c r="C12" s="23">
        <f ca="1">C10*C8</f>
        <v>0</v>
      </c>
      <c r="D12" s="23">
        <f>D8*D10</f>
        <v>7853.5648962843088</v>
      </c>
      <c r="E12" s="23">
        <f>E10*E8</f>
        <v>1894.0088105718564</v>
      </c>
      <c r="F12" s="23">
        <f>F10*F8</f>
        <v>6092.6409309941764</v>
      </c>
      <c r="G12" s="23"/>
      <c r="H12" s="23"/>
      <c r="I12" s="23"/>
      <c r="J12" s="23">
        <f>J10*J8</f>
        <v>2672.9756372473853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1371</v>
      </c>
      <c r="C18" s="168" t="s">
        <v>111</v>
      </c>
      <c r="D18" s="230"/>
      <c r="E18" s="15"/>
    </row>
    <row r="19" spans="1:7">
      <c r="A19" s="173" t="s">
        <v>72</v>
      </c>
      <c r="B19" s="37">
        <f>aantalw2001_ander</f>
        <v>0</v>
      </c>
      <c r="C19" s="168" t="s">
        <v>111</v>
      </c>
      <c r="D19" s="231"/>
      <c r="E19" s="15"/>
    </row>
    <row r="20" spans="1:7">
      <c r="A20" s="173" t="s">
        <v>73</v>
      </c>
      <c r="B20" s="37">
        <f>aantalw2001_propaan</f>
        <v>212</v>
      </c>
      <c r="C20" s="169">
        <f>IF(ISERROR(B20/SUM($B$20,$B$21,$B$22)*100),0,B20/SUM($B$20,$B$21,$B$22)*100)</f>
        <v>29.859154929577464</v>
      </c>
      <c r="D20" s="231"/>
      <c r="E20" s="15"/>
    </row>
    <row r="21" spans="1:7">
      <c r="A21" s="173" t="s">
        <v>74</v>
      </c>
      <c r="B21" s="37">
        <f>aantalw2001_elektriciteit</f>
        <v>316</v>
      </c>
      <c r="C21" s="169">
        <f>IF(ISERROR(B21/SUM($B$20,$B$21,$B$22)*100),0,B21/SUM($B$20,$B$21,$B$22)*100)</f>
        <v>44.507042253521128</v>
      </c>
      <c r="D21" s="231"/>
      <c r="E21" s="15"/>
    </row>
    <row r="22" spans="1:7">
      <c r="A22" s="173" t="s">
        <v>75</v>
      </c>
      <c r="B22" s="37">
        <f>aantalw2001_hout</f>
        <v>182</v>
      </c>
      <c r="C22" s="169">
        <f>IF(ISERROR(B22/SUM($B$20,$B$21,$B$22)*100),0,B22/SUM($B$20,$B$21,$B$22)*100)</f>
        <v>25.633802816901408</v>
      </c>
      <c r="D22" s="231"/>
      <c r="E22" s="15"/>
    </row>
    <row r="23" spans="1:7">
      <c r="A23" s="173" t="s">
        <v>76</v>
      </c>
      <c r="B23" s="37">
        <f>aantalw2001_niet_gespec</f>
        <v>54</v>
      </c>
      <c r="C23" s="168" t="s">
        <v>111</v>
      </c>
      <c r="D23" s="230"/>
      <c r="E23" s="15"/>
    </row>
    <row r="24" spans="1:7">
      <c r="A24" s="173" t="s">
        <v>77</v>
      </c>
      <c r="B24" s="37">
        <f>aantalw2001_steenkool</f>
        <v>291</v>
      </c>
      <c r="C24" s="168" t="s">
        <v>111</v>
      </c>
      <c r="D24" s="231"/>
      <c r="E24" s="15"/>
    </row>
    <row r="25" spans="1:7">
      <c r="A25" s="173" t="s">
        <v>78</v>
      </c>
      <c r="B25" s="37">
        <f>aantalw2001_stookolie</f>
        <v>1851</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4876</v>
      </c>
      <c r="C28" s="36"/>
      <c r="D28" s="230"/>
    </row>
    <row r="29" spans="1:7" s="15" customFormat="1">
      <c r="A29" s="232" t="s">
        <v>746</v>
      </c>
      <c r="B29" s="37">
        <f>SUM(HH_hh_gas_aantal,HH_rest_gas_aantal)</f>
        <v>2425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2425</v>
      </c>
      <c r="C32" s="169">
        <f>IF(ISERROR(B32/SUM($B$32,$B$34,$B$35,$B$36,$B$38,$B$39)*100),0,B32/SUM($B$32,$B$34,$B$35,$B$36,$B$38,$B$39)*100)</f>
        <v>49.958796868562011</v>
      </c>
      <c r="D32" s="235"/>
      <c r="G32" s="15"/>
    </row>
    <row r="33" spans="1:7">
      <c r="A33" s="173" t="s">
        <v>72</v>
      </c>
      <c r="B33" s="34" t="s">
        <v>111</v>
      </c>
      <c r="C33" s="169"/>
      <c r="D33" s="235"/>
      <c r="G33" s="15"/>
    </row>
    <row r="34" spans="1:7">
      <c r="A34" s="173" t="s">
        <v>73</v>
      </c>
      <c r="B34" s="33">
        <f>IF((($B$28-$B$32-$B$39-$B$77-$B$38)*C20/100)&lt;0,0,($B$28-$B$32-$B$39-$B$77-$B$38)*C20/100)</f>
        <v>400.41126760563378</v>
      </c>
      <c r="C34" s="169">
        <f>IF(ISERROR(B34/SUM($B$32,$B$34,$B$35,$B$36,$B$38,$B$39)*100),0,B34/SUM($B$32,$B$34,$B$35,$B$36,$B$38,$B$39)*100)</f>
        <v>8.2490990442034153</v>
      </c>
      <c r="D34" s="235"/>
      <c r="G34" s="15"/>
    </row>
    <row r="35" spans="1:7">
      <c r="A35" s="173" t="s">
        <v>74</v>
      </c>
      <c r="B35" s="33">
        <f>IF((($B$28-$B$32-$B$39-$B$77-$B$38)*C21/100)&lt;0,0,($B$28-$B$32-$B$39-$B$77-$B$38)*C21/100)</f>
        <v>596.8394366197183</v>
      </c>
      <c r="C35" s="169">
        <f>IF(ISERROR(B35/SUM($B$32,$B$34,$B$35,$B$36,$B$38,$B$39)*100),0,B35/SUM($B$32,$B$34,$B$35,$B$36,$B$38,$B$39)*100)</f>
        <v>12.295826877208865</v>
      </c>
      <c r="D35" s="235"/>
      <c r="G35" s="15"/>
    </row>
    <row r="36" spans="1:7">
      <c r="A36" s="173" t="s">
        <v>75</v>
      </c>
      <c r="B36" s="33">
        <f>IF((($B$28-$B$32-$B$39-$B$77-$B$38)*C22/100)&lt;0,0,($B$28-$B$32-$B$39-$B$77-$B$38)*C22/100)</f>
        <v>343.74929577464792</v>
      </c>
      <c r="C36" s="169">
        <f>IF(ISERROR(B36/SUM($B$32,$B$34,$B$35,$B$36,$B$38,$B$39)*100),0,B36/SUM($B$32,$B$34,$B$35,$B$36,$B$38,$B$39)*100)</f>
        <v>7.0817737077595364</v>
      </c>
      <c r="D36" s="235"/>
      <c r="G36" s="15"/>
    </row>
    <row r="37" spans="1:7">
      <c r="A37" s="173" t="s">
        <v>76</v>
      </c>
      <c r="B37" s="34" t="s">
        <v>111</v>
      </c>
      <c r="C37" s="169"/>
      <c r="D37" s="175"/>
      <c r="G37" s="15"/>
    </row>
    <row r="38" spans="1:7">
      <c r="A38" s="173" t="s">
        <v>77</v>
      </c>
      <c r="B38" s="33">
        <f>IF((B24-(B29-B18)*0.1)&lt;0,0,B24-(B29-B18)*0.1)</f>
        <v>185.6</v>
      </c>
      <c r="C38" s="169">
        <f>IF(ISERROR(B38/SUM($B$32,$B$34,$B$35,$B$36,$B$38,$B$39)*100),0,B38/SUM($B$32,$B$34,$B$35,$B$36,$B$38,$B$39)*100)</f>
        <v>3.8236505974454058</v>
      </c>
      <c r="D38" s="236"/>
      <c r="G38" s="15"/>
    </row>
    <row r="39" spans="1:7">
      <c r="A39" s="173" t="s">
        <v>78</v>
      </c>
      <c r="B39" s="33">
        <f>IF((B25-(B29-B18))&lt;0,0,B25-(B29-B18)*0.9)</f>
        <v>902.4</v>
      </c>
      <c r="C39" s="169">
        <f>IF(ISERROR(B39/SUM($B$32,$B$34,$B$35,$B$36,$B$38,$B$39)*100),0,B39/SUM($B$32,$B$34,$B$35,$B$36,$B$38,$B$39)*100)</f>
        <v>18.590852904820764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2425</v>
      </c>
      <c r="C44" s="34" t="s">
        <v>111</v>
      </c>
      <c r="D44" s="176"/>
    </row>
    <row r="45" spans="1:7">
      <c r="A45" s="173" t="s">
        <v>72</v>
      </c>
      <c r="B45" s="33" t="str">
        <f t="shared" si="0"/>
        <v>-</v>
      </c>
      <c r="C45" s="34" t="s">
        <v>111</v>
      </c>
      <c r="D45" s="176"/>
    </row>
    <row r="46" spans="1:7">
      <c r="A46" s="173" t="s">
        <v>73</v>
      </c>
      <c r="B46" s="33">
        <f t="shared" si="0"/>
        <v>400.41126760563378</v>
      </c>
      <c r="C46" s="34" t="s">
        <v>111</v>
      </c>
      <c r="D46" s="176"/>
    </row>
    <row r="47" spans="1:7">
      <c r="A47" s="173" t="s">
        <v>74</v>
      </c>
      <c r="B47" s="33">
        <f t="shared" si="0"/>
        <v>596.8394366197183</v>
      </c>
      <c r="C47" s="34" t="s">
        <v>111</v>
      </c>
      <c r="D47" s="176"/>
    </row>
    <row r="48" spans="1:7">
      <c r="A48" s="173" t="s">
        <v>75</v>
      </c>
      <c r="B48" s="33">
        <f t="shared" si="0"/>
        <v>343.74929577464792</v>
      </c>
      <c r="C48" s="33">
        <f>B48*10</f>
        <v>3437.4929577464791</v>
      </c>
      <c r="D48" s="236"/>
    </row>
    <row r="49" spans="1:6">
      <c r="A49" s="173" t="s">
        <v>76</v>
      </c>
      <c r="B49" s="33" t="str">
        <f t="shared" si="0"/>
        <v>-</v>
      </c>
      <c r="C49" s="34" t="s">
        <v>111</v>
      </c>
      <c r="D49" s="236"/>
    </row>
    <row r="50" spans="1:6">
      <c r="A50" s="173" t="s">
        <v>77</v>
      </c>
      <c r="B50" s="33">
        <f t="shared" si="0"/>
        <v>185.6</v>
      </c>
      <c r="C50" s="33">
        <f>B50*2</f>
        <v>371.2</v>
      </c>
      <c r="D50" s="236"/>
    </row>
    <row r="51" spans="1:6">
      <c r="A51" s="173" t="s">
        <v>78</v>
      </c>
      <c r="B51" s="33">
        <f t="shared" si="0"/>
        <v>902.4</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177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13149.222934554891</v>
      </c>
      <c r="C5" s="17">
        <f>IF(ISERROR('Eigen informatie GS &amp; warmtenet'!B58),0,'Eigen informatie GS &amp; warmtenet'!B58)</f>
        <v>0</v>
      </c>
      <c r="D5" s="30">
        <f>SUM(D6:D12)</f>
        <v>12006.540424808038</v>
      </c>
      <c r="E5" s="17">
        <f>SUM(E6:E12)</f>
        <v>152.54110100070878</v>
      </c>
      <c r="F5" s="17">
        <f>SUM(F6:F12)</f>
        <v>3057.7656758563362</v>
      </c>
      <c r="G5" s="18"/>
      <c r="H5" s="17"/>
      <c r="I5" s="17"/>
      <c r="J5" s="17">
        <f>SUM(J6:J12)</f>
        <v>0</v>
      </c>
      <c r="K5" s="17"/>
      <c r="L5" s="17"/>
      <c r="M5" s="17"/>
      <c r="N5" s="17">
        <f>SUM(N6:N12)</f>
        <v>3690.7549180115748</v>
      </c>
      <c r="O5" s="17">
        <f>B38*B39*B40</f>
        <v>1.5633333333333335</v>
      </c>
      <c r="P5" s="17">
        <f>B46*B47*B48/1000-B46*B47*B48/1000/B49</f>
        <v>19.066666666666666</v>
      </c>
      <c r="R5" s="32"/>
    </row>
    <row r="6" spans="1:18">
      <c r="A6" s="32" t="s">
        <v>54</v>
      </c>
      <c r="B6" s="37">
        <f>B26</f>
        <v>1646.3427923574402</v>
      </c>
      <c r="C6" s="33"/>
      <c r="D6" s="37">
        <f>IF(ISERROR(TER_kantoor_gas_kWh/1000),0,TER_kantoor_gas_kWh/1000)*0.902</f>
        <v>1786.2407401050432</v>
      </c>
      <c r="E6" s="33">
        <f>$C$26*'E Balans VL '!I12/100/3.6*1000000</f>
        <v>6.3963902993860708</v>
      </c>
      <c r="F6" s="33">
        <f>$C$26*('E Balans VL '!L12+'E Balans VL '!N12)/100/3.6*1000000</f>
        <v>250.39375819250733</v>
      </c>
      <c r="G6" s="34"/>
      <c r="H6" s="33"/>
      <c r="I6" s="33"/>
      <c r="J6" s="33">
        <f>$C$26*('E Balans VL '!D12+'E Balans VL '!E12)/100/3.6*1000000</f>
        <v>0</v>
      </c>
      <c r="K6" s="33"/>
      <c r="L6" s="33"/>
      <c r="M6" s="33"/>
      <c r="N6" s="33">
        <f>$C$26*'E Balans VL '!Y12/100/3.6*1000000</f>
        <v>0.90733210559837574</v>
      </c>
      <c r="O6" s="33"/>
      <c r="P6" s="33"/>
      <c r="R6" s="32"/>
    </row>
    <row r="7" spans="1:18">
      <c r="A7" s="32" t="s">
        <v>53</v>
      </c>
      <c r="B7" s="37">
        <f t="shared" ref="B7:B12" si="0">B27</f>
        <v>921.58512866333695</v>
      </c>
      <c r="C7" s="33"/>
      <c r="D7" s="37">
        <f>IF(ISERROR(TER_horeca_gas_kWh/1000),0,TER_horeca_gas_kWh/1000)*0.902</f>
        <v>671.46623497340397</v>
      </c>
      <c r="E7" s="33">
        <f>$C$27*'E Balans VL '!I9/100/3.6*1000000</f>
        <v>51.913136688646496</v>
      </c>
      <c r="F7" s="33">
        <f>$C$27*('E Balans VL '!L9+'E Balans VL '!N9)/100/3.6*1000000</f>
        <v>265.72997693117873</v>
      </c>
      <c r="G7" s="34"/>
      <c r="H7" s="33"/>
      <c r="I7" s="33"/>
      <c r="J7" s="33">
        <f>$C$27*('E Balans VL '!D9+'E Balans VL '!E9)/100/3.6*1000000</f>
        <v>0</v>
      </c>
      <c r="K7" s="33"/>
      <c r="L7" s="33"/>
      <c r="M7" s="33"/>
      <c r="N7" s="33">
        <f>$C$27*'E Balans VL '!Y9/100/3.6*1000000</f>
        <v>0.25444486501703578</v>
      </c>
      <c r="O7" s="33"/>
      <c r="P7" s="33"/>
      <c r="R7" s="32"/>
    </row>
    <row r="8" spans="1:18">
      <c r="A8" s="6" t="s">
        <v>52</v>
      </c>
      <c r="B8" s="37">
        <f t="shared" si="0"/>
        <v>2909.71222268565</v>
      </c>
      <c r="C8" s="33"/>
      <c r="D8" s="37">
        <f>IF(ISERROR(TER_handel_gas_kWh/1000),0,TER_handel_gas_kWh/1000)*0.902</f>
        <v>1022.8624137623286</v>
      </c>
      <c r="E8" s="33">
        <f>$C$28*'E Balans VL '!I13/100/3.6*1000000</f>
        <v>41.938824800480589</v>
      </c>
      <c r="F8" s="33">
        <f>$C$28*('E Balans VL '!L13+'E Balans VL '!N13)/100/3.6*1000000</f>
        <v>505.4847757056196</v>
      </c>
      <c r="G8" s="34"/>
      <c r="H8" s="33"/>
      <c r="I8" s="33"/>
      <c r="J8" s="33">
        <f>$C$28*('E Balans VL '!D13+'E Balans VL '!E13)/100/3.6*1000000</f>
        <v>0</v>
      </c>
      <c r="K8" s="33"/>
      <c r="L8" s="33"/>
      <c r="M8" s="33"/>
      <c r="N8" s="33">
        <f>$C$28*'E Balans VL '!Y13/100/3.6*1000000</f>
        <v>8.7178217350035538</v>
      </c>
      <c r="O8" s="33"/>
      <c r="P8" s="33"/>
      <c r="R8" s="32"/>
    </row>
    <row r="9" spans="1:18">
      <c r="A9" s="32" t="s">
        <v>51</v>
      </c>
      <c r="B9" s="37">
        <f t="shared" si="0"/>
        <v>180.85700581370699</v>
      </c>
      <c r="C9" s="33"/>
      <c r="D9" s="37">
        <f>IF(ISERROR(TER_gezond_gas_kWh/1000),0,TER_gezond_gas_kWh/1000)*0.902</f>
        <v>343.22661612422627</v>
      </c>
      <c r="E9" s="33">
        <f>$C$29*'E Balans VL '!I10/100/3.6*1000000</f>
        <v>0.19320215862346418</v>
      </c>
      <c r="F9" s="33">
        <f>$C$29*('E Balans VL '!L10+'E Balans VL '!N10)/100/3.6*1000000</f>
        <v>29.503274098877913</v>
      </c>
      <c r="G9" s="34"/>
      <c r="H9" s="33"/>
      <c r="I9" s="33"/>
      <c r="J9" s="33">
        <f>$C$29*('E Balans VL '!D10+'E Balans VL '!E10)/100/3.6*1000000</f>
        <v>0</v>
      </c>
      <c r="K9" s="33"/>
      <c r="L9" s="33"/>
      <c r="M9" s="33"/>
      <c r="N9" s="33">
        <f>$C$29*'E Balans VL '!Y10/100/3.6*1000000</f>
        <v>1.8618196799033673</v>
      </c>
      <c r="O9" s="33"/>
      <c r="P9" s="33"/>
      <c r="R9" s="32"/>
    </row>
    <row r="10" spans="1:18">
      <c r="A10" s="32" t="s">
        <v>50</v>
      </c>
      <c r="B10" s="37">
        <f t="shared" si="0"/>
        <v>5013.14263121766</v>
      </c>
      <c r="C10" s="33"/>
      <c r="D10" s="37">
        <f>IF(ISERROR(TER_ander_gas_kWh/1000),0,TER_ander_gas_kWh/1000)*0.902</f>
        <v>4627.7253120873711</v>
      </c>
      <c r="E10" s="33">
        <f>$C$30*'E Balans VL '!I14/100/3.6*1000000</f>
        <v>23.054680405368536</v>
      </c>
      <c r="F10" s="33">
        <f>$C$30*('E Balans VL '!L14+'E Balans VL '!N14)/100/3.6*1000000</f>
        <v>1502.5969753068623</v>
      </c>
      <c r="G10" s="34"/>
      <c r="H10" s="33"/>
      <c r="I10" s="33"/>
      <c r="J10" s="33">
        <f>$C$30*('E Balans VL '!D14+'E Balans VL '!E14)/100/3.6*1000000</f>
        <v>0</v>
      </c>
      <c r="K10" s="33"/>
      <c r="L10" s="33"/>
      <c r="M10" s="33"/>
      <c r="N10" s="33">
        <f>$C$30*'E Balans VL '!Y14/100/3.6*1000000</f>
        <v>3489.4781927261088</v>
      </c>
      <c r="O10" s="33"/>
      <c r="P10" s="33"/>
      <c r="R10" s="32"/>
    </row>
    <row r="11" spans="1:18">
      <c r="A11" s="32" t="s">
        <v>55</v>
      </c>
      <c r="B11" s="37">
        <f t="shared" si="0"/>
        <v>89.894380853336997</v>
      </c>
      <c r="C11" s="33"/>
      <c r="D11" s="37">
        <f>IF(ISERROR(TER_onderwijs_gas_kWh/1000),0,TER_onderwijs_gas_kWh/1000)*0.902</f>
        <v>290.08144411161476</v>
      </c>
      <c r="E11" s="33">
        <f>$C$31*'E Balans VL '!I11/100/3.6*1000000</f>
        <v>8.3388860141665244E-2</v>
      </c>
      <c r="F11" s="33">
        <f>$C$31*('E Balans VL '!L11+'E Balans VL '!N11)/100/3.6*1000000</f>
        <v>31.577829919976246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2387.6887729637601</v>
      </c>
      <c r="C12" s="33"/>
      <c r="D12" s="37">
        <f>IF(ISERROR(TER_rest_gas_kWh/1000),0,TER_rest_gas_kWh/1000)*0.902</f>
        <v>3264.9376636440497</v>
      </c>
      <c r="E12" s="33">
        <f>$C$32*'E Balans VL '!I8/100/3.6*1000000</f>
        <v>28.961477788061949</v>
      </c>
      <c r="F12" s="33">
        <f>$C$32*('E Balans VL '!L8+'E Balans VL '!N8)/100/3.6*1000000</f>
        <v>472.47908570131381</v>
      </c>
      <c r="G12" s="34"/>
      <c r="H12" s="33"/>
      <c r="I12" s="33"/>
      <c r="J12" s="33">
        <f>$C$32*('E Balans VL '!D8+'E Balans VL '!E8)/100/3.6*1000000</f>
        <v>0</v>
      </c>
      <c r="K12" s="33"/>
      <c r="L12" s="33"/>
      <c r="M12" s="33"/>
      <c r="N12" s="33">
        <f>$C$32*'E Balans VL '!Y8/100/3.6*1000000</f>
        <v>189.53530689994383</v>
      </c>
      <c r="O12" s="33"/>
      <c r="P12" s="33"/>
      <c r="R12" s="32"/>
    </row>
    <row r="13" spans="1:18">
      <c r="A13" s="16" t="s">
        <v>497</v>
      </c>
      <c r="B13" s="249">
        <f ca="1">'lokale energieproductie'!N90+'lokale energieproductie'!N59</f>
        <v>29.099999999999994</v>
      </c>
      <c r="C13" s="249">
        <f ca="1">'lokale energieproductie'!O90+'lokale energieproductie'!O59</f>
        <v>41.571428571428562</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-83.142857142857139</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13178.322934554892</v>
      </c>
      <c r="C16" s="21">
        <f t="shared" ca="1" si="1"/>
        <v>41.571428571428562</v>
      </c>
      <c r="D16" s="21">
        <f t="shared" ca="1" si="1"/>
        <v>12006.540424808038</v>
      </c>
      <c r="E16" s="21">
        <f t="shared" si="1"/>
        <v>152.54110100070878</v>
      </c>
      <c r="F16" s="21">
        <f t="shared" ca="1" si="1"/>
        <v>3057.7656758563362</v>
      </c>
      <c r="G16" s="21">
        <f t="shared" si="1"/>
        <v>0</v>
      </c>
      <c r="H16" s="21">
        <f t="shared" si="1"/>
        <v>0</v>
      </c>
      <c r="I16" s="21">
        <f t="shared" si="1"/>
        <v>0</v>
      </c>
      <c r="J16" s="21">
        <f t="shared" si="1"/>
        <v>0</v>
      </c>
      <c r="K16" s="21">
        <f t="shared" si="1"/>
        <v>0</v>
      </c>
      <c r="L16" s="21">
        <f t="shared" ca="1" si="1"/>
        <v>0</v>
      </c>
      <c r="M16" s="21">
        <f t="shared" si="1"/>
        <v>0</v>
      </c>
      <c r="N16" s="21">
        <f t="shared" ca="1" si="1"/>
        <v>3607.6120608687174</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0.20883670501826274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2752.1175393190465</v>
      </c>
      <c r="C20" s="23">
        <f t="shared" ref="C20:P20" ca="1" si="2">C16*C18</f>
        <v>0</v>
      </c>
      <c r="D20" s="23">
        <f t="shared" ca="1" si="2"/>
        <v>2425.3211658112236</v>
      </c>
      <c r="E20" s="23">
        <f t="shared" si="2"/>
        <v>34.626829927160891</v>
      </c>
      <c r="F20" s="23">
        <f t="shared" ca="1" si="2"/>
        <v>816.42343545364179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1646.3427923574402</v>
      </c>
      <c r="C26" s="39">
        <f>IF(ISERROR(B26*3.6/1000000/'E Balans VL '!Z12*100),0,B26*3.6/1000000/'E Balans VL '!Z12*100)</f>
        <v>3.4969136401878827E-2</v>
      </c>
      <c r="D26" s="239" t="s">
        <v>692</v>
      </c>
      <c r="F26" s="6"/>
    </row>
    <row r="27" spans="1:18">
      <c r="A27" s="233" t="s">
        <v>53</v>
      </c>
      <c r="B27" s="33">
        <f>IF(ISERROR(TER_horeca_ele_kWh/1000),0,TER_horeca_ele_kWh/1000)</f>
        <v>921.58512866333695</v>
      </c>
      <c r="C27" s="39">
        <f>IF(ISERROR(B27*3.6/1000000/'E Balans VL '!Z9*100),0,B27*3.6/1000000/'E Balans VL '!Z9*100)</f>
        <v>7.165885627916424E-2</v>
      </c>
      <c r="D27" s="239" t="s">
        <v>692</v>
      </c>
      <c r="F27" s="6"/>
    </row>
    <row r="28" spans="1:18">
      <c r="A28" s="173" t="s">
        <v>52</v>
      </c>
      <c r="B28" s="33">
        <f>IF(ISERROR(TER_handel_ele_kWh/1000),0,TER_handel_ele_kWh/1000)</f>
        <v>2909.71222268565</v>
      </c>
      <c r="C28" s="39">
        <f>IF(ISERROR(B28*3.6/1000000/'E Balans VL '!Z13*100),0,B28*3.6/1000000/'E Balans VL '!Z13*100)</f>
        <v>8.3250291079763547E-2</v>
      </c>
      <c r="D28" s="239" t="s">
        <v>692</v>
      </c>
      <c r="F28" s="6"/>
    </row>
    <row r="29" spans="1:18">
      <c r="A29" s="233" t="s">
        <v>51</v>
      </c>
      <c r="B29" s="33">
        <f>IF(ISERROR(TER_gezond_ele_kWh/1000),0,TER_gezond_ele_kWh/1000)</f>
        <v>180.85700581370699</v>
      </c>
      <c r="C29" s="39">
        <f>IF(ISERROR(B29*3.6/1000000/'E Balans VL '!Z10*100),0,B29*3.6/1000000/'E Balans VL '!Z10*100)</f>
        <v>1.9717616246482148E-2</v>
      </c>
      <c r="D29" s="239" t="s">
        <v>692</v>
      </c>
      <c r="F29" s="6"/>
    </row>
    <row r="30" spans="1:18">
      <c r="A30" s="233" t="s">
        <v>50</v>
      </c>
      <c r="B30" s="33">
        <f>IF(ISERROR(TER_ander_ele_kWh/1000),0,TER_ander_ele_kWh/1000)</f>
        <v>5013.14263121766</v>
      </c>
      <c r="C30" s="39">
        <f>IF(ISERROR(B30*3.6/1000000/'E Balans VL '!Z14*100),0,B30*3.6/1000000/'E Balans VL '!Z14*100)</f>
        <v>0.36685040570802885</v>
      </c>
      <c r="D30" s="239" t="s">
        <v>692</v>
      </c>
      <c r="F30" s="6"/>
    </row>
    <row r="31" spans="1:18">
      <c r="A31" s="233" t="s">
        <v>55</v>
      </c>
      <c r="B31" s="33">
        <f>IF(ISERROR(TER_onderwijs_ele_kWh/1000),0,TER_onderwijs_ele_kWh/1000)</f>
        <v>89.894380853336997</v>
      </c>
      <c r="C31" s="39">
        <f>IF(ISERROR(B31*3.6/1000000/'E Balans VL '!Z11*100),0,B31*3.6/1000000/'E Balans VL '!Z11*100)</f>
        <v>1.8055353148119228E-2</v>
      </c>
      <c r="D31" s="239" t="s">
        <v>692</v>
      </c>
    </row>
    <row r="32" spans="1:18">
      <c r="A32" s="233" t="s">
        <v>260</v>
      </c>
      <c r="B32" s="33">
        <f>IF(ISERROR(TER_rest_ele_kWh/1000),0,TER_rest_ele_kWh/1000)</f>
        <v>2387.6887729637601</v>
      </c>
      <c r="C32" s="39">
        <f>IF(ISERROR(B32*3.6/1000000/'E Balans VL '!Z8*100),0,B32*3.6/1000000/'E Balans VL '!Z8*100)</f>
        <v>1.94582144849616E-2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83528.536561539702</v>
      </c>
      <c r="C5" s="17">
        <f>IF(ISERROR('Eigen informatie GS &amp; warmtenet'!B59),0,'Eigen informatie GS &amp; warmtenet'!B59)</f>
        <v>0</v>
      </c>
      <c r="D5" s="30">
        <f>SUM(D6:D15)</f>
        <v>64677.528128302933</v>
      </c>
      <c r="E5" s="17">
        <f>SUM(E6:E15)</f>
        <v>3470.4217341185431</v>
      </c>
      <c r="F5" s="17">
        <f>SUM(F6:F15)</f>
        <v>18483.561681645901</v>
      </c>
      <c r="G5" s="18"/>
      <c r="H5" s="17"/>
      <c r="I5" s="17"/>
      <c r="J5" s="17">
        <f>SUM(J6:J15)</f>
        <v>189.63349882421488</v>
      </c>
      <c r="K5" s="17"/>
      <c r="L5" s="17"/>
      <c r="M5" s="17"/>
      <c r="N5" s="17">
        <f>SUM(N6:N15)</f>
        <v>11445.719642490769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1123.9946320598301</v>
      </c>
      <c r="C8" s="33"/>
      <c r="D8" s="37">
        <f>IF( ISERROR(IND_metaal_Gas_kWH/1000),0,IND_metaal_Gas_kWH/1000)*0.902</f>
        <v>134.47951473853746</v>
      </c>
      <c r="E8" s="33">
        <f>C30*'E Balans VL '!I18/100/3.6*1000000</f>
        <v>32.285344791031356</v>
      </c>
      <c r="F8" s="33">
        <f>C30*'E Balans VL '!L18/100/3.6*1000000+C30*'E Balans VL '!N18/100/3.6*1000000</f>
        <v>288.2830055998898</v>
      </c>
      <c r="G8" s="34"/>
      <c r="H8" s="33"/>
      <c r="I8" s="33"/>
      <c r="J8" s="40">
        <f>C30*'E Balans VL '!D18/100/3.6*1000000+C30*'E Balans VL '!E18/100/3.6*1000000</f>
        <v>0</v>
      </c>
      <c r="K8" s="33"/>
      <c r="L8" s="33"/>
      <c r="M8" s="33"/>
      <c r="N8" s="33">
        <f>C30*'E Balans VL '!Y18/100/3.6*1000000</f>
        <v>30.518748658533511</v>
      </c>
      <c r="O8" s="33"/>
      <c r="P8" s="33"/>
      <c r="R8" s="32"/>
    </row>
    <row r="9" spans="1:18">
      <c r="A9" s="6" t="s">
        <v>33</v>
      </c>
      <c r="B9" s="37">
        <f t="shared" si="0"/>
        <v>824.32742066595506</v>
      </c>
      <c r="C9" s="33"/>
      <c r="D9" s="37">
        <f>IF( ISERROR(IND_andere_gas_kWh/1000),0,IND_andere_gas_kWh/1000)*0.902</f>
        <v>859.31305038870346</v>
      </c>
      <c r="E9" s="33">
        <f>C31*'E Balans VL '!I19/100/3.6*1000000</f>
        <v>223.12516500264161</v>
      </c>
      <c r="F9" s="33">
        <f>C31*'E Balans VL '!L19/100/3.6*1000000+C31*'E Balans VL '!N19/100/3.6*1000000</f>
        <v>549.08929422656013</v>
      </c>
      <c r="G9" s="34"/>
      <c r="H9" s="33"/>
      <c r="I9" s="33"/>
      <c r="J9" s="40">
        <f>C31*'E Balans VL '!D19/100/3.6*1000000+C31*'E Balans VL '!E19/100/3.6*1000000</f>
        <v>0</v>
      </c>
      <c r="K9" s="33"/>
      <c r="L9" s="33"/>
      <c r="M9" s="33"/>
      <c r="N9" s="33">
        <f>C31*'E Balans VL '!Y19/100/3.6*1000000</f>
        <v>269.12920959668412</v>
      </c>
      <c r="O9" s="33"/>
      <c r="P9" s="33"/>
      <c r="R9" s="32"/>
    </row>
    <row r="10" spans="1:18">
      <c r="A10" s="6" t="s">
        <v>41</v>
      </c>
      <c r="B10" s="37">
        <f t="shared" si="0"/>
        <v>481.59950904827701</v>
      </c>
      <c r="C10" s="33"/>
      <c r="D10" s="37">
        <f>IF( ISERROR(IND_voed_gas_kWh/1000),0,IND_voed_gas_kWh/1000)*0.902</f>
        <v>237.45106342362945</v>
      </c>
      <c r="E10" s="33">
        <f>C32*'E Balans VL '!I20/100/3.6*1000000</f>
        <v>39.280362404058295</v>
      </c>
      <c r="F10" s="33">
        <f>C32*'E Balans VL '!L20/100/3.6*1000000+C32*'E Balans VL '!N20/100/3.6*1000000</f>
        <v>718.10856252701365</v>
      </c>
      <c r="G10" s="34"/>
      <c r="H10" s="33"/>
      <c r="I10" s="33"/>
      <c r="J10" s="40">
        <f>C32*'E Balans VL '!D20/100/3.6*1000000+C32*'E Balans VL '!E20/100/3.6*1000000</f>
        <v>6.3709769213269388E-3</v>
      </c>
      <c r="K10" s="33"/>
      <c r="L10" s="33"/>
      <c r="M10" s="33"/>
      <c r="N10" s="33">
        <f>C32*'E Balans VL '!Y20/100/3.6*1000000</f>
        <v>141.47694194411613</v>
      </c>
      <c r="O10" s="33"/>
      <c r="P10" s="33"/>
      <c r="R10" s="32"/>
    </row>
    <row r="11" spans="1:18">
      <c r="A11" s="6" t="s">
        <v>40</v>
      </c>
      <c r="B11" s="37">
        <f t="shared" si="0"/>
        <v>16891.935091288</v>
      </c>
      <c r="C11" s="33"/>
      <c r="D11" s="37">
        <f>IF( ISERROR(IND_textiel_gas_kWh/1000),0,IND_textiel_gas_kWh/1000)*0.902</f>
        <v>0</v>
      </c>
      <c r="E11" s="33">
        <f>C33*'E Balans VL '!I21/100/3.6*1000000</f>
        <v>3.3483271391823108</v>
      </c>
      <c r="F11" s="33">
        <f>C33*'E Balans VL '!L21/100/3.6*1000000+C33*'E Balans VL '!N21/100/3.6*1000000</f>
        <v>622.15034959688478</v>
      </c>
      <c r="G11" s="34"/>
      <c r="H11" s="33"/>
      <c r="I11" s="33"/>
      <c r="J11" s="40">
        <f>C33*'E Balans VL '!D21/100/3.6*1000000+C33*'E Balans VL '!E21/100/3.6*1000000</f>
        <v>0</v>
      </c>
      <c r="K11" s="33"/>
      <c r="L11" s="33"/>
      <c r="M11" s="33"/>
      <c r="N11" s="33">
        <f>C33*'E Balans VL '!Y21/100/3.6*1000000</f>
        <v>78.543233943201059</v>
      </c>
      <c r="O11" s="33"/>
      <c r="P11" s="33"/>
      <c r="R11" s="32"/>
    </row>
    <row r="12" spans="1:18">
      <c r="A12" s="6" t="s">
        <v>37</v>
      </c>
      <c r="B12" s="37">
        <f t="shared" si="0"/>
        <v>8533.41922448074</v>
      </c>
      <c r="C12" s="33"/>
      <c r="D12" s="37">
        <f>IF( ISERROR(IND_min_gas_kWh/1000),0,IND_min_gas_kWh/1000)*0.902</f>
        <v>0</v>
      </c>
      <c r="E12" s="33">
        <f>C34*'E Balans VL '!I22/100/3.6*1000000</f>
        <v>66.473476405800326</v>
      </c>
      <c r="F12" s="33">
        <f>C34*'E Balans VL '!L22/100/3.6*1000000+C34*'E Balans VL '!N22/100/3.6*1000000</f>
        <v>3218.2813368466022</v>
      </c>
      <c r="G12" s="34"/>
      <c r="H12" s="33"/>
      <c r="I12" s="33"/>
      <c r="J12" s="40">
        <f>C34*'E Balans VL '!D22/100/3.6*1000000+C34*'E Balans VL '!E22/100/3.6*1000000</f>
        <v>46.933059632820239</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55673.260683996901</v>
      </c>
      <c r="C15" s="33"/>
      <c r="D15" s="37">
        <f>IF( ISERROR(IND_rest_gas_kWh/1000),0,IND_rest_gas_kWh/1000)*0.902</f>
        <v>63446.284499752059</v>
      </c>
      <c r="E15" s="33">
        <f>C37*'E Balans VL '!I15/100/3.6*1000000</f>
        <v>3105.9090583758293</v>
      </c>
      <c r="F15" s="33">
        <f>C37*'E Balans VL '!L15/100/3.6*1000000+C37*'E Balans VL '!N15/100/3.6*1000000</f>
        <v>13087.649132848952</v>
      </c>
      <c r="G15" s="34"/>
      <c r="H15" s="33"/>
      <c r="I15" s="33"/>
      <c r="J15" s="40">
        <f>C37*'E Balans VL '!D15/100/3.6*1000000+C37*'E Balans VL '!E15/100/3.6*1000000</f>
        <v>142.6940682144733</v>
      </c>
      <c r="K15" s="33"/>
      <c r="L15" s="33"/>
      <c r="M15" s="33"/>
      <c r="N15" s="33">
        <f>C37*'E Balans VL '!Y15/100/3.6*1000000</f>
        <v>10926.051508348233</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83528.536561539702</v>
      </c>
      <c r="C18" s="21">
        <f>C5+C16</f>
        <v>0</v>
      </c>
      <c r="D18" s="21">
        <f>MAX((D5+D16),0)</f>
        <v>64677.528128302933</v>
      </c>
      <c r="E18" s="21">
        <f>MAX((E5+E16),0)</f>
        <v>3470.4217341185431</v>
      </c>
      <c r="F18" s="21">
        <f>MAX((F5+F16),0)</f>
        <v>18483.561681645901</v>
      </c>
      <c r="G18" s="21"/>
      <c r="H18" s="21"/>
      <c r="I18" s="21"/>
      <c r="J18" s="21">
        <f>MAX((J5+J16),0)</f>
        <v>189.63349882421488</v>
      </c>
      <c r="K18" s="21"/>
      <c r="L18" s="21">
        <f>MAX((L5+L16),0)</f>
        <v>0</v>
      </c>
      <c r="M18" s="21"/>
      <c r="N18" s="21">
        <f>MAX((N5+N16),0)</f>
        <v>11445.719642490769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0.20883670501826274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17443.82435050944</v>
      </c>
      <c r="C22" s="23">
        <f ca="1">C18*C20</f>
        <v>0</v>
      </c>
      <c r="D22" s="23">
        <f>D18*D20</f>
        <v>13064.860681917193</v>
      </c>
      <c r="E22" s="23">
        <f>E18*E20</f>
        <v>787.78573364490933</v>
      </c>
      <c r="F22" s="23">
        <f>F18*F20</f>
        <v>4935.1109689994555</v>
      </c>
      <c r="G22" s="23"/>
      <c r="H22" s="23"/>
      <c r="I22" s="23"/>
      <c r="J22" s="23">
        <f>J18*J20</f>
        <v>67.130258583772061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1123.9946320598301</v>
      </c>
      <c r="C30" s="39">
        <f>IF(ISERROR(B30*3.6/1000000/'E Balans VL '!Z18*100),0,B30*3.6/1000000/'E Balans VL '!Z18*100)</f>
        <v>0.11059820254203892</v>
      </c>
      <c r="D30" s="239" t="s">
        <v>692</v>
      </c>
    </row>
    <row r="31" spans="1:18">
      <c r="A31" s="6" t="s">
        <v>33</v>
      </c>
      <c r="B31" s="37">
        <f>IF( ISERROR(IND_ander_ele_kWh/1000),0,IND_ander_ele_kWh/1000)</f>
        <v>824.32742066595506</v>
      </c>
      <c r="C31" s="39">
        <f>IF(ISERROR(B31*3.6/1000000/'E Balans VL '!Z19*100),0,B31*3.6/1000000/'E Balans VL '!Z19*100)</f>
        <v>3.5898801610496273E-2</v>
      </c>
      <c r="D31" s="239" t="s">
        <v>692</v>
      </c>
    </row>
    <row r="32" spans="1:18">
      <c r="A32" s="173" t="s">
        <v>41</v>
      </c>
      <c r="B32" s="37">
        <f>IF( ISERROR(IND_voed_ele_kWh/1000),0,IND_voed_ele_kWh/1000)</f>
        <v>481.59950904827701</v>
      </c>
      <c r="C32" s="39">
        <f>IF(ISERROR(B32*3.6/1000000/'E Balans VL '!Z20*100),0,B32*3.6/1000000/'E Balans VL '!Z20*100)</f>
        <v>9.1376561421418631E-2</v>
      </c>
      <c r="D32" s="239" t="s">
        <v>692</v>
      </c>
    </row>
    <row r="33" spans="1:5">
      <c r="A33" s="173" t="s">
        <v>40</v>
      </c>
      <c r="B33" s="37">
        <f>IF( ISERROR(IND_textiel_ele_kWh/1000),0,IND_textiel_ele_kWh/1000)</f>
        <v>16891.935091288</v>
      </c>
      <c r="C33" s="39">
        <f>IF(ISERROR(B33*3.6/1000000/'E Balans VL '!Z21*100),0,B33*3.6/1000000/'E Balans VL '!Z21*100)</f>
        <v>0.96444383039608361</v>
      </c>
      <c r="D33" s="239" t="s">
        <v>692</v>
      </c>
    </row>
    <row r="34" spans="1:5">
      <c r="A34" s="173" t="s">
        <v>37</v>
      </c>
      <c r="B34" s="37">
        <f>IF( ISERROR(IND_min_ele_kWh/1000),0,IND_min_ele_kWh/1000)</f>
        <v>8533.41922448074</v>
      </c>
      <c r="C34" s="39">
        <f>IF(ISERROR(B34*3.6/1000000/'E Balans VL '!Z22*100),0,B34*3.6/1000000/'E Balans VL '!Z22*100)</f>
        <v>1.1998844328869209</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55673.260683996901</v>
      </c>
      <c r="C37" s="39">
        <f>IF(ISERROR(B37*3.6/1000000/'E Balans VL '!Z15*100),0,B37*3.6/1000000/'E Balans VL '!Z15*100)</f>
        <v>0.42903085442956324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6211.612472225117</v>
      </c>
      <c r="C5" s="17">
        <f>'Eigen informatie GS &amp; warmtenet'!B60</f>
        <v>0</v>
      </c>
      <c r="D5" s="30">
        <f>IF(ISERROR(SUM(LB_lb_gas_kWh,LB_rest_gas_kWh,onbekend_gas_kWh)/1000),0,SUM(LB_lb_gas_kWh,LB_rest_gas_kWh,onbekend_gas_kWh)/1000)*0.902</f>
        <v>3430.3676152573644</v>
      </c>
      <c r="E5" s="17">
        <f>B17*'E Balans VL '!I25/3.6*1000000/100</f>
        <v>78.274319333909332</v>
      </c>
      <c r="F5" s="17">
        <f>B17*('E Balans VL '!L25/3.6*1000000+'E Balans VL '!N25/3.6*1000000)/100</f>
        <v>21431.61913108185</v>
      </c>
      <c r="G5" s="18"/>
      <c r="H5" s="17"/>
      <c r="I5" s="17"/>
      <c r="J5" s="17">
        <f>('E Balans VL '!D25+'E Balans VL '!E25)/3.6*1000000*landbouw!B17/100</f>
        <v>934.15590470417169</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6211.612472225117</v>
      </c>
      <c r="C8" s="21">
        <f>C5+C6</f>
        <v>0</v>
      </c>
      <c r="D8" s="21">
        <f>MAX((D5+D6),0)</f>
        <v>3430.3676152573644</v>
      </c>
      <c r="E8" s="21">
        <f>MAX((E5+E6),0)</f>
        <v>78.274319333909332</v>
      </c>
      <c r="F8" s="21">
        <f>MAX((F5+F6),0)</f>
        <v>21431.61913108185</v>
      </c>
      <c r="G8" s="21"/>
      <c r="H8" s="21"/>
      <c r="I8" s="21"/>
      <c r="J8" s="21">
        <f>MAX((J5+J6),0)</f>
        <v>934.15590470417169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0.20883670501826274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1297.2126815498384</v>
      </c>
      <c r="C12" s="23">
        <f ca="1">C8*C10</f>
        <v>0</v>
      </c>
      <c r="D12" s="23">
        <f>D8*D10</f>
        <v>692.9342582819877</v>
      </c>
      <c r="E12" s="23">
        <f>E8*E10</f>
        <v>17.76827048879742</v>
      </c>
      <c r="F12" s="23">
        <f>F8*F10</f>
        <v>5722.2423079988548</v>
      </c>
      <c r="G12" s="23"/>
      <c r="H12" s="23"/>
      <c r="I12" s="23"/>
      <c r="J12" s="23">
        <f>J8*J10</f>
        <v>330.69119026527676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0.86632416121450628</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786.51754201841698</v>
      </c>
      <c r="C26" s="249">
        <f>B26*'GWP N2O_CH4'!B5</f>
        <v>16516.868382386758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581.7781833051331</v>
      </c>
      <c r="C27" s="249">
        <f>B27*'GWP N2O_CH4'!B5</f>
        <v>12217.341849407796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11.705770748028016</v>
      </c>
      <c r="C28" s="249">
        <f>B28*'GWP N2O_CH4'!B4</f>
        <v>3628.7889318886851</v>
      </c>
      <c r="D28" s="50"/>
    </row>
    <row r="29" spans="1:4">
      <c r="A29" s="41" t="s">
        <v>277</v>
      </c>
      <c r="B29" s="249">
        <f>B34*'ha_N2O bodem landbouw'!B4</f>
        <v>30.033298992930938</v>
      </c>
      <c r="C29" s="249">
        <f>B29*'GWP N2O_CH4'!B4</f>
        <v>9310.3226878085916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7.4990146574354325E-3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2.1573111478952193E-5</v>
      </c>
      <c r="C5" s="448" t="s">
        <v>211</v>
      </c>
      <c r="D5" s="433">
        <f>SUM(D6:D11)</f>
        <v>3.4241688929606091E-5</v>
      </c>
      <c r="E5" s="433">
        <f>SUM(E6:E11)</f>
        <v>1.2162192762057262E-3</v>
      </c>
      <c r="F5" s="446" t="s">
        <v>211</v>
      </c>
      <c r="G5" s="433">
        <f>SUM(G6:G11)</f>
        <v>0.34035875402726135</v>
      </c>
      <c r="H5" s="433">
        <f>SUM(H6:H11)</f>
        <v>5.2783514669674611E-2</v>
      </c>
      <c r="I5" s="448" t="s">
        <v>211</v>
      </c>
      <c r="J5" s="448" t="s">
        <v>211</v>
      </c>
      <c r="K5" s="448" t="s">
        <v>211</v>
      </c>
      <c r="L5" s="448" t="s">
        <v>211</v>
      </c>
      <c r="M5" s="433">
        <f>SUM(M6:M11)</f>
        <v>1.7767999493761979E-2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5.4385703850143559E-6</v>
      </c>
      <c r="C6" s="949"/>
      <c r="D6" s="949">
        <f>vkm_2011_GW_PW*SUMIFS(TableVerdeelsleutelVkm[CNG],TableVerdeelsleutelVkm[Voertuigtype],"Lichte voertuigen")*SUMIFS(TableECFTransport[EnergieConsumptieFactor (PJ per km)],TableECFTransport[Index],CONCATENATE($A6,"_CNG_CNG"))</f>
        <v>7.7020793441179374E-6</v>
      </c>
      <c r="E6" s="949">
        <f>vkm_2011_GW_PW*SUMIFS(TableVerdeelsleutelVkm[LPG],TableVerdeelsleutelVkm[Voertuigtype],"Lichte voertuigen")*SUMIFS(TableECFTransport[EnergieConsumptieFactor (PJ per km)],TableECFTransport[Index],CONCATENATE($A6,"_LPG_LPG"))</f>
        <v>2.4189695628414219E-4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4.3475506676208454E-2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1.1649611844011467E-2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2.4940365017483181E-3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3.192268378108807E-2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1.1341798612539658E-5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1.440569690714683E-3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2.5676837251177132E-6</v>
      </c>
      <c r="C8" s="949"/>
      <c r="D8" s="436">
        <f>vkm_2011_NGW_PW*SUMIFS(TableVerdeelsleutelVkm[CNG],TableVerdeelsleutelVkm[Voertuigtype],"Lichte voertuigen")*SUMIFS(TableECFTransport[EnergieConsumptieFactor (PJ per km)],TableECFTransport[Index],CONCATENATE($A8,"_CNG_CNG"))</f>
        <v>6.4782058894119652E-6</v>
      </c>
      <c r="E8" s="436">
        <f>vkm_2011_NGW_PW*SUMIFS(TableVerdeelsleutelVkm[LPG],TableVerdeelsleutelVkm[Voertuigtype],"Lichte voertuigen")*SUMIFS(TableECFTransport[EnergieConsumptieFactor (PJ per km)],TableECFTransport[Index],CONCATENATE($A8,"_LPG_LPG"))</f>
        <v>1.873999302029246E-4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3.1766105385881149E-2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9.4545585443894554E-3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1.8654210204824486E-3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7.472318672913628E-3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2.5122486552253394E-6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3.3719557171643785E-4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1.3566857368820124E-5</v>
      </c>
      <c r="C10" s="949"/>
      <c r="D10" s="436">
        <f>vkm_2011_SW_PW*SUMIFS(TableVerdeelsleutelVkm[CNG],TableVerdeelsleutelVkm[Voertuigtype],"Lichte voertuigen")*SUMIFS(TableECFTransport[EnergieConsumptieFactor (PJ per km)],TableECFTransport[Index],CONCATENATE($A10,"_CNG_CNG"))</f>
        <v>2.0061403696076188E-5</v>
      </c>
      <c r="E10" s="436">
        <f>vkm_2011_SW_PW*SUMIFS(TableVerdeelsleutelVkm[LPG],TableVerdeelsleutelVkm[Voertuigtype],"Lichte voertuigen")*SUMIFS(TableECFTransport[EnergieConsumptieFactor (PJ per km)],TableECFTransport[Index],CONCATENATE($A10,"_LPG_LPG"))</f>
        <v>7.8692238971865937E-4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0.12808783094574638</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3.1628082240250488E-2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7.2247249684381084E-3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9.7634308565423641E-2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3.740799375543317E-5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4.4060517406619842E-3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5.9925309663756092</v>
      </c>
      <c r="C14" s="21"/>
      <c r="D14" s="21">
        <f t="shared" ref="D14:M14" si="0">((D5)*10^9/3600)+D12</f>
        <v>9.5115802582239137</v>
      </c>
      <c r="E14" s="21">
        <f t="shared" si="0"/>
        <v>337.83868783492392</v>
      </c>
      <c r="F14" s="21"/>
      <c r="G14" s="21">
        <f t="shared" si="0"/>
        <v>94544.098340905926</v>
      </c>
      <c r="H14" s="21">
        <f t="shared" si="0"/>
        <v>14662.087408242947</v>
      </c>
      <c r="I14" s="21"/>
      <c r="J14" s="21"/>
      <c r="K14" s="21"/>
      <c r="L14" s="21"/>
      <c r="M14" s="21">
        <f t="shared" si="0"/>
        <v>4935.5554149338832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0.20883670501826274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1.251460421737788</v>
      </c>
      <c r="C18" s="23"/>
      <c r="D18" s="23">
        <f t="shared" ref="D18:M18" si="1">D14*D16</f>
        <v>1.9213392121612307</v>
      </c>
      <c r="E18" s="23">
        <f t="shared" si="1"/>
        <v>76.689382138527733</v>
      </c>
      <c r="F18" s="23"/>
      <c r="G18" s="23">
        <f t="shared" si="1"/>
        <v>25243.274257021883</v>
      </c>
      <c r="H18" s="23">
        <f t="shared" si="1"/>
        <v>3650.8597646524941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3.71149606456739E-3</v>
      </c>
      <c r="H50" s="323">
        <f t="shared" si="2"/>
        <v>0</v>
      </c>
      <c r="I50" s="323">
        <f t="shared" si="2"/>
        <v>0</v>
      </c>
      <c r="J50" s="323">
        <f t="shared" si="2"/>
        <v>0</v>
      </c>
      <c r="K50" s="323">
        <f t="shared" si="2"/>
        <v>0</v>
      </c>
      <c r="L50" s="323">
        <f t="shared" si="2"/>
        <v>0</v>
      </c>
      <c r="M50" s="323">
        <f t="shared" si="2"/>
        <v>1.6505930800032447E-4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3.71149606456739E-3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1.6505930800032447E-4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1030.9711290464973</v>
      </c>
      <c r="H54" s="21">
        <f t="shared" si="3"/>
        <v>0</v>
      </c>
      <c r="I54" s="21">
        <f t="shared" si="3"/>
        <v>0</v>
      </c>
      <c r="J54" s="21">
        <f t="shared" si="3"/>
        <v>0</v>
      </c>
      <c r="K54" s="21">
        <f t="shared" si="3"/>
        <v>0</v>
      </c>
      <c r="L54" s="21">
        <f t="shared" si="3"/>
        <v>0</v>
      </c>
      <c r="M54" s="21">
        <f t="shared" si="3"/>
        <v>45.849807777867909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0.20883670501826274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275.26929145541476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6892.1489995971569</v>
      </c>
      <c r="C6" s="1251"/>
      <c r="D6" s="1236"/>
      <c r="E6" s="1236"/>
      <c r="F6" s="1254"/>
      <c r="G6" s="1257"/>
      <c r="H6" s="1248"/>
      <c r="I6" s="1236"/>
      <c r="J6" s="1236"/>
      <c r="K6" s="1236"/>
      <c r="L6" s="1240"/>
      <c r="M6" s="561"/>
      <c r="N6" s="1214"/>
      <c r="O6" s="1215"/>
      <c r="Q6" s="559"/>
      <c r="R6" s="1202"/>
      <c r="S6" s="1202"/>
    </row>
    <row r="7" spans="1:19" s="549" customFormat="1">
      <c r="A7" s="562" t="s">
        <v>252</v>
      </c>
      <c r="B7" s="563">
        <f>N57</f>
        <v>29.099999999999994</v>
      </c>
      <c r="C7" s="564">
        <f>B100</f>
        <v>0</v>
      </c>
      <c r="D7" s="565"/>
      <c r="E7" s="565">
        <f>E100</f>
        <v>0</v>
      </c>
      <c r="F7" s="566"/>
      <c r="G7" s="567"/>
      <c r="H7" s="565">
        <f>I100</f>
        <v>0</v>
      </c>
      <c r="I7" s="565">
        <f>G100+F100</f>
        <v>0</v>
      </c>
      <c r="J7" s="565">
        <f>H100+D100+C100</f>
        <v>34.235294117647058</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6921.2489995971573</v>
      </c>
      <c r="C9" s="580">
        <f t="shared" ref="C9:L9" si="0">SUM(C7:C8)</f>
        <v>0</v>
      </c>
      <c r="D9" s="580">
        <f t="shared" si="0"/>
        <v>0</v>
      </c>
      <c r="E9" s="580">
        <f t="shared" si="0"/>
        <v>0</v>
      </c>
      <c r="F9" s="580">
        <f t="shared" si="0"/>
        <v>0</v>
      </c>
      <c r="G9" s="580">
        <f t="shared" si="0"/>
        <v>0</v>
      </c>
      <c r="H9" s="580">
        <f t="shared" si="0"/>
        <v>0</v>
      </c>
      <c r="I9" s="580">
        <f t="shared" si="0"/>
        <v>0</v>
      </c>
      <c r="J9" s="580">
        <f t="shared" si="0"/>
        <v>34.235294117647058</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41.571428571428562</v>
      </c>
      <c r="C16" s="596">
        <f>B101</f>
        <v>0</v>
      </c>
      <c r="D16" s="597"/>
      <c r="E16" s="597">
        <f>E101</f>
        <v>0</v>
      </c>
      <c r="F16" s="598"/>
      <c r="G16" s="599"/>
      <c r="H16" s="596">
        <f>I101</f>
        <v>0</v>
      </c>
      <c r="I16" s="597">
        <f>G101+F101</f>
        <v>0</v>
      </c>
      <c r="J16" s="597">
        <f>H101+D101+C101</f>
        <v>48.907563025210081</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41.571428571428562</v>
      </c>
      <c r="C19" s="579">
        <f>SUM(C16:C18)</f>
        <v>0</v>
      </c>
      <c r="D19" s="579">
        <f t="shared" ref="D19:M19" si="1">SUM(D16:D18)</f>
        <v>0</v>
      </c>
      <c r="E19" s="579">
        <f t="shared" si="1"/>
        <v>0</v>
      </c>
      <c r="F19" s="579">
        <f t="shared" si="1"/>
        <v>0</v>
      </c>
      <c r="G19" s="579">
        <f t="shared" si="1"/>
        <v>0</v>
      </c>
      <c r="H19" s="579">
        <f t="shared" si="1"/>
        <v>0</v>
      </c>
      <c r="I19" s="579">
        <f t="shared" si="1"/>
        <v>0</v>
      </c>
      <c r="J19" s="579">
        <f t="shared" si="1"/>
        <v>48.907563025210081</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63.75">
      <c r="A27" s="610"/>
      <c r="B27" s="839">
        <v>33037</v>
      </c>
      <c r="C27" s="839">
        <v>8980</v>
      </c>
      <c r="D27" s="658" t="s">
        <v>878</v>
      </c>
      <c r="E27" s="657" t="s">
        <v>879</v>
      </c>
      <c r="F27" s="657" t="s">
        <v>880</v>
      </c>
      <c r="G27" s="657" t="s">
        <v>881</v>
      </c>
      <c r="H27" s="657" t="s">
        <v>882</v>
      </c>
      <c r="I27" s="657" t="s">
        <v>879</v>
      </c>
      <c r="J27" s="838">
        <v>41379</v>
      </c>
      <c r="K27" s="838">
        <v>41379</v>
      </c>
      <c r="L27" s="657" t="s">
        <v>883</v>
      </c>
      <c r="M27" s="657">
        <v>9.6999999999999993</v>
      </c>
      <c r="N27" s="657">
        <v>29.099999999999994</v>
      </c>
      <c r="O27" s="657">
        <v>41.571428571428562</v>
      </c>
      <c r="P27" s="657">
        <v>0</v>
      </c>
      <c r="Q27" s="657">
        <v>83.142857142857139</v>
      </c>
      <c r="R27" s="657">
        <v>0</v>
      </c>
      <c r="S27" s="657">
        <v>0</v>
      </c>
      <c r="T27" s="657">
        <v>0</v>
      </c>
      <c r="U27" s="657">
        <v>0</v>
      </c>
      <c r="V27" s="657">
        <v>0</v>
      </c>
      <c r="W27" s="657">
        <v>0</v>
      </c>
      <c r="X27" s="657">
        <v>1600</v>
      </c>
      <c r="Y27" s="657" t="s">
        <v>50</v>
      </c>
      <c r="Z27" s="659" t="s">
        <v>156</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9.6999999999999993</v>
      </c>
      <c r="N57" s="615">
        <f>SUM(N27:N56)</f>
        <v>29.099999999999994</v>
      </c>
      <c r="O57" s="615">
        <f t="shared" ref="O57:W57" si="2">SUM(O27:O56)</f>
        <v>41.571428571428562</v>
      </c>
      <c r="P57" s="615">
        <f t="shared" si="2"/>
        <v>0</v>
      </c>
      <c r="Q57" s="615">
        <f t="shared" si="2"/>
        <v>83.142857142857139</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9.6999999999999993</v>
      </c>
      <c r="N59" s="615">
        <f ca="1">SUMIF($Z$27:AB56,"tertiair",N27:N56)</f>
        <v>29.099999999999994</v>
      </c>
      <c r="O59" s="615">
        <f ca="1">SUMIF($Z$27:AC56,"tertiair",O27:O56)</f>
        <v>41.571428571428562</v>
      </c>
      <c r="P59" s="615">
        <f ca="1">SUMIF($Z$27:AD56,"tertiair",P27:P56)</f>
        <v>0</v>
      </c>
      <c r="Q59" s="615">
        <f ca="1">SUMIF($Z$27:AE56,"tertiair",Q27:Q56)</f>
        <v>83.142857142857139</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34.235294117647058</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48.907563025210081</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14241.360934554892</v>
      </c>
      <c r="D10" s="704">
        <f ca="1">tertiair!C16</f>
        <v>41.571428571428562</v>
      </c>
      <c r="E10" s="704">
        <f ca="1">tertiair!D16</f>
        <v>12006.540424808038</v>
      </c>
      <c r="F10" s="704">
        <f>tertiair!E16</f>
        <v>152.54110100070878</v>
      </c>
      <c r="G10" s="704">
        <f ca="1">tertiair!F16</f>
        <v>3057.7656758563362</v>
      </c>
      <c r="H10" s="704">
        <f>tertiair!G16</f>
        <v>0</v>
      </c>
      <c r="I10" s="704">
        <f>tertiair!H16</f>
        <v>0</v>
      </c>
      <c r="J10" s="704">
        <f>tertiair!I16</f>
        <v>0</v>
      </c>
      <c r="K10" s="704">
        <f>tertiair!J16</f>
        <v>0</v>
      </c>
      <c r="L10" s="704">
        <f>tertiair!K16</f>
        <v>0</v>
      </c>
      <c r="M10" s="704">
        <f ca="1">tertiair!L16</f>
        <v>0</v>
      </c>
      <c r="N10" s="704">
        <f>tertiair!M16</f>
        <v>0</v>
      </c>
      <c r="O10" s="704">
        <f ca="1">tertiair!N16</f>
        <v>3607.6120608687174</v>
      </c>
      <c r="P10" s="704">
        <f>tertiair!O16</f>
        <v>1.5633333333333335</v>
      </c>
      <c r="Q10" s="705">
        <f>tertiair!P16</f>
        <v>19.066666666666666</v>
      </c>
      <c r="R10" s="707">
        <f ca="1">SUM(C10:Q10)</f>
        <v>33128.02162566012</v>
      </c>
      <c r="S10" s="67"/>
    </row>
    <row r="11" spans="1:19" s="459" customFormat="1">
      <c r="A11" s="858" t="s">
        <v>225</v>
      </c>
      <c r="B11" s="863"/>
      <c r="C11" s="704">
        <f>huishoudens!B8</f>
        <v>21767.568902632582</v>
      </c>
      <c r="D11" s="704">
        <f>huishoudens!C8</f>
        <v>0</v>
      </c>
      <c r="E11" s="704">
        <f>huishoudens!D8</f>
        <v>38879.034140021329</v>
      </c>
      <c r="F11" s="704">
        <f>huishoudens!E8</f>
        <v>8343.6511478936409</v>
      </c>
      <c r="G11" s="704">
        <f>huishoudens!F8</f>
        <v>22818.879891363955</v>
      </c>
      <c r="H11" s="704">
        <f>huishoudens!G8</f>
        <v>0</v>
      </c>
      <c r="I11" s="704">
        <f>huishoudens!H8</f>
        <v>0</v>
      </c>
      <c r="J11" s="704">
        <f>huishoudens!I8</f>
        <v>0</v>
      </c>
      <c r="K11" s="704">
        <f>huishoudens!J8</f>
        <v>7550.7786362920497</v>
      </c>
      <c r="L11" s="704">
        <f>huishoudens!K8</f>
        <v>0</v>
      </c>
      <c r="M11" s="704">
        <f>huishoudens!L8</f>
        <v>0</v>
      </c>
      <c r="N11" s="704">
        <f>huishoudens!M8</f>
        <v>0</v>
      </c>
      <c r="O11" s="704">
        <f>huishoudens!N8</f>
        <v>26853.363569359492</v>
      </c>
      <c r="P11" s="704">
        <f>huishoudens!O8</f>
        <v>276.70999999999998</v>
      </c>
      <c r="Q11" s="705">
        <f>huishoudens!P8</f>
        <v>419.4666666666667</v>
      </c>
      <c r="R11" s="707">
        <f>SUM(C11:Q11)</f>
        <v>126909.4529542297</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83528.536561539702</v>
      </c>
      <c r="D13" s="704">
        <f>industrie!C18</f>
        <v>0</v>
      </c>
      <c r="E13" s="704">
        <f>industrie!D18</f>
        <v>64677.528128302933</v>
      </c>
      <c r="F13" s="704">
        <f>industrie!E18</f>
        <v>3470.4217341185431</v>
      </c>
      <c r="G13" s="704">
        <f>industrie!F18</f>
        <v>18483.561681645901</v>
      </c>
      <c r="H13" s="704">
        <f>industrie!G18</f>
        <v>0</v>
      </c>
      <c r="I13" s="704">
        <f>industrie!H18</f>
        <v>0</v>
      </c>
      <c r="J13" s="704">
        <f>industrie!I18</f>
        <v>0</v>
      </c>
      <c r="K13" s="704">
        <f>industrie!J18</f>
        <v>189.63349882421488</v>
      </c>
      <c r="L13" s="704">
        <f>industrie!K18</f>
        <v>0</v>
      </c>
      <c r="M13" s="704">
        <f>industrie!L18</f>
        <v>0</v>
      </c>
      <c r="N13" s="704">
        <f>industrie!M18</f>
        <v>0</v>
      </c>
      <c r="O13" s="704">
        <f>industrie!N18</f>
        <v>11445.719642490769</v>
      </c>
      <c r="P13" s="704">
        <f>industrie!O18</f>
        <v>0</v>
      </c>
      <c r="Q13" s="705">
        <f>industrie!P18</f>
        <v>0</v>
      </c>
      <c r="R13" s="707">
        <f>SUM(C13:Q13)</f>
        <v>181795.40124692203</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119537.46639872718</v>
      </c>
      <c r="D15" s="709">
        <f t="shared" ref="D15:Q15" ca="1" si="0">SUM(D9:D14)</f>
        <v>41.571428571428562</v>
      </c>
      <c r="E15" s="709">
        <f t="shared" ca="1" si="0"/>
        <v>115563.1026931323</v>
      </c>
      <c r="F15" s="709">
        <f t="shared" si="0"/>
        <v>11966.613983012892</v>
      </c>
      <c r="G15" s="709">
        <f t="shared" ca="1" si="0"/>
        <v>44360.207248866194</v>
      </c>
      <c r="H15" s="709">
        <f t="shared" si="0"/>
        <v>0</v>
      </c>
      <c r="I15" s="709">
        <f t="shared" si="0"/>
        <v>0</v>
      </c>
      <c r="J15" s="709">
        <f t="shared" si="0"/>
        <v>0</v>
      </c>
      <c r="K15" s="709">
        <f t="shared" si="0"/>
        <v>7740.4121351162648</v>
      </c>
      <c r="L15" s="709">
        <f t="shared" si="0"/>
        <v>0</v>
      </c>
      <c r="M15" s="709">
        <f t="shared" ca="1" si="0"/>
        <v>0</v>
      </c>
      <c r="N15" s="709">
        <f t="shared" si="0"/>
        <v>0</v>
      </c>
      <c r="O15" s="709">
        <f t="shared" ca="1" si="0"/>
        <v>41906.695272718978</v>
      </c>
      <c r="P15" s="709">
        <f t="shared" si="0"/>
        <v>278.27333333333331</v>
      </c>
      <c r="Q15" s="710">
        <f t="shared" si="0"/>
        <v>438.53333333333336</v>
      </c>
      <c r="R15" s="711">
        <f ca="1">SUM(R9:R14)</f>
        <v>341832.87582681188</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1030.9711290464973</v>
      </c>
      <c r="I18" s="704">
        <f>transport!H54</f>
        <v>0</v>
      </c>
      <c r="J18" s="704">
        <f>transport!I54</f>
        <v>0</v>
      </c>
      <c r="K18" s="704">
        <f>transport!J54</f>
        <v>0</v>
      </c>
      <c r="L18" s="704">
        <f>transport!K54</f>
        <v>0</v>
      </c>
      <c r="M18" s="704">
        <f>transport!L54</f>
        <v>0</v>
      </c>
      <c r="N18" s="704">
        <f>transport!M54</f>
        <v>45.849807777867909</v>
      </c>
      <c r="O18" s="704">
        <f>transport!N54</f>
        <v>0</v>
      </c>
      <c r="P18" s="704">
        <f>transport!O54</f>
        <v>0</v>
      </c>
      <c r="Q18" s="705">
        <f>transport!P54</f>
        <v>0</v>
      </c>
      <c r="R18" s="707">
        <f>SUM(C18:Q18)</f>
        <v>1076.8209368243652</v>
      </c>
      <c r="S18" s="67"/>
    </row>
    <row r="19" spans="1:19" s="459" customFormat="1" ht="15" thickBot="1">
      <c r="A19" s="858" t="s">
        <v>307</v>
      </c>
      <c r="B19" s="863"/>
      <c r="C19" s="713">
        <f>transport!B14</f>
        <v>5.9925309663756092</v>
      </c>
      <c r="D19" s="713">
        <f>transport!C14</f>
        <v>0</v>
      </c>
      <c r="E19" s="713">
        <f>transport!D14</f>
        <v>9.5115802582239137</v>
      </c>
      <c r="F19" s="713">
        <f>transport!E14</f>
        <v>337.83868783492392</v>
      </c>
      <c r="G19" s="713">
        <f>transport!F14</f>
        <v>0</v>
      </c>
      <c r="H19" s="713">
        <f>transport!G14</f>
        <v>94544.098340905926</v>
      </c>
      <c r="I19" s="713">
        <f>transport!H14</f>
        <v>14662.087408242947</v>
      </c>
      <c r="J19" s="713">
        <f>transport!I14</f>
        <v>0</v>
      </c>
      <c r="K19" s="713">
        <f>transport!J14</f>
        <v>0</v>
      </c>
      <c r="L19" s="713">
        <f>transport!K14</f>
        <v>0</v>
      </c>
      <c r="M19" s="713">
        <f>transport!L14</f>
        <v>0</v>
      </c>
      <c r="N19" s="713">
        <f>transport!M14</f>
        <v>4935.5554149338832</v>
      </c>
      <c r="O19" s="713">
        <f>transport!N14</f>
        <v>0</v>
      </c>
      <c r="P19" s="713">
        <f>transport!O14</f>
        <v>0</v>
      </c>
      <c r="Q19" s="714">
        <f>transport!P14</f>
        <v>0</v>
      </c>
      <c r="R19" s="715">
        <f>SUM(C19:Q19)</f>
        <v>114495.08396314229</v>
      </c>
      <c r="S19" s="67"/>
    </row>
    <row r="20" spans="1:19" s="459" customFormat="1" ht="15.75" thickBot="1">
      <c r="A20" s="716" t="s">
        <v>230</v>
      </c>
      <c r="B20" s="866"/>
      <c r="C20" s="861">
        <f>SUM(C17:C19)</f>
        <v>5.9925309663756092</v>
      </c>
      <c r="D20" s="717">
        <f t="shared" ref="D20:R20" si="1">SUM(D17:D19)</f>
        <v>0</v>
      </c>
      <c r="E20" s="717">
        <f t="shared" si="1"/>
        <v>9.5115802582239137</v>
      </c>
      <c r="F20" s="717">
        <f t="shared" si="1"/>
        <v>337.83868783492392</v>
      </c>
      <c r="G20" s="717">
        <f t="shared" si="1"/>
        <v>0</v>
      </c>
      <c r="H20" s="717">
        <f t="shared" si="1"/>
        <v>95575.069469952417</v>
      </c>
      <c r="I20" s="717">
        <f t="shared" si="1"/>
        <v>14662.087408242947</v>
      </c>
      <c r="J20" s="717">
        <f t="shared" si="1"/>
        <v>0</v>
      </c>
      <c r="K20" s="717">
        <f t="shared" si="1"/>
        <v>0</v>
      </c>
      <c r="L20" s="717">
        <f t="shared" si="1"/>
        <v>0</v>
      </c>
      <c r="M20" s="717">
        <f t="shared" si="1"/>
        <v>0</v>
      </c>
      <c r="N20" s="717">
        <f t="shared" si="1"/>
        <v>4981.4052227117509</v>
      </c>
      <c r="O20" s="717">
        <f t="shared" si="1"/>
        <v>0</v>
      </c>
      <c r="P20" s="717">
        <f t="shared" si="1"/>
        <v>0</v>
      </c>
      <c r="Q20" s="718">
        <f t="shared" si="1"/>
        <v>0</v>
      </c>
      <c r="R20" s="719">
        <f t="shared" si="1"/>
        <v>115571.90489996666</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6211.612472225117</v>
      </c>
      <c r="D22" s="713">
        <f>+landbouw!C8</f>
        <v>0</v>
      </c>
      <c r="E22" s="713">
        <f>+landbouw!D8</f>
        <v>3430.3676152573644</v>
      </c>
      <c r="F22" s="713">
        <f>+landbouw!E8</f>
        <v>78.274319333909332</v>
      </c>
      <c r="G22" s="713">
        <f>+landbouw!F8</f>
        <v>21431.61913108185</v>
      </c>
      <c r="H22" s="713">
        <f>+landbouw!G8</f>
        <v>0</v>
      </c>
      <c r="I22" s="713">
        <f>+landbouw!H8</f>
        <v>0</v>
      </c>
      <c r="J22" s="713">
        <f>+landbouw!I8</f>
        <v>0</v>
      </c>
      <c r="K22" s="713">
        <f>+landbouw!J8</f>
        <v>934.15590470417169</v>
      </c>
      <c r="L22" s="713">
        <f>+landbouw!K8</f>
        <v>0</v>
      </c>
      <c r="M22" s="713">
        <f>+landbouw!L8</f>
        <v>0</v>
      </c>
      <c r="N22" s="713">
        <f>+landbouw!M8</f>
        <v>0</v>
      </c>
      <c r="O22" s="713">
        <f>+landbouw!N8</f>
        <v>0</v>
      </c>
      <c r="P22" s="713">
        <f>+landbouw!O8</f>
        <v>0</v>
      </c>
      <c r="Q22" s="714">
        <f>+landbouw!P8</f>
        <v>0</v>
      </c>
      <c r="R22" s="715">
        <f>SUM(C22:Q22)</f>
        <v>32086.029442602412</v>
      </c>
      <c r="S22" s="67"/>
    </row>
    <row r="23" spans="1:19" s="459" customFormat="1" ht="17.25" thickTop="1" thickBot="1">
      <c r="A23" s="720" t="s">
        <v>116</v>
      </c>
      <c r="B23" s="852"/>
      <c r="C23" s="721">
        <f ca="1">C20+C15+C22</f>
        <v>125755.07140191867</v>
      </c>
      <c r="D23" s="721">
        <f t="shared" ref="D23:Q23" ca="1" si="2">D20+D15+D22</f>
        <v>41.571428571428562</v>
      </c>
      <c r="E23" s="721">
        <f t="shared" ca="1" si="2"/>
        <v>119002.98188864789</v>
      </c>
      <c r="F23" s="721">
        <f t="shared" si="2"/>
        <v>12382.726990181727</v>
      </c>
      <c r="G23" s="721">
        <f t="shared" ca="1" si="2"/>
        <v>65791.826379948048</v>
      </c>
      <c r="H23" s="721">
        <f t="shared" si="2"/>
        <v>95575.069469952417</v>
      </c>
      <c r="I23" s="721">
        <f t="shared" si="2"/>
        <v>14662.087408242947</v>
      </c>
      <c r="J23" s="721">
        <f t="shared" si="2"/>
        <v>0</v>
      </c>
      <c r="K23" s="721">
        <f t="shared" si="2"/>
        <v>8674.5680398204368</v>
      </c>
      <c r="L23" s="721">
        <f t="shared" si="2"/>
        <v>0</v>
      </c>
      <c r="M23" s="721">
        <f t="shared" ca="1" si="2"/>
        <v>0</v>
      </c>
      <c r="N23" s="721">
        <f t="shared" si="2"/>
        <v>4981.4052227117509</v>
      </c>
      <c r="O23" s="721">
        <f t="shared" ca="1" si="2"/>
        <v>41906.695272718978</v>
      </c>
      <c r="P23" s="721">
        <f t="shared" si="2"/>
        <v>278.27333333333331</v>
      </c>
      <c r="Q23" s="722">
        <f t="shared" si="2"/>
        <v>438.53333333333336</v>
      </c>
      <c r="R23" s="723">
        <f ca="1">R20+R15+R22</f>
        <v>489490.81016938097</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2974.1188925482506</v>
      </c>
      <c r="D36" s="704">
        <f ca="1">tertiair!C20</f>
        <v>0</v>
      </c>
      <c r="E36" s="704">
        <f ca="1">tertiair!D20</f>
        <v>2425.3211658112236</v>
      </c>
      <c r="F36" s="704">
        <f>tertiair!E20</f>
        <v>34.626829927160891</v>
      </c>
      <c r="G36" s="704">
        <f ca="1">tertiair!F20</f>
        <v>816.42343545364179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6250.4903237402768</v>
      </c>
    </row>
    <row r="37" spans="1:18">
      <c r="A37" s="873" t="s">
        <v>225</v>
      </c>
      <c r="B37" s="880"/>
      <c r="C37" s="704">
        <f ca="1">huishoudens!B12</f>
        <v>4545.8673658837897</v>
      </c>
      <c r="D37" s="704">
        <f ca="1">huishoudens!C12</f>
        <v>0</v>
      </c>
      <c r="E37" s="704">
        <f>huishoudens!D12</f>
        <v>7853.5648962843088</v>
      </c>
      <c r="F37" s="704">
        <f>huishoudens!E12</f>
        <v>1894.0088105718564</v>
      </c>
      <c r="G37" s="704">
        <f>huishoudens!F12</f>
        <v>6092.6409309941764</v>
      </c>
      <c r="H37" s="704">
        <f>huishoudens!G12</f>
        <v>0</v>
      </c>
      <c r="I37" s="704">
        <f>huishoudens!H12</f>
        <v>0</v>
      </c>
      <c r="J37" s="704">
        <f>huishoudens!I12</f>
        <v>0</v>
      </c>
      <c r="K37" s="704">
        <f>huishoudens!J12</f>
        <v>2672.9756372473853</v>
      </c>
      <c r="L37" s="704">
        <f>huishoudens!K12</f>
        <v>0</v>
      </c>
      <c r="M37" s="704">
        <f>huishoudens!L12</f>
        <v>0</v>
      </c>
      <c r="N37" s="704">
        <f>huishoudens!M12</f>
        <v>0</v>
      </c>
      <c r="O37" s="704">
        <f>huishoudens!N12</f>
        <v>0</v>
      </c>
      <c r="P37" s="704">
        <f>huishoudens!O12</f>
        <v>0</v>
      </c>
      <c r="Q37" s="814">
        <f>huishoudens!P12</f>
        <v>0</v>
      </c>
      <c r="R37" s="905">
        <f ca="1">SUM(C37:Q37)</f>
        <v>23059.057640981518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17443.82435050944</v>
      </c>
      <c r="D39" s="704">
        <f ca="1">industrie!C22</f>
        <v>0</v>
      </c>
      <c r="E39" s="704">
        <f>industrie!D22</f>
        <v>13064.860681917193</v>
      </c>
      <c r="F39" s="704">
        <f>industrie!E22</f>
        <v>787.78573364490933</v>
      </c>
      <c r="G39" s="704">
        <f>industrie!F22</f>
        <v>4935.1109689994555</v>
      </c>
      <c r="H39" s="704">
        <f>industrie!G22</f>
        <v>0</v>
      </c>
      <c r="I39" s="704">
        <f>industrie!H22</f>
        <v>0</v>
      </c>
      <c r="J39" s="704">
        <f>industrie!I22</f>
        <v>0</v>
      </c>
      <c r="K39" s="704">
        <f>industrie!J22</f>
        <v>67.130258583772061</v>
      </c>
      <c r="L39" s="704">
        <f>industrie!K22</f>
        <v>0</v>
      </c>
      <c r="M39" s="704">
        <f>industrie!L22</f>
        <v>0</v>
      </c>
      <c r="N39" s="704">
        <f>industrie!M22</f>
        <v>0</v>
      </c>
      <c r="O39" s="704">
        <f>industrie!N22</f>
        <v>0</v>
      </c>
      <c r="P39" s="704">
        <f>industrie!O22</f>
        <v>0</v>
      </c>
      <c r="Q39" s="814">
        <f>industrie!P22</f>
        <v>0</v>
      </c>
      <c r="R39" s="906">
        <f ca="1">SUM(C39:Q39)</f>
        <v>36298.711993654768</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24963.81060894148</v>
      </c>
      <c r="D41" s="749">
        <f t="shared" ref="D41:R41" ca="1" si="4">SUM(D35:D40)</f>
        <v>0</v>
      </c>
      <c r="E41" s="749">
        <f t="shared" ca="1" si="4"/>
        <v>23343.746744012726</v>
      </c>
      <c r="F41" s="749">
        <f t="shared" si="4"/>
        <v>2716.4213741439266</v>
      </c>
      <c r="G41" s="749">
        <f t="shared" ca="1" si="4"/>
        <v>11844.175335447275</v>
      </c>
      <c r="H41" s="749">
        <f t="shared" si="4"/>
        <v>0</v>
      </c>
      <c r="I41" s="749">
        <f t="shared" si="4"/>
        <v>0</v>
      </c>
      <c r="J41" s="749">
        <f t="shared" si="4"/>
        <v>0</v>
      </c>
      <c r="K41" s="749">
        <f t="shared" si="4"/>
        <v>2740.1058958311573</v>
      </c>
      <c r="L41" s="749">
        <f t="shared" si="4"/>
        <v>0</v>
      </c>
      <c r="M41" s="749">
        <f t="shared" ca="1" si="4"/>
        <v>0</v>
      </c>
      <c r="N41" s="749">
        <f t="shared" si="4"/>
        <v>0</v>
      </c>
      <c r="O41" s="749">
        <f t="shared" ca="1" si="4"/>
        <v>0</v>
      </c>
      <c r="P41" s="749">
        <f t="shared" si="4"/>
        <v>0</v>
      </c>
      <c r="Q41" s="750">
        <f t="shared" si="4"/>
        <v>0</v>
      </c>
      <c r="R41" s="751">
        <f t="shared" ca="1" si="4"/>
        <v>65608.259958376555</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275.26929145541476</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275.26929145541476</v>
      </c>
    </row>
    <row r="45" spans="1:18" ht="15" thickBot="1">
      <c r="A45" s="876" t="s">
        <v>307</v>
      </c>
      <c r="B45" s="886"/>
      <c r="C45" s="713">
        <f ca="1">transport!B18</f>
        <v>1.251460421737788</v>
      </c>
      <c r="D45" s="713">
        <f>transport!C18</f>
        <v>0</v>
      </c>
      <c r="E45" s="713">
        <f>transport!D18</f>
        <v>1.9213392121612307</v>
      </c>
      <c r="F45" s="713">
        <f>transport!E18</f>
        <v>76.689382138527733</v>
      </c>
      <c r="G45" s="713">
        <f>transport!F18</f>
        <v>0</v>
      </c>
      <c r="H45" s="713">
        <f>transport!G18</f>
        <v>25243.274257021883</v>
      </c>
      <c r="I45" s="713">
        <f>transport!H18</f>
        <v>3650.8597646524941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28973.996203446804</v>
      </c>
    </row>
    <row r="46" spans="1:18" ht="15.75" thickBot="1">
      <c r="A46" s="874" t="s">
        <v>230</v>
      </c>
      <c r="B46" s="887"/>
      <c r="C46" s="749">
        <f t="shared" ref="C46:R46" ca="1" si="5">SUM(C43:C45)</f>
        <v>1.251460421737788</v>
      </c>
      <c r="D46" s="749">
        <f t="shared" ca="1" si="5"/>
        <v>0</v>
      </c>
      <c r="E46" s="749">
        <f t="shared" si="5"/>
        <v>1.9213392121612307</v>
      </c>
      <c r="F46" s="749">
        <f t="shared" si="5"/>
        <v>76.689382138527733</v>
      </c>
      <c r="G46" s="749">
        <f t="shared" si="5"/>
        <v>0</v>
      </c>
      <c r="H46" s="749">
        <f t="shared" si="5"/>
        <v>25518.543548477297</v>
      </c>
      <c r="I46" s="749">
        <f t="shared" si="5"/>
        <v>3650.8597646524941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29249.265494902218</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1297.2126815498384</v>
      </c>
      <c r="D48" s="704">
        <f ca="1">+landbouw!C12</f>
        <v>0</v>
      </c>
      <c r="E48" s="704">
        <f>+landbouw!D12</f>
        <v>692.9342582819877</v>
      </c>
      <c r="F48" s="704">
        <f>+landbouw!E12</f>
        <v>17.76827048879742</v>
      </c>
      <c r="G48" s="704">
        <f>+landbouw!F12</f>
        <v>5722.2423079988548</v>
      </c>
      <c r="H48" s="704">
        <f>+landbouw!G12</f>
        <v>0</v>
      </c>
      <c r="I48" s="704">
        <f>+landbouw!H12</f>
        <v>0</v>
      </c>
      <c r="J48" s="704">
        <f>+landbouw!I12</f>
        <v>0</v>
      </c>
      <c r="K48" s="704">
        <f>+landbouw!J12</f>
        <v>330.69119026527676</v>
      </c>
      <c r="L48" s="704">
        <f>+landbouw!K12</f>
        <v>0</v>
      </c>
      <c r="M48" s="704">
        <f>+landbouw!L12</f>
        <v>0</v>
      </c>
      <c r="N48" s="704">
        <f>+landbouw!M12</f>
        <v>0</v>
      </c>
      <c r="O48" s="704">
        <f>+landbouw!N12</f>
        <v>0</v>
      </c>
      <c r="P48" s="704">
        <f>+landbouw!O12</f>
        <v>0</v>
      </c>
      <c r="Q48" s="705">
        <f>+landbouw!P12</f>
        <v>0</v>
      </c>
      <c r="R48" s="747">
        <f ca="1">SUM(C48:Q48)</f>
        <v>8060.8487085847546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26262.274750913057</v>
      </c>
      <c r="D53" s="759">
        <f t="shared" ref="D53:Q53" ca="1" si="6">D41+D46+D48</f>
        <v>0</v>
      </c>
      <c r="E53" s="759">
        <f t="shared" ca="1" si="6"/>
        <v>24038.602341506874</v>
      </c>
      <c r="F53" s="759">
        <f t="shared" si="6"/>
        <v>2810.879026771252</v>
      </c>
      <c r="G53" s="759">
        <f t="shared" ca="1" si="6"/>
        <v>17566.41764344613</v>
      </c>
      <c r="H53" s="759">
        <f t="shared" si="6"/>
        <v>25518.543548477297</v>
      </c>
      <c r="I53" s="759">
        <f t="shared" si="6"/>
        <v>3650.8597646524941</v>
      </c>
      <c r="J53" s="759">
        <f t="shared" si="6"/>
        <v>0</v>
      </c>
      <c r="K53" s="759">
        <f t="shared" si="6"/>
        <v>3070.7970860964342</v>
      </c>
      <c r="L53" s="759">
        <f t="shared" si="6"/>
        <v>0</v>
      </c>
      <c r="M53" s="759">
        <f t="shared" ca="1" si="6"/>
        <v>0</v>
      </c>
      <c r="N53" s="759">
        <f t="shared" si="6"/>
        <v>0</v>
      </c>
      <c r="O53" s="759">
        <f t="shared" ca="1" si="6"/>
        <v>0</v>
      </c>
      <c r="P53" s="759">
        <f>P41+P46+P48</f>
        <v>0</v>
      </c>
      <c r="Q53" s="760">
        <f t="shared" si="6"/>
        <v>0</v>
      </c>
      <c r="R53" s="761">
        <f ca="1">R41+R46+R48</f>
        <v>102918.37416186352</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0.20883670501826274</v>
      </c>
      <c r="D55" s="824">
        <f t="shared" ca="1" si="7"/>
        <v>0</v>
      </c>
      <c r="E55" s="824">
        <f t="shared" ca="1" si="7"/>
        <v>0.20200000000000001</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6892.1489995971569</v>
      </c>
      <c r="C66" s="781">
        <f>'lokale energieproductie'!B6</f>
        <v>6892.1489995971569</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29.099999999999994</v>
      </c>
      <c r="C67" s="780">
        <f>B67*IFERROR(SUM(J67:L67)/SUM(D67:M67),0)</f>
        <v>29.099999999999994</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34.235294117647058</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6921.2489995971573</v>
      </c>
      <c r="C69" s="789">
        <f>SUM(C64:C68)</f>
        <v>6921.2489995971573</v>
      </c>
      <c r="D69" s="790">
        <f t="shared" ref="D69:M69" si="8">SUM(D67:D68)</f>
        <v>0</v>
      </c>
      <c r="E69" s="790">
        <f t="shared" si="8"/>
        <v>0</v>
      </c>
      <c r="F69" s="790">
        <f t="shared" si="8"/>
        <v>0</v>
      </c>
      <c r="G69" s="790">
        <f t="shared" si="8"/>
        <v>0</v>
      </c>
      <c r="H69" s="790">
        <f t="shared" si="8"/>
        <v>0</v>
      </c>
      <c r="I69" s="790">
        <f t="shared" si="8"/>
        <v>0</v>
      </c>
      <c r="J69" s="790">
        <f t="shared" si="8"/>
        <v>0</v>
      </c>
      <c r="K69" s="790">
        <f t="shared" si="8"/>
        <v>34.235294117647058</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41.571428571428562</v>
      </c>
      <c r="C78" s="803">
        <f>B78*IFERROR(SUM(I78:L78)/SUM(D78:M78),0)</f>
        <v>41.571428571428562</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48.907563025210081</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41.571428571428562</v>
      </c>
      <c r="C81" s="789">
        <f>SUM(C78:C80)</f>
        <v>41.571428571428562</v>
      </c>
      <c r="D81" s="789">
        <f t="shared" ref="D81:P81" si="9">SUM(D78:D80)</f>
        <v>0</v>
      </c>
      <c r="E81" s="789">
        <f t="shared" si="9"/>
        <v>0</v>
      </c>
      <c r="F81" s="789">
        <f t="shared" si="9"/>
        <v>0</v>
      </c>
      <c r="G81" s="789">
        <f t="shared" si="9"/>
        <v>0</v>
      </c>
      <c r="H81" s="789">
        <f t="shared" si="9"/>
        <v>0</v>
      </c>
      <c r="I81" s="789">
        <f t="shared" si="9"/>
        <v>0</v>
      </c>
      <c r="J81" s="789">
        <f t="shared" si="9"/>
        <v>0</v>
      </c>
      <c r="K81" s="789">
        <f t="shared" si="9"/>
        <v>48.907563025210081</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21767.568902632582</v>
      </c>
      <c r="C4" s="463">
        <f>huishoudens!C8</f>
        <v>0</v>
      </c>
      <c r="D4" s="463">
        <f>huishoudens!D8</f>
        <v>38879.034140021329</v>
      </c>
      <c r="E4" s="463">
        <f>huishoudens!E8</f>
        <v>8343.6511478936409</v>
      </c>
      <c r="F4" s="463">
        <f>huishoudens!F8</f>
        <v>22818.879891363955</v>
      </c>
      <c r="G4" s="463">
        <f>huishoudens!G8</f>
        <v>0</v>
      </c>
      <c r="H4" s="463">
        <f>huishoudens!H8</f>
        <v>0</v>
      </c>
      <c r="I4" s="463">
        <f>huishoudens!I8</f>
        <v>0</v>
      </c>
      <c r="J4" s="463">
        <f>huishoudens!J8</f>
        <v>7550.7786362920497</v>
      </c>
      <c r="K4" s="463">
        <f>huishoudens!K8</f>
        <v>0</v>
      </c>
      <c r="L4" s="463">
        <f>huishoudens!L8</f>
        <v>0</v>
      </c>
      <c r="M4" s="463">
        <f>huishoudens!M8</f>
        <v>0</v>
      </c>
      <c r="N4" s="463">
        <f>huishoudens!N8</f>
        <v>26853.363569359492</v>
      </c>
      <c r="O4" s="463">
        <f>huishoudens!O8</f>
        <v>276.70999999999998</v>
      </c>
      <c r="P4" s="464">
        <f>huishoudens!P8</f>
        <v>419.4666666666667</v>
      </c>
      <c r="Q4" s="465">
        <f>SUM(B4:P4)</f>
        <v>126909.4529542297</v>
      </c>
    </row>
    <row r="5" spans="1:17">
      <c r="A5" s="462" t="s">
        <v>156</v>
      </c>
      <c r="B5" s="463">
        <f ca="1">tertiair!B16</f>
        <v>13178.322934554892</v>
      </c>
      <c r="C5" s="463">
        <f ca="1">tertiair!C16</f>
        <v>41.571428571428562</v>
      </c>
      <c r="D5" s="463">
        <f ca="1">tertiair!D16</f>
        <v>12006.540424808038</v>
      </c>
      <c r="E5" s="463">
        <f>tertiair!E16</f>
        <v>152.54110100070878</v>
      </c>
      <c r="F5" s="463">
        <f ca="1">tertiair!F16</f>
        <v>3057.7656758563362</v>
      </c>
      <c r="G5" s="463">
        <f>tertiair!G16</f>
        <v>0</v>
      </c>
      <c r="H5" s="463">
        <f>tertiair!H16</f>
        <v>0</v>
      </c>
      <c r="I5" s="463">
        <f>tertiair!I16</f>
        <v>0</v>
      </c>
      <c r="J5" s="463">
        <f>tertiair!J16</f>
        <v>0</v>
      </c>
      <c r="K5" s="463">
        <f>tertiair!K16</f>
        <v>0</v>
      </c>
      <c r="L5" s="463">
        <f ca="1">tertiair!L16</f>
        <v>0</v>
      </c>
      <c r="M5" s="463">
        <f>tertiair!M16</f>
        <v>0</v>
      </c>
      <c r="N5" s="463">
        <f ca="1">tertiair!N16</f>
        <v>3607.6120608687174</v>
      </c>
      <c r="O5" s="463">
        <f>tertiair!O16</f>
        <v>1.5633333333333335</v>
      </c>
      <c r="P5" s="464">
        <f>tertiair!P16</f>
        <v>19.066666666666666</v>
      </c>
      <c r="Q5" s="462">
        <f t="shared" ref="Q5:Q13" ca="1" si="0">SUM(B5:P5)</f>
        <v>32064.983625660116</v>
      </c>
    </row>
    <row r="6" spans="1:17">
      <c r="A6" s="462" t="s">
        <v>194</v>
      </c>
      <c r="B6" s="463">
        <f>'openbare verlichting'!B8</f>
        <v>1063.038</v>
      </c>
      <c r="C6" s="463"/>
      <c r="D6" s="463"/>
      <c r="E6" s="463"/>
      <c r="F6" s="463"/>
      <c r="G6" s="463"/>
      <c r="H6" s="463"/>
      <c r="I6" s="463"/>
      <c r="J6" s="463"/>
      <c r="K6" s="463"/>
      <c r="L6" s="463"/>
      <c r="M6" s="463"/>
      <c r="N6" s="463"/>
      <c r="O6" s="463"/>
      <c r="P6" s="464"/>
      <c r="Q6" s="462">
        <f t="shared" si="0"/>
        <v>1063.038</v>
      </c>
    </row>
    <row r="7" spans="1:17">
      <c r="A7" s="462" t="s">
        <v>112</v>
      </c>
      <c r="B7" s="463">
        <f>landbouw!B8</f>
        <v>6211.612472225117</v>
      </c>
      <c r="C7" s="463">
        <f>landbouw!C8</f>
        <v>0</v>
      </c>
      <c r="D7" s="463">
        <f>landbouw!D8</f>
        <v>3430.3676152573644</v>
      </c>
      <c r="E7" s="463">
        <f>landbouw!E8</f>
        <v>78.274319333909332</v>
      </c>
      <c r="F7" s="463">
        <f>landbouw!F8</f>
        <v>21431.61913108185</v>
      </c>
      <c r="G7" s="463">
        <f>landbouw!G8</f>
        <v>0</v>
      </c>
      <c r="H7" s="463">
        <f>landbouw!H8</f>
        <v>0</v>
      </c>
      <c r="I7" s="463">
        <f>landbouw!I8</f>
        <v>0</v>
      </c>
      <c r="J7" s="463">
        <f>landbouw!J8</f>
        <v>934.15590470417169</v>
      </c>
      <c r="K7" s="463">
        <f>landbouw!K8</f>
        <v>0</v>
      </c>
      <c r="L7" s="463">
        <f>landbouw!L8</f>
        <v>0</v>
      </c>
      <c r="M7" s="463">
        <f>landbouw!M8</f>
        <v>0</v>
      </c>
      <c r="N7" s="463">
        <f>landbouw!N8</f>
        <v>0</v>
      </c>
      <c r="O7" s="463">
        <f>landbouw!O8</f>
        <v>0</v>
      </c>
      <c r="P7" s="464">
        <f>landbouw!P8</f>
        <v>0</v>
      </c>
      <c r="Q7" s="462">
        <f t="shared" si="0"/>
        <v>32086.029442602412</v>
      </c>
    </row>
    <row r="8" spans="1:17">
      <c r="A8" s="462" t="s">
        <v>657</v>
      </c>
      <c r="B8" s="463">
        <f>industrie!B18</f>
        <v>83528.536561539702</v>
      </c>
      <c r="C8" s="463">
        <f>industrie!C18</f>
        <v>0</v>
      </c>
      <c r="D8" s="463">
        <f>industrie!D18</f>
        <v>64677.528128302933</v>
      </c>
      <c r="E8" s="463">
        <f>industrie!E18</f>
        <v>3470.4217341185431</v>
      </c>
      <c r="F8" s="463">
        <f>industrie!F18</f>
        <v>18483.561681645901</v>
      </c>
      <c r="G8" s="463">
        <f>industrie!G18</f>
        <v>0</v>
      </c>
      <c r="H8" s="463">
        <f>industrie!H18</f>
        <v>0</v>
      </c>
      <c r="I8" s="463">
        <f>industrie!I18</f>
        <v>0</v>
      </c>
      <c r="J8" s="463">
        <f>industrie!J18</f>
        <v>189.63349882421488</v>
      </c>
      <c r="K8" s="463">
        <f>industrie!K18</f>
        <v>0</v>
      </c>
      <c r="L8" s="463">
        <f>industrie!L18</f>
        <v>0</v>
      </c>
      <c r="M8" s="463">
        <f>industrie!M18</f>
        <v>0</v>
      </c>
      <c r="N8" s="463">
        <f>industrie!N18</f>
        <v>11445.719642490769</v>
      </c>
      <c r="O8" s="463">
        <f>industrie!O18</f>
        <v>0</v>
      </c>
      <c r="P8" s="464">
        <f>industrie!P18</f>
        <v>0</v>
      </c>
      <c r="Q8" s="462">
        <f t="shared" si="0"/>
        <v>181795.40124692203</v>
      </c>
    </row>
    <row r="9" spans="1:17" s="468" customFormat="1">
      <c r="A9" s="466" t="s">
        <v>574</v>
      </c>
      <c r="B9" s="467">
        <f>transport!B14</f>
        <v>5.9925309663756092</v>
      </c>
      <c r="C9" s="467"/>
      <c r="D9" s="467">
        <f>transport!D14</f>
        <v>9.5115802582239137</v>
      </c>
      <c r="E9" s="467">
        <f>transport!E14</f>
        <v>337.83868783492392</v>
      </c>
      <c r="F9" s="467"/>
      <c r="G9" s="467">
        <f>transport!G14</f>
        <v>94544.098340905926</v>
      </c>
      <c r="H9" s="467">
        <f>transport!H14</f>
        <v>14662.087408242947</v>
      </c>
      <c r="I9" s="467"/>
      <c r="J9" s="467"/>
      <c r="K9" s="467"/>
      <c r="L9" s="467"/>
      <c r="M9" s="467">
        <f>transport!M14</f>
        <v>4935.5554149338832</v>
      </c>
      <c r="N9" s="467"/>
      <c r="O9" s="467"/>
      <c r="P9" s="467"/>
      <c r="Q9" s="466">
        <f>SUM(B9:P9)</f>
        <v>114495.08396314229</v>
      </c>
    </row>
    <row r="10" spans="1:17">
      <c r="A10" s="462" t="s">
        <v>564</v>
      </c>
      <c r="B10" s="463">
        <f>transport!B54</f>
        <v>0</v>
      </c>
      <c r="C10" s="463"/>
      <c r="D10" s="463">
        <f>transport!D54</f>
        <v>0</v>
      </c>
      <c r="E10" s="463"/>
      <c r="F10" s="463"/>
      <c r="G10" s="463">
        <f>transport!G54</f>
        <v>1030.9711290464973</v>
      </c>
      <c r="H10" s="463"/>
      <c r="I10" s="463"/>
      <c r="J10" s="463"/>
      <c r="K10" s="463"/>
      <c r="L10" s="463"/>
      <c r="M10" s="463">
        <f>transport!M54</f>
        <v>45.849807777867909</v>
      </c>
      <c r="N10" s="463"/>
      <c r="O10" s="463"/>
      <c r="P10" s="464"/>
      <c r="Q10" s="462">
        <f t="shared" si="0"/>
        <v>1076.8209368243652</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125755.07140191869</v>
      </c>
      <c r="C14" s="473">
        <f t="shared" ref="C14:Q14" ca="1" si="1">SUM(C4:C13)</f>
        <v>41.571428571428562</v>
      </c>
      <c r="D14" s="473">
        <f t="shared" ca="1" si="1"/>
        <v>119002.98188864789</v>
      </c>
      <c r="E14" s="473">
        <f t="shared" si="1"/>
        <v>12382.726990181727</v>
      </c>
      <c r="F14" s="473">
        <f t="shared" ca="1" si="1"/>
        <v>65791.826379948034</v>
      </c>
      <c r="G14" s="473">
        <f t="shared" si="1"/>
        <v>95575.069469952417</v>
      </c>
      <c r="H14" s="473">
        <f t="shared" si="1"/>
        <v>14662.087408242947</v>
      </c>
      <c r="I14" s="473">
        <f t="shared" si="1"/>
        <v>0</v>
      </c>
      <c r="J14" s="473">
        <f t="shared" si="1"/>
        <v>8674.5680398204349</v>
      </c>
      <c r="K14" s="473">
        <f t="shared" si="1"/>
        <v>0</v>
      </c>
      <c r="L14" s="473">
        <f t="shared" ca="1" si="1"/>
        <v>0</v>
      </c>
      <c r="M14" s="473">
        <f t="shared" si="1"/>
        <v>4981.4052227117509</v>
      </c>
      <c r="N14" s="473">
        <f t="shared" ca="1" si="1"/>
        <v>41906.695272718978</v>
      </c>
      <c r="O14" s="473">
        <f t="shared" si="1"/>
        <v>278.27333333333331</v>
      </c>
      <c r="P14" s="474">
        <f t="shared" si="1"/>
        <v>438.53333333333336</v>
      </c>
      <c r="Q14" s="474">
        <f t="shared" ca="1" si="1"/>
        <v>489490.81016938097</v>
      </c>
    </row>
    <row r="16" spans="1:17">
      <c r="A16" s="476" t="s">
        <v>569</v>
      </c>
      <c r="B16" s="829">
        <f ca="1">huishoudens!B10</f>
        <v>0.20883670501826274</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4545.8673658837897</v>
      </c>
      <c r="C21" s="463">
        <f t="shared" ref="C21:C28" ca="1" si="3">C4*$C$16</f>
        <v>0</v>
      </c>
      <c r="D21" s="463">
        <f t="shared" ref="D21:D30" si="4">D4*$D$16</f>
        <v>7853.5648962843088</v>
      </c>
      <c r="E21" s="463">
        <f t="shared" ref="E21:E30" si="5">E4*$E$16</f>
        <v>1894.0088105718564</v>
      </c>
      <c r="F21" s="463">
        <f t="shared" ref="F21:F28" si="6">F4*$F$16</f>
        <v>6092.6409309941764</v>
      </c>
      <c r="G21" s="463">
        <f t="shared" ref="G21:G30" si="7">G4*$G$16</f>
        <v>0</v>
      </c>
      <c r="H21" s="463">
        <f t="shared" ref="H21:H30" si="8">H4*$H$16</f>
        <v>0</v>
      </c>
      <c r="I21" s="463">
        <f t="shared" ref="I21:I28" si="9">I4*$I$16</f>
        <v>0</v>
      </c>
      <c r="J21" s="463">
        <f t="shared" ref="J21:J28" si="10">J4*$J$16</f>
        <v>2672.9756372473853</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23059.057640981518</v>
      </c>
    </row>
    <row r="22" spans="1:17">
      <c r="A22" s="462" t="s">
        <v>156</v>
      </c>
      <c r="B22" s="463">
        <f t="shared" ca="1" si="2"/>
        <v>2752.1175393190465</v>
      </c>
      <c r="C22" s="463">
        <f t="shared" ca="1" si="3"/>
        <v>0</v>
      </c>
      <c r="D22" s="463">
        <f t="shared" ca="1" si="4"/>
        <v>2425.3211658112236</v>
      </c>
      <c r="E22" s="463">
        <f t="shared" si="5"/>
        <v>34.626829927160891</v>
      </c>
      <c r="F22" s="463">
        <f t="shared" ca="1" si="6"/>
        <v>816.42343545364179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6028.4889705110727</v>
      </c>
    </row>
    <row r="23" spans="1:17">
      <c r="A23" s="462" t="s">
        <v>194</v>
      </c>
      <c r="B23" s="463">
        <f t="shared" ca="1" si="2"/>
        <v>222.00135322920397</v>
      </c>
      <c r="C23" s="463"/>
      <c r="D23" s="463"/>
      <c r="E23" s="463"/>
      <c r="F23" s="463"/>
      <c r="G23" s="463"/>
      <c r="H23" s="463"/>
      <c r="I23" s="463"/>
      <c r="J23" s="463"/>
      <c r="K23" s="463"/>
      <c r="L23" s="463"/>
      <c r="M23" s="463"/>
      <c r="N23" s="463"/>
      <c r="O23" s="463"/>
      <c r="P23" s="464"/>
      <c r="Q23" s="462">
        <f t="shared" ca="1" si="17"/>
        <v>222.00135322920397</v>
      </c>
    </row>
    <row r="24" spans="1:17">
      <c r="A24" s="462" t="s">
        <v>112</v>
      </c>
      <c r="B24" s="463">
        <f t="shared" ca="1" si="2"/>
        <v>1297.2126815498384</v>
      </c>
      <c r="C24" s="463">
        <f t="shared" ca="1" si="3"/>
        <v>0</v>
      </c>
      <c r="D24" s="463">
        <f t="shared" si="4"/>
        <v>692.9342582819877</v>
      </c>
      <c r="E24" s="463">
        <f t="shared" si="5"/>
        <v>17.76827048879742</v>
      </c>
      <c r="F24" s="463">
        <f t="shared" si="6"/>
        <v>5722.2423079988548</v>
      </c>
      <c r="G24" s="463">
        <f t="shared" si="7"/>
        <v>0</v>
      </c>
      <c r="H24" s="463">
        <f t="shared" si="8"/>
        <v>0</v>
      </c>
      <c r="I24" s="463">
        <f t="shared" si="9"/>
        <v>0</v>
      </c>
      <c r="J24" s="463">
        <f t="shared" si="10"/>
        <v>330.69119026527676</v>
      </c>
      <c r="K24" s="463">
        <f t="shared" si="11"/>
        <v>0</v>
      </c>
      <c r="L24" s="463">
        <f t="shared" si="12"/>
        <v>0</v>
      </c>
      <c r="M24" s="463">
        <f t="shared" si="13"/>
        <v>0</v>
      </c>
      <c r="N24" s="463">
        <f t="shared" si="14"/>
        <v>0</v>
      </c>
      <c r="O24" s="463">
        <f t="shared" si="15"/>
        <v>0</v>
      </c>
      <c r="P24" s="464">
        <f t="shared" si="16"/>
        <v>0</v>
      </c>
      <c r="Q24" s="462">
        <f t="shared" ca="1" si="17"/>
        <v>8060.8487085847546</v>
      </c>
    </row>
    <row r="25" spans="1:17">
      <c r="A25" s="462" t="s">
        <v>657</v>
      </c>
      <c r="B25" s="463">
        <f t="shared" ca="1" si="2"/>
        <v>17443.82435050944</v>
      </c>
      <c r="C25" s="463">
        <f t="shared" ca="1" si="3"/>
        <v>0</v>
      </c>
      <c r="D25" s="463">
        <f t="shared" si="4"/>
        <v>13064.860681917193</v>
      </c>
      <c r="E25" s="463">
        <f t="shared" si="5"/>
        <v>787.78573364490933</v>
      </c>
      <c r="F25" s="463">
        <f t="shared" si="6"/>
        <v>4935.1109689994555</v>
      </c>
      <c r="G25" s="463">
        <f t="shared" si="7"/>
        <v>0</v>
      </c>
      <c r="H25" s="463">
        <f t="shared" si="8"/>
        <v>0</v>
      </c>
      <c r="I25" s="463">
        <f t="shared" si="9"/>
        <v>0</v>
      </c>
      <c r="J25" s="463">
        <f t="shared" si="10"/>
        <v>67.130258583772061</v>
      </c>
      <c r="K25" s="463">
        <f t="shared" si="11"/>
        <v>0</v>
      </c>
      <c r="L25" s="463">
        <f t="shared" si="12"/>
        <v>0</v>
      </c>
      <c r="M25" s="463">
        <f t="shared" si="13"/>
        <v>0</v>
      </c>
      <c r="N25" s="463">
        <f t="shared" si="14"/>
        <v>0</v>
      </c>
      <c r="O25" s="463">
        <f t="shared" si="15"/>
        <v>0</v>
      </c>
      <c r="P25" s="464">
        <f t="shared" si="16"/>
        <v>0</v>
      </c>
      <c r="Q25" s="462">
        <f t="shared" ca="1" si="17"/>
        <v>36298.711993654768</v>
      </c>
    </row>
    <row r="26" spans="1:17" s="468" customFormat="1">
      <c r="A26" s="466" t="s">
        <v>574</v>
      </c>
      <c r="B26" s="823">
        <f t="shared" ca="1" si="2"/>
        <v>1.251460421737788</v>
      </c>
      <c r="C26" s="467"/>
      <c r="D26" s="467">
        <f t="shared" si="4"/>
        <v>1.9213392121612307</v>
      </c>
      <c r="E26" s="467">
        <f t="shared" si="5"/>
        <v>76.689382138527733</v>
      </c>
      <c r="F26" s="467"/>
      <c r="G26" s="467">
        <f t="shared" si="7"/>
        <v>25243.274257021883</v>
      </c>
      <c r="H26" s="467">
        <f t="shared" si="8"/>
        <v>3650.8597646524941</v>
      </c>
      <c r="I26" s="467"/>
      <c r="J26" s="467"/>
      <c r="K26" s="467"/>
      <c r="L26" s="467"/>
      <c r="M26" s="467">
        <f t="shared" si="13"/>
        <v>0</v>
      </c>
      <c r="N26" s="467"/>
      <c r="O26" s="467"/>
      <c r="P26" s="478"/>
      <c r="Q26" s="466">
        <f t="shared" ca="1" si="17"/>
        <v>28973.996203446804</v>
      </c>
    </row>
    <row r="27" spans="1:17">
      <c r="A27" s="462" t="s">
        <v>564</v>
      </c>
      <c r="B27" s="463">
        <f t="shared" ca="1" si="2"/>
        <v>0</v>
      </c>
      <c r="C27" s="463"/>
      <c r="D27" s="467">
        <f t="shared" si="4"/>
        <v>0</v>
      </c>
      <c r="E27" s="463"/>
      <c r="F27" s="463"/>
      <c r="G27" s="463">
        <f t="shared" si="7"/>
        <v>275.26929145541476</v>
      </c>
      <c r="H27" s="463"/>
      <c r="I27" s="463"/>
      <c r="J27" s="463"/>
      <c r="K27" s="463"/>
      <c r="L27" s="463"/>
      <c r="M27" s="463">
        <f t="shared" si="13"/>
        <v>0</v>
      </c>
      <c r="N27" s="463"/>
      <c r="O27" s="463"/>
      <c r="P27" s="464"/>
      <c r="Q27" s="462">
        <f t="shared" ca="1" si="17"/>
        <v>275.26929145541476</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26262.27475091306</v>
      </c>
      <c r="C31" s="473">
        <f t="shared" ca="1" si="18"/>
        <v>0</v>
      </c>
      <c r="D31" s="473">
        <f t="shared" ca="1" si="18"/>
        <v>24038.602341506874</v>
      </c>
      <c r="E31" s="473">
        <f t="shared" si="18"/>
        <v>2810.879026771252</v>
      </c>
      <c r="F31" s="473">
        <f t="shared" ca="1" si="18"/>
        <v>17566.41764344613</v>
      </c>
      <c r="G31" s="473">
        <f t="shared" si="18"/>
        <v>25518.543548477297</v>
      </c>
      <c r="H31" s="473">
        <f t="shared" si="18"/>
        <v>3650.8597646524941</v>
      </c>
      <c r="I31" s="473">
        <f t="shared" si="18"/>
        <v>0</v>
      </c>
      <c r="J31" s="473">
        <f t="shared" si="18"/>
        <v>3070.7970860964342</v>
      </c>
      <c r="K31" s="473">
        <f t="shared" si="18"/>
        <v>0</v>
      </c>
      <c r="L31" s="473">
        <f t="shared" ca="1" si="18"/>
        <v>0</v>
      </c>
      <c r="M31" s="473">
        <f t="shared" si="18"/>
        <v>0</v>
      </c>
      <c r="N31" s="473">
        <f t="shared" ca="1" si="18"/>
        <v>0</v>
      </c>
      <c r="O31" s="473">
        <f t="shared" si="18"/>
        <v>0</v>
      </c>
      <c r="P31" s="474">
        <f t="shared" si="18"/>
        <v>0</v>
      </c>
      <c r="Q31" s="474">
        <f t="shared" ca="1" si="18"/>
        <v>102918.37416186354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0.20883670501826274</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0.20883670501826274</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0.20883670501826274</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2019-01-02T18:03:54Z</dcterms:modified>
</cp:coreProperties>
</file>