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F10"/>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F16"/>
  <c r="C13" i="15"/>
  <c r="L6" i="17"/>
  <c r="L5" s="1"/>
  <c r="D8"/>
  <c r="B8" i="9"/>
  <c r="C16" i="15"/>
  <c r="D10" i="14" s="1"/>
  <c r="I14" i="15"/>
  <c r="I16" s="1"/>
  <c r="J10" i="14" s="1"/>
  <c r="B13" i="16"/>
  <c r="C35"/>
  <c r="E9" i="14"/>
  <c r="D14" i="15"/>
  <c r="P18" i="16"/>
  <c r="P22" s="1"/>
  <c r="Q39" i="14" s="1"/>
  <c r="L16" i="16"/>
  <c r="L18"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N7" l="1"/>
  <c r="N24" s="1"/>
  <c r="L7"/>
  <c r="L24" s="1"/>
  <c r="E13" i="14"/>
  <c r="H14" i="22"/>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E15"/>
  <c r="E23" s="1"/>
  <c r="Q7" i="48"/>
  <c r="F10" i="14"/>
  <c r="R10" s="1"/>
  <c r="N46"/>
  <c r="N53" s="1"/>
  <c r="J9" i="18"/>
  <c r="M7"/>
  <c r="M9" s="1"/>
  <c r="M16"/>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B22"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N22" i="16"/>
  <c r="O39" i="14" s="1"/>
  <c r="O41" s="1"/>
  <c r="F8" i="48"/>
  <c r="Q4"/>
  <c r="N22"/>
  <c r="R11" i="14"/>
  <c r="J21" i="48"/>
  <c r="C18" i="15" l="1"/>
  <c r="C20" s="1"/>
  <c r="D36" i="14" s="1"/>
  <c r="C10" i="17"/>
  <c r="C12" s="1"/>
  <c r="D48" i="14" s="1"/>
  <c r="C56" i="22"/>
  <c r="C58" s="1"/>
  <c r="D44" i="14" s="1"/>
  <c r="D46" s="1"/>
  <c r="C17" i="49"/>
  <c r="C10" i="13"/>
  <c r="C16" i="48" s="1"/>
  <c r="C25" s="1"/>
  <c r="C16" i="22"/>
  <c r="C29" i="20"/>
  <c r="C17" i="19"/>
  <c r="C19" s="1"/>
  <c r="D35" i="14" s="1"/>
  <c r="C20" i="16"/>
  <c r="C22" s="1"/>
  <c r="D39" i="14" s="1"/>
  <c r="E22" i="16"/>
  <c r="F39" i="14" s="1"/>
  <c r="F41" s="1"/>
  <c r="F53" s="1"/>
  <c r="F55" s="1"/>
  <c r="O13"/>
  <c r="O15" s="1"/>
  <c r="F13"/>
  <c r="F15" s="1"/>
  <c r="F23" s="1"/>
  <c r="N55"/>
  <c r="K41"/>
  <c r="K53" s="1"/>
  <c r="F22" i="16"/>
  <c r="G39" i="14" s="1"/>
  <c r="G41"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C24" i="48"/>
  <c r="C21"/>
  <c r="K55" i="14"/>
  <c r="R13"/>
  <c r="R15" s="1"/>
  <c r="F25" i="48"/>
  <c r="F31" s="1"/>
  <c r="F14"/>
  <c r="D41" i="14" l="1"/>
  <c r="D53" s="1"/>
  <c r="D55" s="1"/>
  <c r="C28" i="48"/>
  <c r="C22"/>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<sst xmlns="http://schemas.openxmlformats.org/spreadsheetml/2006/main" count="2187" uniqueCount="894">
  <si>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</si>
  <si>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</si>
  <si>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</si>
  <si>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</si>
  <si>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</si>
  <si>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</si>
  <si>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</si>
  <si>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</si>
  <si>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</si>
  <si>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</si>
  <si>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</si>
  <si>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</si>
  <si>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</si>
  <si>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</si>
  <si>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</si>
  <si>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</si>
  <si>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</si>
  <si>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</si>
  <si>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</si>
  <si>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</si>
  <si>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</si>
  <si>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</si>
  <si>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</si>
  <si>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</si>
  <si>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</si>
  <si>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</si>
  <si>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</si>
  <si>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</si>
  <si>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</si>
  <si>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</si>
  <si>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</si>
  <si>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</si>
  <si>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</si>
  <si>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</si>
  <si>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</si>
  <si>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</si>
  <si>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</si>
  <si>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</si>
  <si>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</si>
  <si>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</si>
  <si>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</si>
  <si>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</si>
  <si>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</si>
  <si>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</si>
  <si>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</si>
  <si>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</si>
  <si>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</si>
  <si>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</si>
  <si>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</si>
  <si>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</si>
  <si>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</si>
  <si>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</si>
  <si>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</si>
  <si>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</si>
  <si>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</si>
  <si>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</si>
  <si>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</si>
  <si>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</si>
  <si>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</si>
  <si>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</si>
  <si>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</si>
  <si>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</si>
  <si>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</si>
  <si>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</si>
  <si>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</si>
  <si>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</si>
  <si>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</si>
  <si>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</si>
  <si>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</si>
  <si>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</si>
  <si>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</si>
  <si>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</si>
  <si>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</si>
  <si>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</si>
  <si>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</si>
  <si>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</si>
  <si>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</si>
  <si>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</si>
  <si>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</si>
  <si>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</si>
  <si>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</si>
  <si>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</si>
  <si>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</si>
  <si>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</si>
  <si>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</si>
  <si>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</si>
  <si>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</si>
  <si>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</si>
  <si>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</si>
  <si>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</si>
  <si>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</si>
  <si>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</si>
  <si>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</si>
  <si>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</si>
  <si>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</si>
  <si>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</si>
  <si>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</si>
  <si>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</si>
  <si>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</si>
  <si>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</si>
  <si>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</si>
  <si>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</si>
  <si>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</si>
  <si>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</si>
  <si>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</si>
  <si>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</si>
  <si>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</si>
  <si>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</si>
  <si>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</si>
  <si>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</si>
  <si>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</si>
  <si>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</si>
  <si>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</si>
  <si>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</si>
  <si>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</si>
  <si>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</si>
  <si>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</si>
  <si>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</si>
  <si>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</si>
  <si>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</si>
  <si>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</si>
  <si>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</si>
  <si>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</si>
  <si>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</si>
  <si>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</si>
  <si>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</si>
  <si>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</si>
  <si>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</si>
  <si>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</si>
  <si>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</si>
  <si>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</si>
  <si>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</si>
  <si>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</si>
  <si>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</si>
  <si>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</si>
  <si>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</si>
  <si>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</si>
  <si>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</si>
  <si>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</si>
  <si>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</si>
  <si>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</si>
  <si>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</si>
  <si>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</si>
  <si>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</si>
  <si>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</si>
  <si>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</si>
  <si>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</si>
  <si>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</si>
  <si>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</si>
  <si>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</si>
  <si>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</si>
  <si>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</si>
  <si>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</si>
  <si>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</si>
  <si>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</si>
  <si>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</si>
  <si>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</si>
  <si>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</si>
  <si>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</si>
  <si>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</si>
  <si>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</si>
  <si>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</si>
  <si>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</si>
  <si>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</si>
  <si>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</si>
  <si>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</si>
  <si>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</si>
  <si>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</si>
  <si>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</si>
  <si>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</si>
  <si>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</si>
  <si>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</si>
  <si>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</si>
  <si>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</si>
  <si>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</si>
  <si>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</si>
  <si>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</si>
  <si>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</si>
  <si>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</si>
  <si>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</si>
  <si>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</si>
  <si>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</si>
  <si>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</si>
  <si>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</si>
  <si>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</si>
  <si>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</si>
  <si>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</si>
  <si>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</si>
  <si>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</si>
  <si>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</si>
  <si>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</si>
  <si>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</si>
  <si>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</si>
  <si>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</si>
  <si>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</si>
  <si>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</si>
  <si>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</si>
  <si>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</si>
  <si>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</si>
  <si>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</si>
  <si>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</si>
  <si>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</si>
  <si>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</si>
  <si>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</si>
  <si>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</si>
  <si>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</si>
  <si>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</si>
  <si>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</si>
  <si>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</si>
  <si>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</si>
  <si>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</si>
  <si>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</si>
  <si>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</si>
  <si>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</si>
  <si>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</si>
  <si>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</si>
  <si>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</si>
  <si>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</si>
  <si>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</si>
  <si>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</si>
  <si>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</si>
  <si>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</si>
  <si>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</si>
  <si>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</si>
  <si>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</si>
  <si>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</si>
  <si>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</si>
  <si>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</si>
  <si>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</si>
  <si>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</si>
  <si>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</si>
  <si>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</si>
  <si>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</si>
  <si>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</si>
  <si>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</si>
  <si>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</si>
  <si>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</si>
  <si>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</si>
  <si>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</si>
  <si>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</si>
  <si>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</si>
  <si>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</si>
  <si>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</si>
  <si>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</si>
  <si>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</si>
  <si>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</si>
  <si>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</si>
  <si>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</si>
  <si>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</si>
  <si>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</si>
  <si>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</si>
  <si>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</si>
  <si>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</si>
  <si>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</si>
  <si>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</si>
  <si>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</si>
  <si>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</si>
  <si>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</si>
  <si>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</si>
  <si>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</si>
  <si>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</si>
  <si>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</si>
  <si>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</si>
  <si>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</si>
  <si>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</si>
  <si>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</si>
  <si>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</si>
  <si>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</si>
  <si>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</si>
  <si>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</si>
  <si>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</si>
  <si>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</si>
  <si>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</si>
  <si>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</si>
  <si>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</si>
  <si>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</si>
  <si>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</si>
  <si>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</si>
  <si>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</si>
  <si>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</si>
  <si>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</si>
  <si>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</si>
  <si>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</si>
  <si>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</si>
  <si>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</si>
  <si>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</si>
  <si>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</si>
  <si>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</si>
  <si>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</si>
  <si>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</si>
  <si>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</si>
  <si>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</si>
  <si>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</si>
  <si>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</si>
  <si>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</si>
  <si>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</si>
  <si>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</si>
  <si>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</si>
  <si>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</si>
  <si>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</si>
  <si>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</si>
  <si>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</si>
  <si>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</si>
  <si>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</si>
  <si>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</si>
  <si>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</si>
  <si>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</si>
  <si>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</si>
  <si>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</si>
  <si>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</si>
  <si>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</si>
  <si>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</si>
  <si>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</si>
  <si>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</si>
  <si>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</si>
  <si>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</si>
  <si>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</si>
  <si>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</si>
  <si>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</si>
  <si>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</si>
  <si>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</si>
  <si>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</si>
  <si>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</si>
  <si>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</si>
  <si>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</si>
  <si>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</si>
  <si>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</si>
  <si>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</si>
  <si>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</si>
  <si>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</si>
  <si>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</si>
  <si>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</si>
  <si>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</si>
  <si>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</si>
  <si>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</si>
  <si>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</si>
  <si>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</si>
  <si>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</si>
  <si>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</si>
  <si>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</si>
  <si>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</si>
  <si>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</si>
  <si>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</si>
  <si>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</si>
  <si>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</si>
  <si>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</si>
  <si>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</si>
  <si>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</si>
  <si>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</si>
  <si>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</si>
  <si>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</si>
  <si>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</si>
  <si>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</si>
  <si>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</si>
  <si>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</si>
  <si>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</si>
  <si>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</si>
  <si>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</si>
  <si>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</si>
  <si>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</si>
  <si>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</si>
  <si>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</si>
  <si>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</si>
  <si>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</si>
  <si>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</si>
  <si>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</si>
  <si>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</si>
  <si>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</si>
  <si>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</si>
  <si>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</si>
  <si>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</si>
  <si>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</si>
  <si>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</si>
  <si>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</si>
  <si>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</si>
  <si>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</si>
  <si>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</si>
  <si>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</si>
  <si>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</si>
  <si>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</si>
  <si>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</si>
  <si>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</si>
  <si>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</si>
  <si>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</si>
  <si>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</si>
  <si>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</si>
  <si>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</si>
  <si>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</si>
  <si>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</si>
  <si>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</si>
  <si>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</si>
  <si>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</si>
  <si>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</si>
  <si>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</si>
  <si>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</si>
  <si>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</si>
  <si>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</si>
  <si>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</si>
  <si>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</si>
  <si>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</si>
  <si>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</si>
  <si>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</si>
  <si>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</si>
  <si>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</si>
  <si>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</si>
  <si>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</si>
  <si>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</si>
  <si>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</si>
  <si>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</si>
  <si>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</si>
  <si>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</si>
  <si>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</si>
  <si>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</si>
  <si>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</si>
  <si>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</si>
  <si>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</si>
  <si>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</si>
  <si>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</si>
  <si>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</si>
  <si>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</si>
  <si>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</si>
  <si>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</si>
  <si>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</si>
  <si>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</si>
  <si>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</si>
  <si>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</si>
  <si>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</si>
  <si>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</si>
  <si>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</si>
  <si>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</si>
  <si>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</si>
  <si>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</si>
  <si>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</si>
  <si>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</si>
  <si>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</si>
  <si>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</si>
  <si>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</si>
  <si>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</si>
  <si>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</si>
  <si>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</si>
  <si>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</si>
  <si>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</si>
  <si>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</si>
  <si>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</si>
  <si>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</si>
  <si>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</si>
  <si>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</si>
  <si>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</si>
  <si>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</si>
  <si>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</si>
  <si>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</si>
  <si>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</si>
  <si>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</si>
  <si>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</si>
  <si>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</si>
  <si>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</si>
  <si>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</si>
  <si>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</si>
  <si>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</si>
  <si>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</si>
  <si>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</si>
  <si>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</si>
  <si>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</si>
  <si>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</si>
  <si>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</si>
  <si>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</si>
  <si>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</si>
  <si>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</si>
  <si>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</si>
  <si>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</si>
  <si>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</si>
  <si>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</si>
  <si>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</si>
  <si>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</si>
  <si>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</si>
  <si>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</si>
  <si>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</si>
  <si>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</si>
  <si>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</si>
  <si>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</si>
  <si>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</si>
  <si>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</si>
  <si>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</si>
  <si>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</si>
  <si>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</si>
  <si>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</si>
  <si>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</si>
  <si>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</si>
  <si>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</si>
  <si>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</si>
  <si>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</si>
  <si>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</si>
  <si>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</si>
  <si>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</si>
  <si>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</si>
  <si>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</si>
  <si>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</si>
  <si>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</si>
  <si>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</si>
  <si>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</si>
  <si>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</si>
  <si>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</si>
  <si>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</si>
  <si>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</si>
  <si>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</si>
  <si>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</si>
  <si>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</si>
  <si>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</si>
  <si>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</si>
  <si>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</si>
  <si>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</si>
  <si>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</si>
  <si>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</si>
  <si>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</si>
  <si>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</si>
  <si>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</si>
  <si>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</si>
  <si>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</si>
  <si>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</si>
  <si>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</si>
  <si>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</si>
  <si>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</si>
  <si>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</si>
  <si>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</si>
  <si>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</si>
  <si>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</si>
  <si>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</si>
  <si>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</si>
  <si>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</si>
  <si>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</si>
  <si>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</si>
  <si>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</si>
  <si>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</si>
  <si>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</si>
  <si>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</si>
  <si>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</si>
  <si>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</si>
  <si>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</si>
  <si>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</si>
  <si>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</si>
  <si>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</si>
  <si>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</si>
  <si>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</si>
  <si>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</si>
  <si>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</si>
  <si>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</si>
  <si>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</si>
  <si>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</si>
  <si>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</si>
  <si>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</si>
  <si>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</si>
  <si>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</si>
  <si>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</si>
  <si>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</si>
  <si>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</si>
  <si>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</si>
  <si>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</si>
  <si>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</si>
  <si>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</si>
  <si>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</si>
  <si>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</si>
  <si>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</si>
  <si>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</si>
  <si>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</si>
  <si>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</si>
  <si>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</si>
  <si>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</si>
  <si>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</si>
  <si>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</si>
  <si>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</si>
  <si>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</si>
  <si>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</si>
  <si>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</si>
  <si>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</si>
  <si>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</si>
  <si>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</si>
  <si>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</si>
  <si>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</si>
  <si>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</si>
  <si>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</si>
  <si>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</si>
  <si>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</si>
  <si>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</si>
  <si>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</si>
  <si>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</si>
  <si>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</si>
  <si>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</si>
  <si>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</si>
  <si>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</si>
  <si>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</si>
  <si>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</si>
  <si>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</si>
  <si>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</si>
  <si>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</si>
  <si>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</si>
  <si>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</si>
  <si>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</si>
  <si>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</si>
  <si>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</si>
  <si>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</si>
  <si>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</si>
  <si>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</si>
  <si>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</si>
  <si>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</si>
  <si>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</si>
  <si>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</si>
  <si>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</si>
  <si>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</si>
  <si>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</si>
  <si>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</si>
  <si>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</si>
  <si>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</si>
  <si>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</si>
  <si>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</si>
  <si>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</si>
  <si>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</si>
  <si>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</si>
  <si>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</si>
  <si>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</si>
  <si>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</si>
  <si>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</si>
  <si>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</si>
  <si>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</si>
  <si>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</si>
  <si>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</si>
  <si>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</si>
  <si>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</si>
  <si>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</si>
  <si>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</si>
  <si>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</si>
  <si>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</si>
  <si>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</si>
  <si>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</si>
  <si>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</si>
  <si>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</si>
  <si>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</si>
  <si>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</si>
  <si>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</si>
  <si>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</si>
  <si>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</si>
  <si>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</si>
  <si>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</si>
  <si>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</si>
  <si>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</si>
  <si>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</si>
  <si>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</si>
  <si>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</si>
  <si>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</si>
  <si>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</si>
  <si>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</si>
  <si>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</si>
  <si>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</si>
  <si>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</si>
  <si>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</si>
  <si>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</si>
  <si>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</si>
  <si>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</si>
  <si>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</si>
  <si>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</si>
  <si>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</si>
  <si>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</si>
  <si>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</si>
  <si>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</si>
  <si>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</si>
  <si>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</si>
  <si>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</si>
  <si>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</si>
  <si>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</si>
  <si>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</si>
  <si>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</si>
  <si>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</si>
  <si>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</si>
  <si>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</si>
  <si>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</si>
  <si>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</si>
  <si>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</si>
  <si>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</si>
  <si>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</si>
  <si>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</si>
  <si>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</si>
  <si>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</si>
  <si>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</si>
  <si>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</si>
  <si>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</si>
  <si>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</si>
  <si>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</si>
  <si>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</si>
  <si>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</si>
  <si>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</si>
  <si>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</si>
  <si>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</si>
  <si>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</si>
  <si>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</si>
  <si>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</si>
  <si>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</si>
  <si>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</si>
  <si>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</si>
  <si>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</si>
  <si>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</si>
  <si>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</si>
  <si>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</si>
  <si>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</si>
  <si>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</si>
  <si>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</si>
  <si>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</si>
  <si>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</si>
  <si>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</si>
  <si>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</si>
  <si>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</si>
  <si>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</si>
  <si>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</si>
  <si>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</si>
  <si>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</si>
  <si>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</si>
  <si>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</si>
  <si>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</si>
  <si>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</si>
  <si>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</si>
  <si>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</si>
  <si>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</si>
  <si>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</si>
  <si>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</si>
  <si>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</si>
  <si>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</si>
  <si>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</si>
  <si>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</si>
  <si>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</si>
  <si>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</si>
  <si>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</si>
  <si>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</si>
  <si>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</si>
  <si>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</si>
  <si>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</si>
  <si>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</si>
  <si>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</si>
  <si>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</si>
  <si>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</si>
  <si>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</si>
  <si>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</si>
  <si>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</si>
  <si>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</si>
  <si>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</si>
  <si>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</si>
  <si>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</si>
  <si>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</si>
  <si>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</si>
  <si>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</si>
  <si>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</si>
  <si>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</si>
  <si>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</si>
  <si>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</si>
  <si>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</si>
  <si>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</si>
  <si>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</si>
  <si>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</si>
  <si>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</si>
  <si>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</si>
  <si>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</si>
  <si>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</si>
  <si>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</si>
  <si>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</si>
  <si>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</si>
  <si>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</si>
  <si>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</si>
  <si>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</si>
  <si>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</si>
  <si>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</si>
  <si>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</si>
  <si>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</si>
  <si>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</si>
  <si>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</si>
  <si>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</si>
  <si>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</si>
  <si>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</si>
  <si>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</si>
  <si>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</si>
  <si>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</si>
  <si>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</si>
  <si>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</si>
  <si>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</si>
  <si>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</si>
  <si>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</si>
  <si>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</si>
  <si>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</si>
  <si>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</si>
  <si>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</si>
  <si>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</si>
  <si>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</si>
  <si>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</si>
  <si>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</si>
  <si>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</si>
  <si>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</si>
  <si>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</si>
  <si>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</si>
  <si>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</si>
  <si>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</si>
  <si>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</si>
  <si>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</si>
  <si>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</si>
  <si>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</si>
  <si>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</si>
  <si>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</si>
  <si>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</si>
  <si>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</si>
  <si>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</si>
  <si>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</si>
  <si>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</si>
  <si>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</si>
  <si>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</si>
  <si>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</si>
  <si>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</si>
  <si>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</si>
  <si>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</si>
  <si>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</si>
  <si>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</si>
  <si>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</si>
  <si>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</si>
  <si>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</si>
  <si>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</si>
  <si>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</si>
  <si>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</si>
  <si>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</si>
  <si>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</si>
  <si>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</si>
  <si>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</si>
  <si>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</si>
  <si>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</si>
  <si>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</si>
  <si>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</si>
  <si>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</si>
  <si>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</si>
  <si>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</si>
  <si>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</si>
  <si>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</si>
  <si>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</si>
  <si>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</si>
  <si>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</si>
  <si>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</si>
  <si>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</si>
  <si>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</si>
  <si>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</si>
  <si>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</si>
  <si>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</si>
  <si>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</si>
  <si>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</si>
  <si>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</si>
  <si>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</si>
  <si>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</si>
  <si>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</si>
  <si>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</si>
  <si>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</si>
  <si>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</si>
  <si>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</si>
  <si>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</si>
  <si>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</si>
  <si>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</si>
  <si>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</si>
  <si>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</si>
  <si>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</si>
  <si>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</si>
  <si>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</si>
  <si>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</si>
  <si>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</si>
  <si>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</si>
  <si>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</si>
  <si>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</si>
  <si>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</si>
  <si>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</si>
  <si>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</si>
  <si>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</si>
  <si>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</si>
  <si>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33011</t>
  </si>
  <si>
    <t>IEPER</t>
  </si>
  <si>
    <t>Cultuurgrond (ha)</t>
  </si>
  <si>
    <t>Paarden&amp;pony's 200 - 600 kg</t>
  </si>
  <si>
    <t>Paarden&amp;pony's &lt; 200 kg</t>
  </si>
  <si>
    <t>op basis van VEA (maart 2018) en Inventaris Hernieuwbare Energiebronnen (juni 2018)</t>
  </si>
  <si>
    <t>VEA (juni 2018)</t>
  </si>
  <si>
    <t>IVVO cvba</t>
  </si>
  <si>
    <t>Bargiestraat 6 , 8900 Ieper</t>
  </si>
  <si>
    <t>WKK-0267 IVVO</t>
  </si>
  <si>
    <t>interne verbrandingsmotor</t>
  </si>
  <si>
    <t>WKK interne verbrandinsgmotor (gas)</t>
  </si>
  <si>
    <t>GASELWEST</t>
  </si>
  <si>
    <t>Biomass Center Ieper bvba</t>
  </si>
  <si>
    <t>Bargiestraat 1, 8900 Ieper</t>
  </si>
  <si>
    <t>WKK-0102 Biomass Center Ieper</t>
  </si>
  <si>
    <t>Jan Yperman Ziekenhuis VZW</t>
  </si>
  <si>
    <t>Briekestraat 12 , 8900 Ieper</t>
  </si>
  <si>
    <t>WKK-0571 Jan Yperman Ziekenhuis</t>
  </si>
  <si>
    <t>Waterleau Newenergy Ieper NV</t>
  </si>
  <si>
    <t>Radioweg 18 , 3020 Herent</t>
  </si>
  <si>
    <t>WKK-0507 Waterleau Newenergy Ieper</t>
  </si>
  <si>
    <t>Bargiestraat 4 , 8900 Ieper</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</si>
</sst>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293767.47258891922</c:v>
                </c:pt>
                <c:pt idx="1">
                  <c:v>220753.77060739303</c:v>
                </c:pt>
                <c:pt idx="2">
                  <c:v>3338.5709999999999</c:v>
                </c:pt>
                <c:pt idx="3">
                  <c:v>64974.644278842199</c:v>
                </c:pt>
                <c:pt idx="4">
                  <c:v>526545.73122185457</c:v>
                </c:pt>
                <c:pt idx="5">
                  <c:v>221168.21347898329</c:v>
                </c:pt>
                <c:pt idx="6">
                  <c:v>3711.3886790520974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0032"/>
        <c:axId val="182301824"/>
      </c:barChart>
      <c:catAx>
        <c:axId val="182300032"/>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293767.47258891922</c:v>
                </c:pt>
                <c:pt idx="1">
                  <c:v>220753.77060739303</c:v>
                </c:pt>
                <c:pt idx="2">
                  <c:v>3338.5709999999999</c:v>
                </c:pt>
                <c:pt idx="3">
                  <c:v>64974.644278842199</c:v>
                </c:pt>
                <c:pt idx="4">
                  <c:v>526545.73122185457</c:v>
                </c:pt>
                <c:pt idx="5">
                  <c:v>221168.21347898329</c:v>
                </c:pt>
                <c:pt idx="6">
                  <c:v>3711.3886790520974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53370.790887310846</c:v>
                </c:pt>
                <c:pt idx="1">
                  <c:v>39934.047264308305</c:v>
                </c:pt>
                <c:pt idx="2">
                  <c:v>580.31886242895166</c:v>
                </c:pt>
                <c:pt idx="3">
                  <c:v>12592.335437559954</c:v>
                </c:pt>
                <c:pt idx="4">
                  <c:v>99645.358257008687</c:v>
                </c:pt>
                <c:pt idx="5">
                  <c:v>55943.09962510581</c:v>
                </c:pt>
                <c:pt idx="6">
                  <c:v>948.74764880704743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53370.790887310846</c:v>
                </c:pt>
                <c:pt idx="1">
                  <c:v>39934.047264308305</c:v>
                </c:pt>
                <c:pt idx="2">
                  <c:v>580.31886242895166</c:v>
                </c:pt>
                <c:pt idx="3">
                  <c:v>12592.335437559954</c:v>
                </c:pt>
                <c:pt idx="4">
                  <c:v>99645.358257008687</c:v>
                </c:pt>
                <c:pt idx="5">
                  <c:v>55943.09962510581</c:v>
                </c:pt>
                <c:pt idx="6">
                  <c:v>948.74764880704743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33011</v>
      </c>
      <c r="B6" s="398"/>
      <c r="C6" s="399"/>
    </row>
    <row r="7" spans="1:7" s="396" customFormat="1" ht="15.75" customHeight="1">
      <c r="A7" s="400" t="str">
        <f>txtMunicipality</f>
        <v>IEPER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33011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14945</v>
      </c>
      <c r="C9" s="338">
        <v>15115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9154</v>
      </c>
    </row>
    <row r="15" spans="1:6">
      <c r="A15" s="1269" t="s">
        <v>184</v>
      </c>
      <c r="B15" s="335">
        <v>119</v>
      </c>
    </row>
    <row r="16" spans="1:6">
      <c r="A16" s="1269" t="s">
        <v>6</v>
      </c>
      <c r="B16" s="335">
        <v>3857</v>
      </c>
    </row>
    <row r="17" spans="1:6">
      <c r="A17" s="1269" t="s">
        <v>7</v>
      </c>
      <c r="B17" s="335">
        <v>2347</v>
      </c>
    </row>
    <row r="18" spans="1:6">
      <c r="A18" s="1269" t="s">
        <v>8</v>
      </c>
      <c r="B18" s="335">
        <v>3711</v>
      </c>
    </row>
    <row r="19" spans="1:6">
      <c r="A19" s="1269" t="s">
        <v>9</v>
      </c>
      <c r="B19" s="335">
        <v>3637</v>
      </c>
    </row>
    <row r="20" spans="1:6">
      <c r="A20" s="1269" t="s">
        <v>10</v>
      </c>
      <c r="B20" s="335">
        <v>2513</v>
      </c>
    </row>
    <row r="21" spans="1:6">
      <c r="A21" s="1269" t="s">
        <v>11</v>
      </c>
      <c r="B21" s="335">
        <v>44584</v>
      </c>
    </row>
    <row r="22" spans="1:6">
      <c r="A22" s="1269" t="s">
        <v>12</v>
      </c>
      <c r="B22" s="335">
        <v>101378</v>
      </c>
    </row>
    <row r="23" spans="1:6">
      <c r="A23" s="1269" t="s">
        <v>13</v>
      </c>
      <c r="B23" s="335">
        <v>2149</v>
      </c>
    </row>
    <row r="24" spans="1:6">
      <c r="A24" s="1269" t="s">
        <v>14</v>
      </c>
      <c r="B24" s="335">
        <v>109</v>
      </c>
    </row>
    <row r="25" spans="1:6">
      <c r="A25" s="1269" t="s">
        <v>15</v>
      </c>
      <c r="B25" s="335">
        <v>12562</v>
      </c>
    </row>
    <row r="26" spans="1:6">
      <c r="A26" s="1269" t="s">
        <v>16</v>
      </c>
      <c r="B26" s="335">
        <v>920</v>
      </c>
    </row>
    <row r="27" spans="1:6">
      <c r="A27" s="1269" t="s">
        <v>17</v>
      </c>
      <c r="B27" s="335">
        <v>28</v>
      </c>
    </row>
    <row r="28" spans="1:6" s="341" customFormat="1">
      <c r="A28" s="1270" t="s">
        <v>18</v>
      </c>
      <c r="B28" s="1270">
        <v>340165</v>
      </c>
    </row>
    <row r="29" spans="1:6">
      <c r="A29" s="1270" t="s">
        <v>874</v>
      </c>
      <c r="B29" s="1270">
        <v>194</v>
      </c>
      <c r="C29" s="341"/>
      <c r="D29" s="341"/>
      <c r="E29" s="341"/>
      <c r="F29" s="341"/>
    </row>
    <row r="30" spans="1:6">
      <c r="A30" s="1265" t="s">
        <v>875</v>
      </c>
      <c r="B30" s="1265">
        <v>35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18</v>
      </c>
      <c r="F36" s="335">
        <v>75962.877017936</v>
      </c>
    </row>
    <row r="37" spans="1:6">
      <c r="A37" s="1269" t="s">
        <v>25</v>
      </c>
      <c r="B37" s="1269" t="s">
        <v>28</v>
      </c>
      <c r="C37" s="335">
        <v>0</v>
      </c>
      <c r="D37" s="335">
        <v>0</v>
      </c>
      <c r="E37" s="335">
        <v>0</v>
      </c>
      <c r="F37" s="335">
        <v>0</v>
      </c>
    </row>
    <row r="38" spans="1:6">
      <c r="A38" s="1269" t="s">
        <v>25</v>
      </c>
      <c r="B38" s="1269" t="s">
        <v>29</v>
      </c>
      <c r="C38" s="335">
        <v>6</v>
      </c>
      <c r="D38" s="335">
        <v>408081.43306335103</v>
      </c>
      <c r="E38" s="335">
        <v>3</v>
      </c>
      <c r="F38" s="335">
        <v>6262.0113892440004</v>
      </c>
    </row>
    <row r="39" spans="1:6">
      <c r="A39" s="1269" t="s">
        <v>30</v>
      </c>
      <c r="B39" s="1269" t="s">
        <v>31</v>
      </c>
      <c r="C39" s="335">
        <v>10296</v>
      </c>
      <c r="D39" s="335">
        <v>172381821.820638</v>
      </c>
      <c r="E39" s="335">
        <v>14167</v>
      </c>
      <c r="F39" s="335">
        <v>53232415.460950799</v>
      </c>
    </row>
    <row r="40" spans="1:6">
      <c r="A40" s="1269" t="s">
        <v>30</v>
      </c>
      <c r="B40" s="1269" t="s">
        <v>29</v>
      </c>
      <c r="C40" s="335">
        <v>0</v>
      </c>
      <c r="D40" s="335">
        <v>0</v>
      </c>
      <c r="E40" s="335">
        <v>2</v>
      </c>
      <c r="F40" s="335">
        <v>25698.389900850099</v>
      </c>
    </row>
    <row r="41" spans="1:6">
      <c r="A41" s="1269" t="s">
        <v>32</v>
      </c>
      <c r="B41" s="1269" t="s">
        <v>33</v>
      </c>
      <c r="C41" s="335">
        <v>105</v>
      </c>
      <c r="D41" s="335">
        <v>2488067.13785809</v>
      </c>
      <c r="E41" s="335">
        <v>254</v>
      </c>
      <c r="F41" s="335">
        <v>17125003.166406401</v>
      </c>
    </row>
    <row r="42" spans="1:6">
      <c r="A42" s="1269" t="s">
        <v>32</v>
      </c>
      <c r="B42" s="1269" t="s">
        <v>34</v>
      </c>
      <c r="C42" s="335">
        <v>4</v>
      </c>
      <c r="D42" s="335">
        <v>4651662.4600624898</v>
      </c>
      <c r="E42" s="335">
        <v>4</v>
      </c>
      <c r="F42" s="335">
        <v>20042845.022923499</v>
      </c>
    </row>
    <row r="43" spans="1:6">
      <c r="A43" s="1269" t="s">
        <v>32</v>
      </c>
      <c r="B43" s="1269" t="s">
        <v>35</v>
      </c>
      <c r="C43" s="335">
        <v>0</v>
      </c>
      <c r="D43" s="335">
        <v>0</v>
      </c>
      <c r="E43" s="335">
        <v>0</v>
      </c>
      <c r="F43" s="335">
        <v>0</v>
      </c>
    </row>
    <row r="44" spans="1:6">
      <c r="A44" s="1269" t="s">
        <v>32</v>
      </c>
      <c r="B44" s="1269" t="s">
        <v>36</v>
      </c>
      <c r="C44" s="335">
        <v>19</v>
      </c>
      <c r="D44" s="335">
        <v>27446123.8992512</v>
      </c>
      <c r="E44" s="335">
        <v>34</v>
      </c>
      <c r="F44" s="335">
        <v>44874376.267517403</v>
      </c>
    </row>
    <row r="45" spans="1:6">
      <c r="A45" s="1269" t="s">
        <v>32</v>
      </c>
      <c r="B45" s="1269" t="s">
        <v>37</v>
      </c>
      <c r="C45" s="335">
        <v>6</v>
      </c>
      <c r="D45" s="335">
        <v>228267.39400965101</v>
      </c>
      <c r="E45" s="335">
        <v>7</v>
      </c>
      <c r="F45" s="335">
        <v>125957.147269284</v>
      </c>
    </row>
    <row r="46" spans="1:6">
      <c r="A46" s="1269" t="s">
        <v>32</v>
      </c>
      <c r="B46" s="1269" t="s">
        <v>38</v>
      </c>
      <c r="C46" s="335">
        <v>0</v>
      </c>
      <c r="D46" s="335">
        <v>0</v>
      </c>
      <c r="E46" s="335">
        <v>0</v>
      </c>
      <c r="F46" s="335">
        <v>0</v>
      </c>
    </row>
    <row r="47" spans="1:6">
      <c r="A47" s="1269" t="s">
        <v>32</v>
      </c>
      <c r="B47" s="1269" t="s">
        <v>39</v>
      </c>
      <c r="C47" s="335">
        <v>6</v>
      </c>
      <c r="D47" s="335">
        <v>68167.973847120695</v>
      </c>
      <c r="E47" s="335">
        <v>8</v>
      </c>
      <c r="F47" s="335">
        <v>76489.810746582603</v>
      </c>
    </row>
    <row r="48" spans="1:6">
      <c r="A48" s="1269" t="s">
        <v>32</v>
      </c>
      <c r="B48" s="1269" t="s">
        <v>29</v>
      </c>
      <c r="C48" s="335">
        <v>85</v>
      </c>
      <c r="D48" s="335">
        <v>233054096.126059</v>
      </c>
      <c r="E48" s="335">
        <v>116</v>
      </c>
      <c r="F48" s="335">
        <v>91137041.086446002</v>
      </c>
    </row>
    <row r="49" spans="1:6">
      <c r="A49" s="1269" t="s">
        <v>32</v>
      </c>
      <c r="B49" s="1269" t="s">
        <v>40</v>
      </c>
      <c r="C49" s="335">
        <v>4</v>
      </c>
      <c r="D49" s="335">
        <v>475513.31693971198</v>
      </c>
      <c r="E49" s="335">
        <v>10</v>
      </c>
      <c r="F49" s="335">
        <v>186439.519257256</v>
      </c>
    </row>
    <row r="50" spans="1:6">
      <c r="A50" s="1269" t="s">
        <v>32</v>
      </c>
      <c r="B50" s="1269" t="s">
        <v>41</v>
      </c>
      <c r="C50" s="335">
        <v>30</v>
      </c>
      <c r="D50" s="335">
        <v>13200311.6979798</v>
      </c>
      <c r="E50" s="335">
        <v>43</v>
      </c>
      <c r="F50" s="335">
        <v>6104363.2057327796</v>
      </c>
    </row>
    <row r="51" spans="1:6">
      <c r="A51" s="1269" t="s">
        <v>42</v>
      </c>
      <c r="B51" s="1269" t="s">
        <v>43</v>
      </c>
      <c r="C51" s="335">
        <v>24</v>
      </c>
      <c r="D51" s="335">
        <v>529226.93758002506</v>
      </c>
      <c r="E51" s="335">
        <v>367</v>
      </c>
      <c r="F51" s="335">
        <v>7925702.2697844999</v>
      </c>
    </row>
    <row r="52" spans="1:6">
      <c r="A52" s="1269" t="s">
        <v>42</v>
      </c>
      <c r="B52" s="1269" t="s">
        <v>29</v>
      </c>
      <c r="C52" s="335">
        <v>12</v>
      </c>
      <c r="D52" s="335">
        <v>260031.870414409</v>
      </c>
      <c r="E52" s="335">
        <v>31</v>
      </c>
      <c r="F52" s="335">
        <v>1625803.4887872499</v>
      </c>
    </row>
    <row r="53" spans="1:6">
      <c r="A53" s="1269" t="s">
        <v>44</v>
      </c>
      <c r="B53" s="1269" t="s">
        <v>45</v>
      </c>
      <c r="C53" s="335">
        <v>299</v>
      </c>
      <c r="D53" s="335">
        <v>7534111.7725549499</v>
      </c>
      <c r="E53" s="335">
        <v>618</v>
      </c>
      <c r="F53" s="335">
        <v>4112857.31074365</v>
      </c>
    </row>
    <row r="54" spans="1:6">
      <c r="A54" s="1269" t="s">
        <v>46</v>
      </c>
      <c r="B54" s="1269" t="s">
        <v>47</v>
      </c>
      <c r="C54" s="335">
        <v>0</v>
      </c>
      <c r="D54" s="335">
        <v>0</v>
      </c>
      <c r="E54" s="335">
        <v>2</v>
      </c>
      <c r="F54" s="335">
        <v>3338571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123</v>
      </c>
      <c r="D57" s="335">
        <v>4915972.5394492</v>
      </c>
      <c r="E57" s="335">
        <v>200</v>
      </c>
      <c r="F57" s="335">
        <v>5265299.8721572198</v>
      </c>
    </row>
    <row r="58" spans="1:6">
      <c r="A58" s="1269" t="s">
        <v>49</v>
      </c>
      <c r="B58" s="1269" t="s">
        <v>51</v>
      </c>
      <c r="C58" s="335">
        <v>118</v>
      </c>
      <c r="D58" s="335">
        <v>28498290.275958698</v>
      </c>
      <c r="E58" s="335">
        <v>152</v>
      </c>
      <c r="F58" s="335">
        <v>15063554.9265706</v>
      </c>
    </row>
    <row r="59" spans="1:6">
      <c r="A59" s="1269" t="s">
        <v>49</v>
      </c>
      <c r="B59" s="1269" t="s">
        <v>52</v>
      </c>
      <c r="C59" s="335">
        <v>311</v>
      </c>
      <c r="D59" s="335">
        <v>13455458.679424901</v>
      </c>
      <c r="E59" s="335">
        <v>552</v>
      </c>
      <c r="F59" s="335">
        <v>15835153.3866756</v>
      </c>
    </row>
    <row r="60" spans="1:6">
      <c r="A60" s="1269" t="s">
        <v>49</v>
      </c>
      <c r="B60" s="1269" t="s">
        <v>53</v>
      </c>
      <c r="C60" s="335">
        <v>191</v>
      </c>
      <c r="D60" s="335">
        <v>15048993.562545</v>
      </c>
      <c r="E60" s="335">
        <v>243</v>
      </c>
      <c r="F60" s="335">
        <v>7825270.7077933699</v>
      </c>
    </row>
    <row r="61" spans="1:6">
      <c r="A61" s="1269" t="s">
        <v>49</v>
      </c>
      <c r="B61" s="1269" t="s">
        <v>54</v>
      </c>
      <c r="C61" s="335">
        <v>411</v>
      </c>
      <c r="D61" s="335">
        <v>23090422.215098701</v>
      </c>
      <c r="E61" s="335">
        <v>767</v>
      </c>
      <c r="F61" s="335">
        <v>13519581.2844001</v>
      </c>
    </row>
    <row r="62" spans="1:6">
      <c r="A62" s="1269" t="s">
        <v>49</v>
      </c>
      <c r="B62" s="1269" t="s">
        <v>55</v>
      </c>
      <c r="C62" s="335">
        <v>24</v>
      </c>
      <c r="D62" s="335">
        <v>1398715.3434888099</v>
      </c>
      <c r="E62" s="335">
        <v>34</v>
      </c>
      <c r="F62" s="335">
        <v>523116.403663537</v>
      </c>
    </row>
    <row r="63" spans="1:6">
      <c r="A63" s="1269" t="s">
        <v>49</v>
      </c>
      <c r="B63" s="1269" t="s">
        <v>29</v>
      </c>
      <c r="C63" s="335">
        <v>242</v>
      </c>
      <c r="D63" s="335">
        <v>27831901.259002101</v>
      </c>
      <c r="E63" s="335">
        <v>295</v>
      </c>
      <c r="F63" s="335">
        <v>17785079.570682999</v>
      </c>
    </row>
    <row r="64" spans="1:6">
      <c r="A64" s="1269" t="s">
        <v>56</v>
      </c>
      <c r="B64" s="1269" t="s">
        <v>57</v>
      </c>
      <c r="C64" s="335">
        <v>0</v>
      </c>
      <c r="D64" s="335">
        <v>0</v>
      </c>
      <c r="E64" s="335">
        <v>0</v>
      </c>
      <c r="F64" s="335">
        <v>0</v>
      </c>
    </row>
    <row r="65" spans="1:6">
      <c r="A65" s="1269" t="s">
        <v>56</v>
      </c>
      <c r="B65" s="1269" t="s">
        <v>29</v>
      </c>
      <c r="C65" s="335">
        <v>3</v>
      </c>
      <c r="D65" s="335">
        <v>113319.909170849</v>
      </c>
      <c r="E65" s="335">
        <v>7</v>
      </c>
      <c r="F65" s="335">
        <v>70458.618108965107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7</v>
      </c>
      <c r="D68" s="335">
        <v>16834176.429206599</v>
      </c>
      <c r="E68" s="335">
        <v>17</v>
      </c>
      <c r="F68" s="335">
        <v>1456902.93083755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178939147</v>
      </c>
      <c r="E73" s="335">
        <v>185635895.57861805</v>
      </c>
    </row>
    <row r="74" spans="1:6">
      <c r="A74" s="1269" t="s">
        <v>64</v>
      </c>
      <c r="B74" s="1269" t="s">
        <v>727</v>
      </c>
      <c r="C74" s="1269" t="s">
        <v>728</v>
      </c>
      <c r="D74" s="335">
        <v>23349350.684431009</v>
      </c>
      <c r="E74" s="335">
        <v>24612337.722952738</v>
      </c>
    </row>
    <row r="75" spans="1:6">
      <c r="A75" s="1269" t="s">
        <v>65</v>
      </c>
      <c r="B75" s="1269" t="s">
        <v>725</v>
      </c>
      <c r="C75" s="1269" t="s">
        <v>729</v>
      </c>
      <c r="D75" s="335">
        <v>38555256</v>
      </c>
      <c r="E75" s="335">
        <v>40026652.499422878</v>
      </c>
    </row>
    <row r="76" spans="1:6">
      <c r="A76" s="1269" t="s">
        <v>65</v>
      </c>
      <c r="B76" s="1269" t="s">
        <v>727</v>
      </c>
      <c r="C76" s="1269" t="s">
        <v>730</v>
      </c>
      <c r="D76" s="335">
        <v>2337882.684431009</v>
      </c>
      <c r="E76" s="335">
        <v>2490202.7127044834</v>
      </c>
    </row>
    <row r="77" spans="1:6">
      <c r="A77" s="1269" t="s">
        <v>66</v>
      </c>
      <c r="B77" s="1269" t="s">
        <v>725</v>
      </c>
      <c r="C77" s="1269" t="s">
        <v>731</v>
      </c>
      <c r="D77" s="335">
        <v>8236217</v>
      </c>
      <c r="E77" s="335">
        <v>9251984.9655014891</v>
      </c>
    </row>
    <row r="78" spans="1:6">
      <c r="A78" s="1265" t="s">
        <v>66</v>
      </c>
      <c r="B78" s="1265" t="s">
        <v>727</v>
      </c>
      <c r="C78" s="1265" t="s">
        <v>732</v>
      </c>
      <c r="D78" s="1265">
        <v>1512936</v>
      </c>
      <c r="E78" s="1265">
        <v>1690825.2304569394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980504.63113798236</v>
      </c>
      <c r="C83" s="335">
        <v>986354.33513946855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38091.199244808173</v>
      </c>
    </row>
    <row r="91" spans="1:6">
      <c r="A91" s="1269" t="s">
        <v>68</v>
      </c>
      <c r="B91" s="335">
        <v>6183.4649885140534</v>
      </c>
    </row>
    <row r="92" spans="1:6">
      <c r="A92" s="1265" t="s">
        <v>69</v>
      </c>
      <c r="B92" s="338">
        <v>7969.3193800808986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7879</v>
      </c>
    </row>
    <row r="98" spans="1:6">
      <c r="A98" s="1269" t="s">
        <v>72</v>
      </c>
      <c r="B98" s="335">
        <v>2</v>
      </c>
    </row>
    <row r="99" spans="1:6">
      <c r="A99" s="1269" t="s">
        <v>73</v>
      </c>
      <c r="B99" s="335">
        <v>295</v>
      </c>
    </row>
    <row r="100" spans="1:6">
      <c r="A100" s="1269" t="s">
        <v>74</v>
      </c>
      <c r="B100" s="335">
        <v>1386</v>
      </c>
    </row>
    <row r="101" spans="1:6">
      <c r="A101" s="1269" t="s">
        <v>75</v>
      </c>
      <c r="B101" s="335">
        <v>247</v>
      </c>
    </row>
    <row r="102" spans="1:6">
      <c r="A102" s="1269" t="s">
        <v>76</v>
      </c>
      <c r="B102" s="335">
        <v>262</v>
      </c>
    </row>
    <row r="103" spans="1:6">
      <c r="A103" s="1269" t="s">
        <v>77</v>
      </c>
      <c r="B103" s="335">
        <v>465</v>
      </c>
    </row>
    <row r="104" spans="1:6">
      <c r="A104" s="1269" t="s">
        <v>78</v>
      </c>
      <c r="B104" s="335">
        <v>3046</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37</v>
      </c>
      <c r="C123" s="335">
        <v>37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294</v>
      </c>
    </row>
    <row r="130" spans="1:6">
      <c r="A130" s="1269" t="s">
        <v>295</v>
      </c>
      <c r="B130" s="335">
        <v>5</v>
      </c>
    </row>
    <row r="131" spans="1:6">
      <c r="A131" s="1269" t="s">
        <v>296</v>
      </c>
      <c r="B131" s="335">
        <v>3</v>
      </c>
    </row>
    <row r="132" spans="1:6">
      <c r="A132" s="1265" t="s">
        <v>297</v>
      </c>
      <c r="B132" s="338">
        <v>15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339176.5527587636</v>
      </c>
      <c r="C3" s="43" t="s">
        <v>170</v>
      </c>
      <c r="D3" s="43"/>
      <c r="E3" s="156"/>
      <c r="F3" s="43"/>
      <c r="G3" s="43"/>
      <c r="H3" s="43"/>
      <c r="I3" s="43"/>
      <c r="J3" s="43"/>
      <c r="K3" s="96"/>
    </row>
    <row r="4" spans="1:11">
      <c r="A4" s="366" t="s">
        <v>171</v>
      </c>
      <c r="B4" s="49">
        <f>IF(ISERROR('SEAP template'!B69),0,'SEAP template'!B69)</f>
        <v>72969.483613403121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124.76470588235294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0.17382253138512008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178.23529411764707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29607.857142857145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6.0198647020507558E-3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3338.5709999999999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3338.5709999999999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0.17382253138512008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580.31886242895166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53258.113850851645</v>
      </c>
      <c r="C5" s="17">
        <f>IF(ISERROR('Eigen informatie GS &amp; warmtenet'!B57),0,'Eigen informatie GS &amp; warmtenet'!B57)</f>
        <v>0</v>
      </c>
      <c r="D5" s="30">
        <f>(SUM(HH_hh_gas_kWh,HH_rest_gas_kWh)/1000)*0.902</f>
        <v>155488.40328221547</v>
      </c>
      <c r="E5" s="17">
        <f>B46*B57</f>
        <v>11168.760326740115</v>
      </c>
      <c r="F5" s="17">
        <f>B51*B62</f>
        <v>22017.285817165994</v>
      </c>
      <c r="G5" s="18"/>
      <c r="H5" s="17"/>
      <c r="I5" s="17"/>
      <c r="J5" s="17">
        <f>B50*B61+C50*C61</f>
        <v>9084.530546788872</v>
      </c>
      <c r="K5" s="17"/>
      <c r="L5" s="17"/>
      <c r="M5" s="17"/>
      <c r="N5" s="17">
        <f>B48*B59+C48*C59</f>
        <v>35057.983776643072</v>
      </c>
      <c r="O5" s="17">
        <f>B69*B70*B71</f>
        <v>517.46333333333337</v>
      </c>
      <c r="P5" s="17">
        <f>B77*B78*B79/1000-B77*B78*B79/1000/B80</f>
        <v>991.4666666666667</v>
      </c>
    </row>
    <row r="6" spans="1:16">
      <c r="A6" s="16" t="s">
        <v>634</v>
      </c>
      <c r="B6" s="831">
        <f>kWh_PV_kleiner_dan_10kW</f>
        <v>6183.4649885140534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59441.578839365699</v>
      </c>
      <c r="C8" s="21">
        <f>C5</f>
        <v>0</v>
      </c>
      <c r="D8" s="21">
        <f>D5</f>
        <v>155488.40328221547</v>
      </c>
      <c r="E8" s="21">
        <f>E5</f>
        <v>11168.760326740115</v>
      </c>
      <c r="F8" s="21">
        <f>F5</f>
        <v>22017.285817165994</v>
      </c>
      <c r="G8" s="21"/>
      <c r="H8" s="21"/>
      <c r="I8" s="21"/>
      <c r="J8" s="21">
        <f>J5</f>
        <v>9084.530546788872</v>
      </c>
      <c r="K8" s="21"/>
      <c r="L8" s="21">
        <f>L5</f>
        <v>0</v>
      </c>
      <c r="M8" s="21">
        <f>M5</f>
        <v>0</v>
      </c>
      <c r="N8" s="21">
        <f>N5</f>
        <v>35057.983776643072</v>
      </c>
      <c r="O8" s="21">
        <f>O5</f>
        <v>517.46333333333337</v>
      </c>
      <c r="P8" s="21">
        <f>P5</f>
        <v>991.4666666666667</v>
      </c>
    </row>
    <row r="9" spans="1:16">
      <c r="B9" s="19"/>
      <c r="C9" s="19"/>
      <c r="D9" s="261"/>
      <c r="E9" s="19"/>
      <c r="F9" s="19"/>
      <c r="G9" s="19"/>
      <c r="H9" s="19"/>
      <c r="I9" s="19"/>
      <c r="J9" s="19"/>
      <c r="K9" s="19"/>
      <c r="L9" s="19"/>
      <c r="M9" s="19"/>
      <c r="N9" s="19"/>
      <c r="O9" s="19"/>
      <c r="P9" s="19"/>
    </row>
    <row r="10" spans="1:16">
      <c r="A10" s="24" t="s">
        <v>214</v>
      </c>
      <c r="B10" s="25">
        <f ca="1">'EF ele_warmte'!B12</f>
        <v>0.17382253138512008</v>
      </c>
      <c r="C10" s="25">
        <f ca="1">'EF ele_warmte'!B22</f>
        <v>6.0198647020507558E-3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10332.285703386733</v>
      </c>
      <c r="C12" s="23">
        <f ca="1">C10*C8</f>
        <v>0</v>
      </c>
      <c r="D12" s="23">
        <f>D8*D10</f>
        <v>31408.657463007527</v>
      </c>
      <c r="E12" s="23">
        <f>E10*E8</f>
        <v>2535.3085941700065</v>
      </c>
      <c r="F12" s="23">
        <f>F10*F8</f>
        <v>5878.6153131833207</v>
      </c>
      <c r="G12" s="23"/>
      <c r="H12" s="23"/>
      <c r="I12" s="23"/>
      <c r="J12" s="23">
        <f>J10*J8</f>
        <v>3215.9238135632604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7879</v>
      </c>
      <c r="C18" s="168" t="s">
        <v>111</v>
      </c>
      <c r="D18" s="230"/>
      <c r="E18" s="15"/>
    </row>
    <row r="19" spans="1:7">
      <c r="A19" s="173" t="s">
        <v>72</v>
      </c>
      <c r="B19" s="37">
        <f>aantalw2001_ander</f>
        <v>2</v>
      </c>
      <c r="C19" s="168" t="s">
        <v>111</v>
      </c>
      <c r="D19" s="231"/>
      <c r="E19" s="15"/>
    </row>
    <row r="20" spans="1:7">
      <c r="A20" s="173" t="s">
        <v>73</v>
      </c>
      <c r="B20" s="37">
        <f>aantalw2001_propaan</f>
        <v>295</v>
      </c>
      <c r="C20" s="169">
        <f>IF(ISERROR(B20/SUM($B$20,$B$21,$B$22)*100),0,B20/SUM($B$20,$B$21,$B$22)*100)</f>
        <v>15.300829875518673</v>
      </c>
      <c r="D20" s="231"/>
      <c r="E20" s="15"/>
    </row>
    <row r="21" spans="1:7">
      <c r="A21" s="173" t="s">
        <v>74</v>
      </c>
      <c r="B21" s="37">
        <f>aantalw2001_elektriciteit</f>
        <v>1386</v>
      </c>
      <c r="C21" s="169">
        <f>IF(ISERROR(B21/SUM($B$20,$B$21,$B$22)*100),0,B21/SUM($B$20,$B$21,$B$22)*100)</f>
        <v>71.887966804979257</v>
      </c>
      <c r="D21" s="231"/>
      <c r="E21" s="15"/>
    </row>
    <row r="22" spans="1:7">
      <c r="A22" s="173" t="s">
        <v>75</v>
      </c>
      <c r="B22" s="37">
        <f>aantalw2001_hout</f>
        <v>247</v>
      </c>
      <c r="C22" s="169">
        <f>IF(ISERROR(B22/SUM($B$20,$B$21,$B$22)*100),0,B22/SUM($B$20,$B$21,$B$22)*100)</f>
        <v>12.811203319502074</v>
      </c>
      <c r="D22" s="231"/>
      <c r="E22" s="15"/>
    </row>
    <row r="23" spans="1:7">
      <c r="A23" s="173" t="s">
        <v>76</v>
      </c>
      <c r="B23" s="37">
        <f>aantalw2001_niet_gespec</f>
        <v>262</v>
      </c>
      <c r="C23" s="168" t="s">
        <v>111</v>
      </c>
      <c r="D23" s="230"/>
      <c r="E23" s="15"/>
    </row>
    <row r="24" spans="1:7">
      <c r="A24" s="173" t="s">
        <v>77</v>
      </c>
      <c r="B24" s="37">
        <f>aantalw2001_steenkool</f>
        <v>465</v>
      </c>
      <c r="C24" s="168" t="s">
        <v>111</v>
      </c>
      <c r="D24" s="231"/>
      <c r="E24" s="15"/>
    </row>
    <row r="25" spans="1:7">
      <c r="A25" s="173" t="s">
        <v>78</v>
      </c>
      <c r="B25" s="37">
        <f>aantalw2001_stookolie</f>
        <v>3046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14945</v>
      </c>
      <c r="C28" s="36"/>
      <c r="D28" s="230"/>
    </row>
    <row r="29" spans="1:7" s="15" customFormat="1">
      <c r="A29" s="232" t="s">
        <v>746</v>
      </c>
      <c r="B29" s="37">
        <f>SUM(HH_hh_gas_aantal,HH_rest_gas_aantal)</f>
        <v>10296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10296</v>
      </c>
      <c r="C32" s="169">
        <f>IF(ISERROR(B32/SUM($B$32,$B$34,$B$35,$B$36,$B$38,$B$39)*100),0,B32/SUM($B$32,$B$34,$B$35,$B$36,$B$38,$B$39)*100)</f>
        <v>69.133149801920368</v>
      </c>
      <c r="D32" s="235"/>
      <c r="G32" s="15"/>
    </row>
    <row r="33" spans="1:7">
      <c r="A33" s="173" t="s">
        <v>72</v>
      </c>
      <c r="B33" s="34" t="s">
        <v>111</v>
      </c>
      <c r="C33" s="169"/>
      <c r="D33" s="235"/>
      <c r="G33" s="15"/>
    </row>
    <row r="34" spans="1:7">
      <c r="A34" s="173" t="s">
        <v>73</v>
      </c>
      <c r="B34" s="33">
        <f>IF((($B$28-$B$32-$B$39-$B$77-$B$38)*C20/100)&lt;0,0,($B$28-$B$32-$B$39-$B$77-$B$38)*C20/100)</f>
        <v>535.98807053941914</v>
      </c>
      <c r="C34" s="169">
        <f>IF(ISERROR(B34/SUM($B$32,$B$34,$B$35,$B$36,$B$38,$B$39)*100),0,B34/SUM($B$32,$B$34,$B$35,$B$36,$B$38,$B$39)*100)</f>
        <v>3.5989261434191846</v>
      </c>
      <c r="D34" s="235"/>
      <c r="G34" s="15"/>
    </row>
    <row r="35" spans="1:7">
      <c r="A35" s="173" t="s">
        <v>74</v>
      </c>
      <c r="B35" s="33">
        <f>IF((($B$28-$B$32-$B$39-$B$77-$B$38)*C21/100)&lt;0,0,($B$28-$B$32-$B$39-$B$77-$B$38)*C21/100)</f>
        <v>2518.2354771784235</v>
      </c>
      <c r="C35" s="169">
        <f>IF(ISERROR(B35/SUM($B$32,$B$34,$B$35,$B$36,$B$38,$B$39)*100),0,B35/SUM($B$32,$B$34,$B$35,$B$36,$B$38,$B$39)*100)</f>
        <v>16.908852999250811</v>
      </c>
      <c r="D35" s="235"/>
      <c r="G35" s="15"/>
    </row>
    <row r="36" spans="1:7">
      <c r="A36" s="173" t="s">
        <v>75</v>
      </c>
      <c r="B36" s="33">
        <f>IF((($B$28-$B$32-$B$39-$B$77-$B$38)*C22/100)&lt;0,0,($B$28-$B$32-$B$39-$B$77-$B$38)*C22/100)</f>
        <v>448.77645228215761</v>
      </c>
      <c r="C36" s="169">
        <f>IF(ISERROR(B36/SUM($B$32,$B$34,$B$35,$B$36,$B$38,$B$39)*100),0,B36/SUM($B$32,$B$34,$B$35,$B$36,$B$38,$B$39)*100)</f>
        <v>3.0133381607611467</v>
      </c>
      <c r="D36" s="235"/>
      <c r="G36" s="15"/>
    </row>
    <row r="37" spans="1:7">
      <c r="A37" s="173" t="s">
        <v>76</v>
      </c>
      <c r="B37" s="34" t="s">
        <v>111</v>
      </c>
      <c r="C37" s="169"/>
      <c r="D37" s="175"/>
      <c r="G37" s="15"/>
    </row>
    <row r="38" spans="1:7">
      <c r="A38" s="173" t="s">
        <v>77</v>
      </c>
      <c r="B38" s="33">
        <f>IF((B24-(B29-B18)*0.1)&lt;0,0,B24-(B29-B18)*0.1)</f>
        <v>223.29999999999998</v>
      </c>
      <c r="C38" s="169">
        <f>IF(ISERROR(B38/SUM($B$32,$B$34,$B$35,$B$36,$B$38,$B$39)*100),0,B38/SUM($B$32,$B$34,$B$35,$B$36,$B$38,$B$39)*100)</f>
        <v>1.4993621164305377</v>
      </c>
      <c r="D38" s="236"/>
      <c r="G38" s="15"/>
    </row>
    <row r="39" spans="1:7">
      <c r="A39" s="173" t="s">
        <v>78</v>
      </c>
      <c r="B39" s="33">
        <f>IF((B25-(B29-B18))&lt;0,0,B25-(B29-B18)*0.9)</f>
        <v>870.69999999999982</v>
      </c>
      <c r="C39" s="169">
        <f>IF(ISERROR(B39/SUM($B$32,$B$34,$B$35,$B$36,$B$38,$B$39)*100),0,B39/SUM($B$32,$B$34,$B$35,$B$36,$B$38,$B$39)*100)</f>
        <v>5.8463707782179535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10296</v>
      </c>
      <c r="C44" s="34" t="s">
        <v>111</v>
      </c>
      <c r="D44" s="176"/>
    </row>
    <row r="45" spans="1:7">
      <c r="A45" s="173" t="s">
        <v>72</v>
      </c>
      <c r="B45" s="33" t="str">
        <f t="shared" si="0"/>
        <v>-</v>
      </c>
      <c r="C45" s="34" t="s">
        <v>111</v>
      </c>
      <c r="D45" s="176"/>
    </row>
    <row r="46" spans="1:7">
      <c r="A46" s="173" t="s">
        <v>73</v>
      </c>
      <c r="B46" s="33">
        <f t="shared" si="0"/>
        <v>535.98807053941914</v>
      </c>
      <c r="C46" s="34" t="s">
        <v>111</v>
      </c>
      <c r="D46" s="176"/>
    </row>
    <row r="47" spans="1:7">
      <c r="A47" s="173" t="s">
        <v>74</v>
      </c>
      <c r="B47" s="33">
        <f t="shared" si="0"/>
        <v>2518.2354771784235</v>
      </c>
      <c r="C47" s="34" t="s">
        <v>111</v>
      </c>
      <c r="D47" s="176"/>
    </row>
    <row r="48" spans="1:7">
      <c r="A48" s="173" t="s">
        <v>75</v>
      </c>
      <c r="B48" s="33">
        <f t="shared" si="0"/>
        <v>448.77645228215761</v>
      </c>
      <c r="C48" s="33">
        <f>B48*10</f>
        <v>4487.7645228215761</v>
      </c>
      <c r="D48" s="236"/>
    </row>
    <row r="49" spans="1:6">
      <c r="A49" s="173" t="s">
        <v>76</v>
      </c>
      <c r="B49" s="33" t="str">
        <f t="shared" si="0"/>
        <v>-</v>
      </c>
      <c r="C49" s="34" t="s">
        <v>111</v>
      </c>
      <c r="D49" s="236"/>
    </row>
    <row r="50" spans="1:6">
      <c r="A50" s="173" t="s">
        <v>77</v>
      </c>
      <c r="B50" s="33">
        <f t="shared" si="0"/>
        <v>223.29999999999998</v>
      </c>
      <c r="C50" s="33">
        <f>B50*2</f>
        <v>446.59999999999997</v>
      </c>
      <c r="D50" s="236"/>
    </row>
    <row r="51" spans="1:6">
      <c r="A51" s="173" t="s">
        <v>78</v>
      </c>
      <c r="B51" s="33">
        <f t="shared" si="0"/>
        <v>870.69999999999982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75817.056151943427</v>
      </c>
      <c r="C5" s="17">
        <f>IF(ISERROR('Eigen informatie GS &amp; warmtenet'!B58),0,'Eigen informatie GS &amp; warmtenet'!B58)</f>
        <v>0</v>
      </c>
      <c r="D5" s="30">
        <f>SUM(D6:D12)</f>
        <v>103044.25799522061</v>
      </c>
      <c r="E5" s="17">
        <f>SUM(E6:E12)</f>
        <v>978.07983716259128</v>
      </c>
      <c r="F5" s="17">
        <f>SUM(F6:F12)</f>
        <v>14802.074242114006</v>
      </c>
      <c r="G5" s="18"/>
      <c r="H5" s="17"/>
      <c r="I5" s="17"/>
      <c r="J5" s="17">
        <f>SUM(J6:J12)</f>
        <v>0</v>
      </c>
      <c r="K5" s="17"/>
      <c r="L5" s="17"/>
      <c r="M5" s="17"/>
      <c r="N5" s="17">
        <f>SUM(N6:N12)</f>
        <v>5288.9061659277904</v>
      </c>
      <c r="O5" s="17">
        <f>B38*B39*B40</f>
        <v>7.8166666666666664</v>
      </c>
      <c r="P5" s="17">
        <f>B46*B47*B48/1000-B46*B47*B48/1000/B49</f>
        <v>57.2</v>
      </c>
      <c r="R5" s="32"/>
    </row>
    <row r="6" spans="1:18">
      <c r="A6" s="32" t="s">
        <v>54</v>
      </c>
      <c r="B6" s="37">
        <f>B26</f>
        <v>13519.581284400099</v>
      </c>
      <c r="C6" s="33"/>
      <c r="D6" s="37">
        <f>IF(ISERROR(TER_kantoor_gas_kWh/1000),0,TER_kantoor_gas_kWh/1000)*0.902</f>
        <v>20827.560838019028</v>
      </c>
      <c r="E6" s="33">
        <f>$C$26*'E Balans VL '!I12/100/3.6*1000000</f>
        <v>52.526435552021546</v>
      </c>
      <c r="F6" s="33">
        <f>$C$26*('E Balans VL '!L12+'E Balans VL '!N12)/100/3.6*1000000</f>
        <v>2056.2052949754434</v>
      </c>
      <c r="G6" s="34"/>
      <c r="H6" s="33"/>
      <c r="I6" s="33"/>
      <c r="J6" s="33">
        <f>$C$26*('E Balans VL '!D12+'E Balans VL '!E12)/100/3.6*1000000</f>
        <v>0</v>
      </c>
      <c r="K6" s="33"/>
      <c r="L6" s="33"/>
      <c r="M6" s="33"/>
      <c r="N6" s="33">
        <f>$C$26*'E Balans VL '!Y12/100/3.6*1000000</f>
        <v>7.4509088936563819</v>
      </c>
      <c r="O6" s="33"/>
      <c r="P6" s="33"/>
      <c r="R6" s="32"/>
    </row>
    <row r="7" spans="1:18">
      <c r="A7" s="32" t="s">
        <v>53</v>
      </c>
      <c r="B7" s="37">
        <f t="shared" ref="B7:B12" si="0">B27</f>
        <v>7825.2707077933701</v>
      </c>
      <c r="C7" s="33"/>
      <c r="D7" s="37">
        <f>IF(ISERROR(TER_horeca_gas_kWh/1000),0,TER_horeca_gas_kWh/1000)*0.902</f>
        <v>13574.192193415591</v>
      </c>
      <c r="E7" s="33">
        <f>$C$27*'E Balans VL '!I9/100/3.6*1000000</f>
        <v>440.79959110075839</v>
      </c>
      <c r="F7" s="33">
        <f>$C$27*('E Balans VL '!L9+'E Balans VL '!N9)/100/3.6*1000000</f>
        <v>2256.3395827340728</v>
      </c>
      <c r="G7" s="34"/>
      <c r="H7" s="33"/>
      <c r="I7" s="33"/>
      <c r="J7" s="33">
        <f>$C$27*('E Balans VL '!D9+'E Balans VL '!E9)/100/3.6*1000000</f>
        <v>0</v>
      </c>
      <c r="K7" s="33"/>
      <c r="L7" s="33"/>
      <c r="M7" s="33"/>
      <c r="N7" s="33">
        <f>$C$27*'E Balans VL '!Y9/100/3.6*1000000</f>
        <v>2.1605165784892071</v>
      </c>
      <c r="O7" s="33"/>
      <c r="P7" s="33"/>
      <c r="R7" s="32"/>
    </row>
    <row r="8" spans="1:18">
      <c r="A8" s="6" t="s">
        <v>52</v>
      </c>
      <c r="B8" s="37">
        <f t="shared" si="0"/>
        <v>15835.1533866756</v>
      </c>
      <c r="C8" s="33"/>
      <c r="D8" s="37">
        <f>IF(ISERROR(TER_handel_gas_kWh/1000),0,TER_handel_gas_kWh/1000)*0.902</f>
        <v>12136.82372884126</v>
      </c>
      <c r="E8" s="33">
        <f>$C$28*'E Balans VL '!I13/100/3.6*1000000</f>
        <v>228.23828363327166</v>
      </c>
      <c r="F8" s="33">
        <f>$C$28*('E Balans VL '!L13+'E Balans VL '!N13)/100/3.6*1000000</f>
        <v>2750.9349191033566</v>
      </c>
      <c r="G8" s="34"/>
      <c r="H8" s="33"/>
      <c r="I8" s="33"/>
      <c r="J8" s="33">
        <f>$C$28*('E Balans VL '!D13+'E Balans VL '!E13)/100/3.6*1000000</f>
        <v>0</v>
      </c>
      <c r="K8" s="33"/>
      <c r="L8" s="33"/>
      <c r="M8" s="33"/>
      <c r="N8" s="33">
        <f>$C$28*'E Balans VL '!Y13/100/3.6*1000000</f>
        <v>47.44388235206916</v>
      </c>
      <c r="O8" s="33"/>
      <c r="P8" s="33"/>
      <c r="R8" s="32"/>
    </row>
    <row r="9" spans="1:18">
      <c r="A9" s="32" t="s">
        <v>51</v>
      </c>
      <c r="B9" s="37">
        <f t="shared" si="0"/>
        <v>15063.554926570599</v>
      </c>
      <c r="C9" s="33"/>
      <c r="D9" s="37">
        <f>IF(ISERROR(TER_gezond_gas_kWh/1000),0,TER_gezond_gas_kWh/1000)*0.902</f>
        <v>25705.457828914747</v>
      </c>
      <c r="E9" s="33">
        <f>$C$29*'E Balans VL '!I10/100/3.6*1000000</f>
        <v>16.09178099163239</v>
      </c>
      <c r="F9" s="33">
        <f>$C$29*('E Balans VL '!L10+'E Balans VL '!N10)/100/3.6*1000000</f>
        <v>2457.3236071368865</v>
      </c>
      <c r="G9" s="34"/>
      <c r="H9" s="33"/>
      <c r="I9" s="33"/>
      <c r="J9" s="33">
        <f>$C$29*('E Balans VL '!D10+'E Balans VL '!E10)/100/3.6*1000000</f>
        <v>0</v>
      </c>
      <c r="K9" s="33"/>
      <c r="L9" s="33"/>
      <c r="M9" s="33"/>
      <c r="N9" s="33">
        <f>$C$29*'E Balans VL '!Y10/100/3.6*1000000</f>
        <v>155.07070287607795</v>
      </c>
      <c r="O9" s="33"/>
      <c r="P9" s="33"/>
      <c r="R9" s="32"/>
    </row>
    <row r="10" spans="1:18">
      <c r="A10" s="32" t="s">
        <v>50</v>
      </c>
      <c r="B10" s="37">
        <f t="shared" si="0"/>
        <v>5265.2998721572194</v>
      </c>
      <c r="C10" s="33"/>
      <c r="D10" s="37">
        <f>IF(ISERROR(TER_ander_gas_kWh/1000),0,TER_ander_gas_kWh/1000)*0.902</f>
        <v>4434.207230583178</v>
      </c>
      <c r="E10" s="33">
        <f>$C$30*'E Balans VL '!I14/100/3.6*1000000</f>
        <v>24.214313200485918</v>
      </c>
      <c r="F10" s="33">
        <f>$C$30*('E Balans VL '!L14+'E Balans VL '!N14)/100/3.6*1000000</f>
        <v>1578.1764541706971</v>
      </c>
      <c r="G10" s="34"/>
      <c r="H10" s="33"/>
      <c r="I10" s="33"/>
      <c r="J10" s="33">
        <f>$C$30*('E Balans VL '!D14+'E Balans VL '!E14)/100/3.6*1000000</f>
        <v>0</v>
      </c>
      <c r="K10" s="33"/>
      <c r="L10" s="33"/>
      <c r="M10" s="33"/>
      <c r="N10" s="33">
        <f>$C$30*'E Balans VL '!Y14/100/3.6*1000000</f>
        <v>3664.9962775133458</v>
      </c>
      <c r="O10" s="33"/>
      <c r="P10" s="33"/>
      <c r="R10" s="32"/>
    </row>
    <row r="11" spans="1:18">
      <c r="A11" s="32" t="s">
        <v>55</v>
      </c>
      <c r="B11" s="37">
        <f t="shared" si="0"/>
        <v>523.11640366353697</v>
      </c>
      <c r="C11" s="33"/>
      <c r="D11" s="37">
        <f>IF(ISERROR(TER_onderwijs_gas_kWh/1000),0,TER_onderwijs_gas_kWh/1000)*0.902</f>
        <v>1261.6412398269065</v>
      </c>
      <c r="E11" s="33">
        <f>$C$31*'E Balans VL '!I11/100/3.6*1000000</f>
        <v>0.4852592587970449</v>
      </c>
      <c r="F11" s="33">
        <f>$C$31*('E Balans VL '!L11+'E Balans VL '!N11)/100/3.6*1000000</f>
        <v>183.758769640868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17785.079570682999</v>
      </c>
      <c r="C12" s="33"/>
      <c r="D12" s="37">
        <f>IF(ISERROR(TER_rest_gas_kWh/1000),0,TER_rest_gas_kWh/1000)*0.902</f>
        <v>25104.374935619897</v>
      </c>
      <c r="E12" s="33">
        <f>$C$32*'E Balans VL '!I8/100/3.6*1000000</f>
        <v>215.7241734256242</v>
      </c>
      <c r="F12" s="33">
        <f>$C$32*('E Balans VL '!L8+'E Balans VL '!N8)/100/3.6*1000000</f>
        <v>3519.3356143526826</v>
      </c>
      <c r="G12" s="34"/>
      <c r="H12" s="33"/>
      <c r="I12" s="33"/>
      <c r="J12" s="33">
        <f>$C$32*('E Balans VL '!D8+'E Balans VL '!E8)/100/3.6*1000000</f>
        <v>0</v>
      </c>
      <c r="K12" s="33"/>
      <c r="L12" s="33"/>
      <c r="M12" s="33"/>
      <c r="N12" s="33">
        <f>$C$32*'E Balans VL '!Y8/100/3.6*1000000</f>
        <v>1411.7838777141524</v>
      </c>
      <c r="O12" s="33"/>
      <c r="P12" s="33"/>
      <c r="R12" s="32"/>
    </row>
    <row r="13" spans="1:18">
      <c r="A13" s="16" t="s">
        <v>497</v>
      </c>
      <c r="B13" s="249">
        <f ca="1">'lokale energieproductie'!N90+'lokale energieproductie'!N59</f>
        <v>11343</v>
      </c>
      <c r="C13" s="249">
        <f ca="1">'lokale energieproductie'!O90+'lokale energieproductie'!O59</f>
        <v>16204.285714285714</v>
      </c>
      <c r="D13" s="312">
        <f ca="1">('lokale energieproductie'!P59+'lokale energieproductie'!P90)*(-1)</f>
        <v>-1500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-30908.571428571431</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87160.056151943427</v>
      </c>
      <c r="C16" s="21">
        <f t="shared" ca="1" si="1"/>
        <v>16204.285714285714</v>
      </c>
      <c r="D16" s="21">
        <f t="shared" ca="1" si="1"/>
        <v>101544.25799522061</v>
      </c>
      <c r="E16" s="21">
        <f t="shared" si="1"/>
        <v>978.07983716259128</v>
      </c>
      <c r="F16" s="21">
        <f t="shared" ca="1" si="1"/>
        <v>14802.074242114006</v>
      </c>
      <c r="G16" s="21">
        <f t="shared" si="1"/>
        <v>0</v>
      </c>
      <c r="H16" s="21">
        <f t="shared" si="1"/>
        <v>0</v>
      </c>
      <c r="I16" s="21">
        <f t="shared" si="1"/>
        <v>0</v>
      </c>
      <c r="J16" s="21">
        <f t="shared" si="1"/>
        <v>0</v>
      </c>
      <c r="K16" s="21">
        <f t="shared" si="1"/>
        <v>0</v>
      </c>
      <c r="L16" s="21">
        <f t="shared" ca="1" si="1"/>
        <v>0</v>
      </c>
      <c r="M16" s="21">
        <f t="shared" si="1"/>
        <v>0</v>
      </c>
      <c r="N16" s="21">
        <f t="shared" ca="1" si="1"/>
        <v>0</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0.17382253138512008</v>
      </c>
      <c r="C18" s="25">
        <f ca="1">'EF ele_warmte'!B22</f>
        <v>6.0198647020507558E-3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15150.381596000014</v>
      </c>
      <c r="C20" s="23">
        <f t="shared" ref="C20:P20" ca="1" si="2">C16*C18</f>
        <v>97.547607593373883</v>
      </c>
      <c r="D20" s="23">
        <f t="shared" ca="1" si="2"/>
        <v>20511.940115034566</v>
      </c>
      <c r="E20" s="23">
        <f t="shared" si="2"/>
        <v>222.02412303590822</v>
      </c>
      <c r="F20" s="23">
        <f t="shared" ca="1" si="2"/>
        <v>3952.15382264444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13519.581284400099</v>
      </c>
      <c r="C26" s="39">
        <f>IF(ISERROR(B26*3.6/1000000/'E Balans VL '!Z12*100),0,B26*3.6/1000000/'E Balans VL '!Z12*100)</f>
        <v>0.28716260321066339</v>
      </c>
      <c r="D26" s="239" t="s">
        <v>692</v>
      </c>
      <c r="F26" s="6"/>
    </row>
    <row r="27" spans="1:18">
      <c r="A27" s="233" t="s">
        <v>53</v>
      </c>
      <c r="B27" s="33">
        <f>IF(ISERROR(TER_horeca_ele_kWh/1000),0,TER_horeca_ele_kWh/1000)</f>
        <v>7825.2707077933701</v>
      </c>
      <c r="C27" s="39">
        <f>IF(ISERROR(B27*3.6/1000000/'E Balans VL '!Z9*100),0,B27*3.6/1000000/'E Balans VL '!Z9*100)</f>
        <v>0.60846245404223065</v>
      </c>
      <c r="D27" s="239" t="s">
        <v>692</v>
      </c>
      <c r="F27" s="6"/>
    </row>
    <row r="28" spans="1:18">
      <c r="A28" s="173" t="s">
        <v>52</v>
      </c>
      <c r="B28" s="33">
        <f>IF(ISERROR(TER_handel_ele_kWh/1000),0,TER_handel_ele_kWh/1000)</f>
        <v>15835.1533866756</v>
      </c>
      <c r="C28" s="39">
        <f>IF(ISERROR(B28*3.6/1000000/'E Balans VL '!Z13*100),0,B28*3.6/1000000/'E Balans VL '!Z13*100)</f>
        <v>0.45306237450406012</v>
      </c>
      <c r="D28" s="239" t="s">
        <v>692</v>
      </c>
      <c r="F28" s="6"/>
    </row>
    <row r="29" spans="1:18">
      <c r="A29" s="233" t="s">
        <v>51</v>
      </c>
      <c r="B29" s="33">
        <f>IF(ISERROR(TER_gezond_ele_kWh/1000),0,TER_gezond_ele_kWh/1000)</f>
        <v>15063.554926570599</v>
      </c>
      <c r="C29" s="39">
        <f>IF(ISERROR(B29*3.6/1000000/'E Balans VL '!Z10*100),0,B29*3.6/1000000/'E Balans VL '!Z10*100)</f>
        <v>1.6422775220323478</v>
      </c>
      <c r="D29" s="239" t="s">
        <v>692</v>
      </c>
      <c r="F29" s="6"/>
    </row>
    <row r="30" spans="1:18">
      <c r="A30" s="233" t="s">
        <v>50</v>
      </c>
      <c r="B30" s="33">
        <f>IF(ISERROR(TER_ander_ele_kWh/1000),0,TER_ander_ele_kWh/1000)</f>
        <v>5265.2998721572194</v>
      </c>
      <c r="C30" s="39">
        <f>IF(ISERROR(B30*3.6/1000000/'E Balans VL '!Z14*100),0,B30*3.6/1000000/'E Balans VL '!Z14*100)</f>
        <v>0.38530270059484434</v>
      </c>
      <c r="D30" s="239" t="s">
        <v>692</v>
      </c>
      <c r="F30" s="6"/>
    </row>
    <row r="31" spans="1:18">
      <c r="A31" s="233" t="s">
        <v>55</v>
      </c>
      <c r="B31" s="33">
        <f>IF(ISERROR(TER_onderwijs_ele_kWh/1000),0,TER_onderwijs_ele_kWh/1000)</f>
        <v>523.11640366353697</v>
      </c>
      <c r="C31" s="39">
        <f>IF(ISERROR(B31*3.6/1000000/'E Balans VL '!Z11*100),0,B31*3.6/1000000/'E Balans VL '!Z11*100)</f>
        <v>0.10506831813135112</v>
      </c>
      <c r="D31" s="239" t="s">
        <v>692</v>
      </c>
    </row>
    <row r="32" spans="1:18">
      <c r="A32" s="233" t="s">
        <v>260</v>
      </c>
      <c r="B32" s="33">
        <f>IF(ISERROR(TER_rest_ele_kWh/1000),0,TER_rest_ele_kWh/1000)</f>
        <v>17785.079570682999</v>
      </c>
      <c r="C32" s="39">
        <f>IF(ISERROR(B32*3.6/1000000/'E Balans VL '!Z8*100),0,B32*3.6/1000000/'E Balans VL '!Z8*100)</f>
        <v>0.14493760528466962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179672.51522629921</v>
      </c>
      <c r="C5" s="17">
        <f>IF(ISERROR('Eigen informatie GS &amp; warmtenet'!B59),0,'Eigen informatie GS &amp; warmtenet'!B59)</f>
        <v>0</v>
      </c>
      <c r="D5" s="30">
        <f>SUM(D6:D15)</f>
        <v>254014.21342541836</v>
      </c>
      <c r="E5" s="17">
        <f>SUM(E6:E15)</f>
        <v>11603.098750016543</v>
      </c>
      <c r="F5" s="17">
        <f>SUM(F6:F15)</f>
        <v>53881.976187240143</v>
      </c>
      <c r="G5" s="18"/>
      <c r="H5" s="17"/>
      <c r="I5" s="17"/>
      <c r="J5" s="17">
        <f>SUM(J6:J15)</f>
        <v>234.36347418203385</v>
      </c>
      <c r="K5" s="17"/>
      <c r="L5" s="17"/>
      <c r="M5" s="17"/>
      <c r="N5" s="17">
        <f>SUM(N6:N15)</f>
        <v>27139.564158698282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44874.3762675174</v>
      </c>
      <c r="C8" s="33"/>
      <c r="D8" s="37">
        <f>IF( ISERROR(IND_metaal_Gas_kWH/1000),0,IND_metaal_Gas_kWH/1000)*0.902</f>
        <v>24756.403757124583</v>
      </c>
      <c r="E8" s="33">
        <f>C30*'E Balans VL '!I18/100/3.6*1000000</f>
        <v>1288.9605241479087</v>
      </c>
      <c r="F8" s="33">
        <f>C30*'E Balans VL '!L18/100/3.6*1000000+C30*'E Balans VL '!N18/100/3.6*1000000</f>
        <v>11509.414454331376</v>
      </c>
      <c r="G8" s="34"/>
      <c r="H8" s="33"/>
      <c r="I8" s="33"/>
      <c r="J8" s="40">
        <f>C30*'E Balans VL '!D18/100/3.6*1000000+C30*'E Balans VL '!E18/100/3.6*1000000</f>
        <v>0</v>
      </c>
      <c r="K8" s="33"/>
      <c r="L8" s="33"/>
      <c r="M8" s="33"/>
      <c r="N8" s="33">
        <f>C30*'E Balans VL '!Y18/100/3.6*1000000</f>
        <v>1218.4309172429628</v>
      </c>
      <c r="O8" s="33"/>
      <c r="P8" s="33"/>
      <c r="R8" s="32"/>
    </row>
    <row r="9" spans="1:18">
      <c r="A9" s="6" t="s">
        <v>33</v>
      </c>
      <c r="B9" s="37">
        <f t="shared" si="0"/>
        <v>17125.003166406401</v>
      </c>
      <c r="C9" s="33"/>
      <c r="D9" s="37">
        <f>IF( ISERROR(IND_andere_gas_kWh/1000),0,IND_andere_gas_kWh/1000)*0.902</f>
        <v>2244.2365583479973</v>
      </c>
      <c r="E9" s="33">
        <f>C31*'E Balans VL '!I19/100/3.6*1000000</f>
        <v>4635.3173040007268</v>
      </c>
      <c r="F9" s="33">
        <f>C31*'E Balans VL '!L19/100/3.6*1000000+C31*'E Balans VL '!N19/100/3.6*1000000</f>
        <v>11407.064312713395</v>
      </c>
      <c r="G9" s="34"/>
      <c r="H9" s="33"/>
      <c r="I9" s="33"/>
      <c r="J9" s="40">
        <f>C31*'E Balans VL '!D19/100/3.6*1000000+C31*'E Balans VL '!E19/100/3.6*1000000</f>
        <v>0</v>
      </c>
      <c r="K9" s="33"/>
      <c r="L9" s="33"/>
      <c r="M9" s="33"/>
      <c r="N9" s="33">
        <f>C31*'E Balans VL '!Y19/100/3.6*1000000</f>
        <v>5591.0290631752778</v>
      </c>
      <c r="O9" s="33"/>
      <c r="P9" s="33"/>
      <c r="R9" s="32"/>
    </row>
    <row r="10" spans="1:18">
      <c r="A10" s="6" t="s">
        <v>41</v>
      </c>
      <c r="B10" s="37">
        <f t="shared" si="0"/>
        <v>6104.3632057327795</v>
      </c>
      <c r="C10" s="33"/>
      <c r="D10" s="37">
        <f>IF( ISERROR(IND_voed_gas_kWh/1000),0,IND_voed_gas_kWh/1000)*0.902</f>
        <v>11906.681151577779</v>
      </c>
      <c r="E10" s="33">
        <f>C32*'E Balans VL '!I20/100/3.6*1000000</f>
        <v>497.88588746909659</v>
      </c>
      <c r="F10" s="33">
        <f>C32*'E Balans VL '!L20/100/3.6*1000000+C32*'E Balans VL '!N20/100/3.6*1000000</f>
        <v>9102.1593761054555</v>
      </c>
      <c r="G10" s="34"/>
      <c r="H10" s="33"/>
      <c r="I10" s="33"/>
      <c r="J10" s="40">
        <f>C32*'E Balans VL '!D20/100/3.6*1000000+C32*'E Balans VL '!E20/100/3.6*1000000</f>
        <v>8.0753315508929085E-2</v>
      </c>
      <c r="K10" s="33"/>
      <c r="L10" s="33"/>
      <c r="M10" s="33"/>
      <c r="N10" s="33">
        <f>C32*'E Balans VL '!Y20/100/3.6*1000000</f>
        <v>1793.2465100928546</v>
      </c>
      <c r="O10" s="33"/>
      <c r="P10" s="33"/>
      <c r="R10" s="32"/>
    </row>
    <row r="11" spans="1:18">
      <c r="A11" s="6" t="s">
        <v>40</v>
      </c>
      <c r="B11" s="37">
        <f t="shared" si="0"/>
        <v>186.43951925725599</v>
      </c>
      <c r="C11" s="33"/>
      <c r="D11" s="37">
        <f>IF( ISERROR(IND_textiel_gas_kWh/1000),0,IND_textiel_gas_kWh/1000)*0.902</f>
        <v>428.91301187962017</v>
      </c>
      <c r="E11" s="33">
        <f>C33*'E Balans VL '!I21/100/3.6*1000000</f>
        <v>3.6956127215237472E-2</v>
      </c>
      <c r="F11" s="33">
        <f>C33*'E Balans VL '!L21/100/3.6*1000000+C33*'E Balans VL '!N21/100/3.6*1000000</f>
        <v>6.8667924342428019</v>
      </c>
      <c r="G11" s="34"/>
      <c r="H11" s="33"/>
      <c r="I11" s="33"/>
      <c r="J11" s="40">
        <f>C33*'E Balans VL '!D21/100/3.6*1000000+C33*'E Balans VL '!E21/100/3.6*1000000</f>
        <v>0</v>
      </c>
      <c r="K11" s="33"/>
      <c r="L11" s="33"/>
      <c r="M11" s="33"/>
      <c r="N11" s="33">
        <f>C33*'E Balans VL '!Y21/100/3.6*1000000</f>
        <v>0.86689669940970815</v>
      </c>
      <c r="O11" s="33"/>
      <c r="P11" s="33"/>
      <c r="R11" s="32"/>
    </row>
    <row r="12" spans="1:18">
      <c r="A12" s="6" t="s">
        <v>37</v>
      </c>
      <c r="B12" s="37">
        <f t="shared" si="0"/>
        <v>125.95714726928401</v>
      </c>
      <c r="C12" s="33"/>
      <c r="D12" s="37">
        <f>IF( ISERROR(IND_min_gas_kWh/1000),0,IND_min_gas_kWh/1000)*0.902</f>
        <v>205.89718939670522</v>
      </c>
      <c r="E12" s="33">
        <f>C34*'E Balans VL '!I22/100/3.6*1000000</f>
        <v>0.98117873233353947</v>
      </c>
      <c r="F12" s="33">
        <f>C34*'E Balans VL '!L22/100/3.6*1000000+C34*'E Balans VL '!N22/100/3.6*1000000</f>
        <v>47.503295646868004</v>
      </c>
      <c r="G12" s="34"/>
      <c r="H12" s="33"/>
      <c r="I12" s="33"/>
      <c r="J12" s="40">
        <f>C34*'E Balans VL '!D22/100/3.6*1000000+C34*'E Balans VL '!E22/100/3.6*1000000</f>
        <v>0.69275329717894496</v>
      </c>
      <c r="K12" s="33"/>
      <c r="L12" s="33"/>
      <c r="M12" s="33"/>
      <c r="N12" s="33">
        <f>C34*'E Balans VL '!Y22/100/3.6*1000000</f>
        <v>0</v>
      </c>
      <c r="O12" s="33"/>
      <c r="P12" s="33"/>
      <c r="R12" s="32"/>
    </row>
    <row r="13" spans="1:18">
      <c r="A13" s="6" t="s">
        <v>39</v>
      </c>
      <c r="B13" s="37">
        <f t="shared" si="0"/>
        <v>76.489810746582606</v>
      </c>
      <c r="C13" s="33"/>
      <c r="D13" s="37">
        <f>IF( ISERROR(IND_papier_gas_kWh/1000),0,IND_papier_gas_kWh/1000)*0.902</f>
        <v>61.487512410102866</v>
      </c>
      <c r="E13" s="33">
        <f>C35*'E Balans VL '!I23/100/3.6*1000000</f>
        <v>0.80137011499963751</v>
      </c>
      <c r="F13" s="33">
        <f>C35*'E Balans VL '!L23/100/3.6*1000000+C35*'E Balans VL '!N23/100/3.6*1000000</f>
        <v>5.7076832354255149</v>
      </c>
      <c r="G13" s="34"/>
      <c r="H13" s="33"/>
      <c r="I13" s="33"/>
      <c r="J13" s="40">
        <f>C35*'E Balans VL '!D23/100/3.6*1000000+C35*'E Balans VL '!E23/100/3.6*1000000</f>
        <v>0</v>
      </c>
      <c r="K13" s="33"/>
      <c r="L13" s="33"/>
      <c r="M13" s="33"/>
      <c r="N13" s="33">
        <f>C35*'E Balans VL '!Y23/100/3.6*1000000</f>
        <v>163.48898670695294</v>
      </c>
      <c r="O13" s="33"/>
      <c r="P13" s="33"/>
      <c r="R13" s="32"/>
    </row>
    <row r="14" spans="1:18">
      <c r="A14" s="6" t="s">
        <v>34</v>
      </c>
      <c r="B14" s="37">
        <f t="shared" si="0"/>
        <v>20042.845022923499</v>
      </c>
      <c r="C14" s="33"/>
      <c r="D14" s="37">
        <f>IF( ISERROR(IND_chemie_gas_kWh/1000),0,IND_chemie_gas_kWh/1000)*0.902</f>
        <v>4195.7995389763664</v>
      </c>
      <c r="E14" s="33">
        <f>C36*'E Balans VL '!I24/100/3.6*1000000</f>
        <v>94.747235089235033</v>
      </c>
      <c r="F14" s="33">
        <f>C36*'E Balans VL '!L24/100/3.6*1000000+C36*'E Balans VL '!N24/100/3.6*1000000</f>
        <v>378.79901271462768</v>
      </c>
      <c r="G14" s="34"/>
      <c r="H14" s="33"/>
      <c r="I14" s="33"/>
      <c r="J14" s="40">
        <f>C36*'E Balans VL '!D24/100/3.6*1000000+C36*'E Balans VL '!E24/100/3.6*1000000</f>
        <v>0</v>
      </c>
      <c r="K14" s="33"/>
      <c r="L14" s="33"/>
      <c r="M14" s="33"/>
      <c r="N14" s="33">
        <f>C36*'E Balans VL '!Y24/100/3.6*1000000</f>
        <v>486.57247158741757</v>
      </c>
      <c r="O14" s="33"/>
      <c r="P14" s="33"/>
      <c r="R14" s="32"/>
    </row>
    <row r="15" spans="1:18">
      <c r="A15" s="6" t="s">
        <v>270</v>
      </c>
      <c r="B15" s="37">
        <f t="shared" si="0"/>
        <v>91137.041086445999</v>
      </c>
      <c r="C15" s="33"/>
      <c r="D15" s="37">
        <f>IF( ISERROR(IND_rest_gas_kWh/1000),0,IND_rest_gas_kWh/1000)*0.902</f>
        <v>210214.79470570522</v>
      </c>
      <c r="E15" s="33">
        <f>C37*'E Balans VL '!I15/100/3.6*1000000</f>
        <v>5084.3682943350286</v>
      </c>
      <c r="F15" s="33">
        <f>C37*'E Balans VL '!L15/100/3.6*1000000+C37*'E Balans VL '!N15/100/3.6*1000000</f>
        <v>21424.461260058761</v>
      </c>
      <c r="G15" s="34"/>
      <c r="H15" s="33"/>
      <c r="I15" s="33"/>
      <c r="J15" s="40">
        <f>C37*'E Balans VL '!D15/100/3.6*1000000+C37*'E Balans VL '!E15/100/3.6*1000000</f>
        <v>233.58996756934599</v>
      </c>
      <c r="K15" s="33"/>
      <c r="L15" s="33"/>
      <c r="M15" s="33"/>
      <c r="N15" s="33">
        <f>C37*'E Balans VL '!Y15/100/3.6*1000000</f>
        <v>17885.929313193406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179672.51522629921</v>
      </c>
      <c r="C18" s="21">
        <f>C5+C16</f>
        <v>0</v>
      </c>
      <c r="D18" s="21">
        <f>MAX((D5+D16),0)</f>
        <v>254014.21342541836</v>
      </c>
      <c r="E18" s="21">
        <f>MAX((E5+E16),0)</f>
        <v>11603.098750016543</v>
      </c>
      <c r="F18" s="21">
        <f>MAX((F5+F16),0)</f>
        <v>53881.976187240143</v>
      </c>
      <c r="G18" s="21"/>
      <c r="H18" s="21"/>
      <c r="I18" s="21"/>
      <c r="J18" s="21">
        <f>MAX((J5+J16),0)</f>
        <v>234.36347418203385</v>
      </c>
      <c r="K18" s="21"/>
      <c r="L18" s="21">
        <f>MAX((L5+L16),0)</f>
        <v>0</v>
      </c>
      <c r="M18" s="21"/>
      <c r="N18" s="21">
        <f>MAX((N5+N16),0)</f>
        <v>27139.564158698282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0.17382253138512008</v>
      </c>
      <c r="C20" s="25">
        <f ca="1">'EF ele_warmte'!B22</f>
        <v>6.0198647020507558E-3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31231.131416966859</v>
      </c>
      <c r="C22" s="23">
        <f ca="1">C18*C20</f>
        <v>0</v>
      </c>
      <c r="D22" s="23">
        <f>D18*D20</f>
        <v>51310.87111193451</v>
      </c>
      <c r="E22" s="23">
        <f>E18*E20</f>
        <v>2633.9034162537555</v>
      </c>
      <c r="F22" s="23">
        <f>F18*F20</f>
        <v>14386.487641993119</v>
      </c>
      <c r="G22" s="23"/>
      <c r="H22" s="23"/>
      <c r="I22" s="23"/>
      <c r="J22" s="23">
        <f>J18*J20</f>
        <v>82.964669860439983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44874.3762675174</v>
      </c>
      <c r="C30" s="39">
        <f>IF(ISERROR(B30*3.6/1000000/'E Balans VL '!Z18*100),0,B30*3.6/1000000/'E Balans VL '!Z18*100)</f>
        <v>4.4155240726437688</v>
      </c>
      <c r="D30" s="239" t="s">
        <v>692</v>
      </c>
    </row>
    <row r="31" spans="1:18">
      <c r="A31" s="6" t="s">
        <v>33</v>
      </c>
      <c r="B31" s="37">
        <f>IF( ISERROR(IND_ander_ele_kWh/1000),0,IND_ander_ele_kWh/1000)</f>
        <v>17125.003166406401</v>
      </c>
      <c r="C31" s="39">
        <f>IF(ISERROR(B31*3.6/1000000/'E Balans VL '!Z19*100),0,B31*3.6/1000000/'E Balans VL '!Z19*100)</f>
        <v>0.7457802274165376</v>
      </c>
      <c r="D31" s="239" t="s">
        <v>692</v>
      </c>
    </row>
    <row r="32" spans="1:18">
      <c r="A32" s="173" t="s">
        <v>41</v>
      </c>
      <c r="B32" s="37">
        <f>IF( ISERROR(IND_voed_ele_kWh/1000),0,IND_voed_ele_kWh/1000)</f>
        <v>6104.3632057327795</v>
      </c>
      <c r="C32" s="39">
        <f>IF(ISERROR(B32*3.6/1000000/'E Balans VL '!Z20*100),0,B32*3.6/1000000/'E Balans VL '!Z20*100)</f>
        <v>1.1582148837933597</v>
      </c>
      <c r="D32" s="239" t="s">
        <v>692</v>
      </c>
    </row>
    <row r="33" spans="1:5">
      <c r="A33" s="173" t="s">
        <v>40</v>
      </c>
      <c r="B33" s="37">
        <f>IF( ISERROR(IND_textiel_ele_kWh/1000),0,IND_textiel_ele_kWh/1000)</f>
        <v>186.43951925725599</v>
      </c>
      <c r="C33" s="39">
        <f>IF(ISERROR(B33*3.6/1000000/'E Balans VL '!Z21*100),0,B33*3.6/1000000/'E Balans VL '!Z21*100)</f>
        <v>1.0644751067176989E-2</v>
      </c>
      <c r="D33" s="239" t="s">
        <v>692</v>
      </c>
    </row>
    <row r="34" spans="1:5">
      <c r="A34" s="173" t="s">
        <v>37</v>
      </c>
      <c r="B34" s="37">
        <f>IF( ISERROR(IND_min_ele_kWh/1000),0,IND_min_ele_kWh/1000)</f>
        <v>125.95714726928401</v>
      </c>
      <c r="C34" s="39">
        <f>IF(ISERROR(B34*3.6/1000000/'E Balans VL '!Z22*100),0,B34*3.6/1000000/'E Balans VL '!Z22*100)</f>
        <v>1.7710839728310168E-2</v>
      </c>
      <c r="D34" s="239" t="s">
        <v>692</v>
      </c>
    </row>
    <row r="35" spans="1:5">
      <c r="A35" s="173" t="s">
        <v>39</v>
      </c>
      <c r="B35" s="37">
        <f>IF( ISERROR(IND_papier_ele_kWh/1000),0,IND_papier_ele_kWh/1000)</f>
        <v>76.489810746582606</v>
      </c>
      <c r="C35" s="39">
        <f>IF(ISERROR(B35*3.6/1000000/'E Balans VL '!Z22*100),0,B35*3.6/1000000/'E Balans VL '!Z22*100)</f>
        <v>1.0755235477708052E-2</v>
      </c>
      <c r="D35" s="239" t="s">
        <v>692</v>
      </c>
    </row>
    <row r="36" spans="1:5">
      <c r="A36" s="173" t="s">
        <v>34</v>
      </c>
      <c r="B36" s="37">
        <f>IF( ISERROR(IND_chemie_ele_kWh/1000),0,IND_chemie_ele_kWh/1000)</f>
        <v>20042.845022923499</v>
      </c>
      <c r="C36" s="39">
        <f>IF(ISERROR(B36*3.6/1000000/'E Balans VL '!Z24*100),0,B36*3.6/1000000/'E Balans VL '!Z24*100)</f>
        <v>0.5841077294212359</v>
      </c>
      <c r="D36" s="239" t="s">
        <v>692</v>
      </c>
    </row>
    <row r="37" spans="1:5">
      <c r="A37" s="173" t="s">
        <v>270</v>
      </c>
      <c r="B37" s="37">
        <f>IF( ISERROR(IND_rest_ele_kWh/1000),0,IND_rest_ele_kWh/1000)</f>
        <v>91137.041086445999</v>
      </c>
      <c r="C37" s="39">
        <f>IF(ISERROR(B37*3.6/1000000/'E Balans VL '!Z15*100),0,B37*3.6/1000000/'E Balans VL '!Z15*100)</f>
        <v>0.70232284093141817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9551.5057585717495</v>
      </c>
      <c r="C5" s="17">
        <f>'Eigen informatie GS &amp; warmtenet'!B60</f>
        <v>0</v>
      </c>
      <c r="D5" s="30">
        <f>IF(ISERROR(SUM(LB_lb_gas_kWh,LB_rest_gas_kWh,onbekend_gas_kWh)/1000),0,SUM(LB_lb_gas_kWh,LB_rest_gas_kWh,onbekend_gas_kWh)/1000)*0.902</f>
        <v>7507.6802636555431</v>
      </c>
      <c r="E5" s="17">
        <f>B17*'E Balans VL '!I25/3.6*1000000/100</f>
        <v>120.36127739924848</v>
      </c>
      <c r="F5" s="17">
        <f>B17*('E Balans VL '!L25/3.6*1000000+'E Balans VL '!N25/3.6*1000000)/100</f>
        <v>32955.087662240432</v>
      </c>
      <c r="G5" s="18"/>
      <c r="H5" s="17"/>
      <c r="I5" s="17"/>
      <c r="J5" s="17">
        <f>('E Balans VL '!D25+'E Balans VL '!E25)/3.6*1000000*landbouw!B17/100</f>
        <v>1436.4378884037908</v>
      </c>
      <c r="K5" s="17"/>
      <c r="L5" s="17">
        <f>L6*(-1)</f>
        <v>0</v>
      </c>
      <c r="M5" s="17"/>
      <c r="N5" s="17">
        <f>N6*(-1)</f>
        <v>26807.142857142859</v>
      </c>
      <c r="O5" s="17"/>
      <c r="P5" s="17"/>
      <c r="R5" s="32"/>
    </row>
    <row r="6" spans="1:18">
      <c r="A6" s="16" t="s">
        <v>497</v>
      </c>
      <c r="B6" s="17" t="s">
        <v>211</v>
      </c>
      <c r="C6" s="17">
        <f>'lokale energieproductie'!O91+'lokale energieproductie'!O60</f>
        <v>13403.571428571429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-26807.142857142859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9551.5057585717495</v>
      </c>
      <c r="C8" s="21">
        <f>C5+C6</f>
        <v>13403.571428571429</v>
      </c>
      <c r="D8" s="21">
        <f>MAX((D5+D6),0)</f>
        <v>7507.6802636555431</v>
      </c>
      <c r="E8" s="21">
        <f>MAX((E5+E6),0)</f>
        <v>120.36127739924848</v>
      </c>
      <c r="F8" s="21">
        <f>MAX((F5+F6),0)</f>
        <v>32955.087662240432</v>
      </c>
      <c r="G8" s="21"/>
      <c r="H8" s="21"/>
      <c r="I8" s="21"/>
      <c r="J8" s="21">
        <f>MAX((J5+J6),0)</f>
        <v>1436.4378884037908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0.17382253138512008</v>
      </c>
      <c r="C10" s="31">
        <f ca="1">'EF ele_warmte'!B22</f>
        <v>6.0198647020507558E-3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1660.2669094944931</v>
      </c>
      <c r="C12" s="23">
        <f ca="1">C8*C10</f>
        <v>80.687686524273175</v>
      </c>
      <c r="D12" s="23">
        <f>D8*D10</f>
        <v>1516.5514132584199</v>
      </c>
      <c r="E12" s="23">
        <f>E8*E10</f>
        <v>27.322009969629406</v>
      </c>
      <c r="F12" s="23">
        <f>F8*F10</f>
        <v>8799.0084058181965</v>
      </c>
      <c r="G12" s="23"/>
      <c r="H12" s="23"/>
      <c r="I12" s="23"/>
      <c r="J12" s="23">
        <f>J8*J10</f>
        <v>508.49901249494189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1.3321340073338543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1435.3788130382281</v>
      </c>
      <c r="C26" s="249">
        <f>B26*'GWP N2O_CH4'!B5</f>
        <v>30142.95507380279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935.01377705634263</v>
      </c>
      <c r="C27" s="249">
        <f>B27*'GWP N2O_CH4'!B5</f>
        <v>19635.289318183197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20.530321030591612</v>
      </c>
      <c r="C28" s="249">
        <f>B28*'GWP N2O_CH4'!B4</f>
        <v>6364.3995194833997</v>
      </c>
      <c r="D28" s="50"/>
    </row>
    <row r="29" spans="1:4">
      <c r="A29" s="41" t="s">
        <v>277</v>
      </c>
      <c r="B29" s="249">
        <f>B34*'ha_N2O bodem landbouw'!B4</f>
        <v>54.526937521080882</v>
      </c>
      <c r="C29" s="249">
        <f>B29*'GWP N2O_CH4'!B4</f>
        <v>16903.350631535075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1.3614831450647352E-2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4.4372817300869914E-5</v>
      </c>
      <c r="C5" s="448" t="s">
        <v>211</v>
      </c>
      <c r="D5" s="433">
        <f>SUM(D6:D11)</f>
        <v>7.1330053740913652E-5</v>
      </c>
      <c r="E5" s="433">
        <f>SUM(E6:E11)</f>
        <v>2.2115598161077331E-3</v>
      </c>
      <c r="F5" s="446" t="s">
        <v>211</v>
      </c>
      <c r="G5" s="433">
        <f>SUM(G6:G11)</f>
        <v>0.65242755186704149</v>
      </c>
      <c r="H5" s="433">
        <f>SUM(H6:H11)</f>
        <v>0.1071199058527742</v>
      </c>
      <c r="I5" s="448" t="s">
        <v>211</v>
      </c>
      <c r="J5" s="448" t="s">
        <v>211</v>
      </c>
      <c r="K5" s="448" t="s">
        <v>211</v>
      </c>
      <c r="L5" s="448" t="s">
        <v>211</v>
      </c>
      <c r="M5" s="433">
        <f>SUM(M6:M11)</f>
        <v>3.4330848117374711E-2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3.517482066812427E-5</v>
      </c>
      <c r="C6" s="949"/>
      <c r="D6" s="949">
        <f>vkm_2011_GW_PW*SUMIFS(TableVerdeelsleutelVkm[CNG],TableVerdeelsleutelVkm[Voertuigtype],"Lichte voertuigen")*SUMIFS(TableECFTransport[EnergieConsumptieFactor (PJ per km)],TableECFTransport[Index],CONCATENATE($A6,"_CNG_CNG"))</f>
        <v>4.981442557910327E-5</v>
      </c>
      <c r="E6" s="949">
        <f>vkm_2011_GW_PW*SUMIFS(TableVerdeelsleutelVkm[LPG],TableVerdeelsleutelVkm[Voertuigtype],"Lichte voertuigen")*SUMIFS(TableECFTransport[EnergieConsumptieFactor (PJ per km)],TableECFTransport[Index],CONCATENATE($A6,"_LPG_LPG"))</f>
        <v>1.5645071140211672E-3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0.28118476778478529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7.5345721109993172E-2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1.613057853043149E-2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0.22041199498442623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7.8310096859163797E-5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9.9464957777963704E-3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7.5789688190120976E-6</v>
      </c>
      <c r="C8" s="949"/>
      <c r="D8" s="436">
        <f>vkm_2011_NGW_PW*SUMIFS(TableVerdeelsleutelVkm[CNG],TableVerdeelsleutelVkm[Voertuigtype],"Lichte voertuigen")*SUMIFS(TableECFTransport[EnergieConsumptieFactor (PJ per km)],TableECFTransport[Index],CONCATENATE($A8,"_CNG_CNG"))</f>
        <v>1.912156078986829E-5</v>
      </c>
      <c r="E8" s="436">
        <f>vkm_2011_NGW_PW*SUMIFS(TableVerdeelsleutelVkm[LPG],TableVerdeelsleutelVkm[Voertuigtype],"Lichte voertuigen")*SUMIFS(TableECFTransport[EnergieConsumptieFactor (PJ per km)],TableECFTransport[Index],CONCATENATE($A8,"_LPG_LPG"))</f>
        <v>5.5314375902269536E-4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9.3763230987495685E-2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2.7906787625164811E-2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5.506117287836166E-3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2.8152013073590377E-2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9.4649144505016624E-6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1.2703866843538282E-3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1.6190278137335507E-6</v>
      </c>
      <c r="C10" s="949"/>
      <c r="D10" s="436">
        <f>vkm_2011_SW_PW*SUMIFS(TableVerdeelsleutelVkm[CNG],TableVerdeelsleutelVkm[Voertuigtype],"Lichte voertuigen")*SUMIFS(TableECFTransport[EnergieConsumptieFactor (PJ per km)],TableECFTransport[Index],CONCATENATE($A10,"_CNG_CNG"))</f>
        <v>2.3940673719420925E-6</v>
      </c>
      <c r="E10" s="436">
        <f>vkm_2011_SW_PW*SUMIFS(TableVerdeelsleutelVkm[LPG],TableVerdeelsleutelVkm[Voertuigtype],"Lichte voertuigen")*SUMIFS(TableECFTransport[EnergieConsumptieFactor (PJ per km)],TableECFTransport[Index],CONCATENATE($A10,"_LPG_LPG"))</f>
        <v>9.390894306387059E-5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1.5285615177068791E-2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3.774399881265282E-3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8.6217687357420861E-4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1.362992985967509E-2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5.2222250412728719E-6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6.1509296338264701E-4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12.325782583574977</v>
      </c>
      <c r="C14" s="21"/>
      <c r="D14" s="21">
        <f t="shared" ref="D14:M14" si="0">((D5)*10^9/3600)+D12</f>
        <v>19.813903816920462</v>
      </c>
      <c r="E14" s="21">
        <f t="shared" si="0"/>
        <v>614.32217114103696</v>
      </c>
      <c r="F14" s="21"/>
      <c r="G14" s="21">
        <f t="shared" si="0"/>
        <v>181229.87551862263</v>
      </c>
      <c r="H14" s="21">
        <f t="shared" si="0"/>
        <v>29755.529403548389</v>
      </c>
      <c r="I14" s="21"/>
      <c r="J14" s="21"/>
      <c r="K14" s="21"/>
      <c r="L14" s="21"/>
      <c r="M14" s="21">
        <f t="shared" si="0"/>
        <v>9536.3466992707527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0.17382253138512008</v>
      </c>
      <c r="C16" s="56">
        <f ca="1">'EF ele_warmte'!B22</f>
        <v>6.0198647020507558E-3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2.1424987299796281</v>
      </c>
      <c r="C18" s="23"/>
      <c r="D18" s="23">
        <f t="shared" ref="D18:M18" si="1">D14*D16</f>
        <v>4.0024085710179333</v>
      </c>
      <c r="E18" s="23">
        <f t="shared" si="1"/>
        <v>139.45113284901541</v>
      </c>
      <c r="F18" s="23"/>
      <c r="G18" s="23">
        <f t="shared" si="1"/>
        <v>48388.376763472246</v>
      </c>
      <c r="H18" s="23">
        <f t="shared" si="1"/>
        <v>7409.1268214835491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1.2792103129982661E-2</v>
      </c>
      <c r="H50" s="323">
        <f t="shared" si="2"/>
        <v>0</v>
      </c>
      <c r="I50" s="323">
        <f t="shared" si="2"/>
        <v>0</v>
      </c>
      <c r="J50" s="323">
        <f t="shared" si="2"/>
        <v>0</v>
      </c>
      <c r="K50" s="323">
        <f t="shared" si="2"/>
        <v>0</v>
      </c>
      <c r="L50" s="323">
        <f t="shared" si="2"/>
        <v>0</v>
      </c>
      <c r="M50" s="323">
        <f t="shared" si="2"/>
        <v>5.6889611460488856E-4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1.2792103129982661E-2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5.6889611460488856E-4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3553.3619805507392</v>
      </c>
      <c r="H54" s="21">
        <f t="shared" si="3"/>
        <v>0</v>
      </c>
      <c r="I54" s="21">
        <f t="shared" si="3"/>
        <v>0</v>
      </c>
      <c r="J54" s="21">
        <f t="shared" si="3"/>
        <v>0</v>
      </c>
      <c r="K54" s="21">
        <f t="shared" si="3"/>
        <v>0</v>
      </c>
      <c r="L54" s="21">
        <f t="shared" si="3"/>
        <v>0</v>
      </c>
      <c r="M54" s="21">
        <f t="shared" si="3"/>
        <v>158.02669850135794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0.17382253138512008</v>
      </c>
      <c r="C56" s="56">
        <f ca="1">'EF ele_warmte'!B22</f>
        <v>6.0198647020507558E-3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948.74764880704743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38091.199244808173</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14152.784368594952</v>
      </c>
      <c r="C6" s="1251"/>
      <c r="D6" s="1236"/>
      <c r="E6" s="1236"/>
      <c r="F6" s="1254"/>
      <c r="G6" s="1257"/>
      <c r="H6" s="1248"/>
      <c r="I6" s="1236"/>
      <c r="J6" s="1236"/>
      <c r="K6" s="1236"/>
      <c r="L6" s="1240"/>
      <c r="M6" s="561"/>
      <c r="N6" s="1214"/>
      <c r="O6" s="1215"/>
      <c r="Q6" s="559"/>
      <c r="R6" s="1202"/>
      <c r="S6" s="1202"/>
    </row>
    <row r="7" spans="1:19" s="549" customFormat="1">
      <c r="A7" s="562" t="s">
        <v>252</v>
      </c>
      <c r="B7" s="563">
        <f>N57</f>
        <v>20725.5</v>
      </c>
      <c r="C7" s="564">
        <f>B100</f>
        <v>617.64705882352939</v>
      </c>
      <c r="D7" s="565"/>
      <c r="E7" s="565">
        <f>E100</f>
        <v>0</v>
      </c>
      <c r="F7" s="566"/>
      <c r="G7" s="567"/>
      <c r="H7" s="565">
        <f>I100</f>
        <v>0</v>
      </c>
      <c r="I7" s="565">
        <f>G100+F100</f>
        <v>0</v>
      </c>
      <c r="J7" s="565">
        <f>H100+D100+C100</f>
        <v>23765.294117647059</v>
      </c>
      <c r="K7" s="565"/>
      <c r="L7" s="568"/>
      <c r="M7" s="569">
        <f>C7*$C$11+D7*$D$11+E7*$E$11+F7*$F$11+G7*$G$11+H7*$H$11+I7*$I$11+J7*$J$11</f>
        <v>124.76470588235294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72969.483613403121</v>
      </c>
      <c r="C9" s="580">
        <f t="shared" ref="C9:L9" si="0">SUM(C7:C8)</f>
        <v>617.64705882352939</v>
      </c>
      <c r="D9" s="580">
        <f t="shared" si="0"/>
        <v>0</v>
      </c>
      <c r="E9" s="580">
        <f t="shared" si="0"/>
        <v>0</v>
      </c>
      <c r="F9" s="580">
        <f t="shared" si="0"/>
        <v>0</v>
      </c>
      <c r="G9" s="580">
        <f t="shared" si="0"/>
        <v>0</v>
      </c>
      <c r="H9" s="580">
        <f t="shared" si="0"/>
        <v>0</v>
      </c>
      <c r="I9" s="580">
        <f t="shared" si="0"/>
        <v>0</v>
      </c>
      <c r="J9" s="580">
        <f t="shared" si="0"/>
        <v>23765.294117647059</v>
      </c>
      <c r="K9" s="580">
        <f t="shared" si="0"/>
        <v>0</v>
      </c>
      <c r="L9" s="580">
        <f t="shared" si="0"/>
        <v>0</v>
      </c>
      <c r="M9" s="581">
        <f>SUM(M4:M8)</f>
        <v>124.76470588235294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29607.857142857145</v>
      </c>
      <c r="C16" s="596">
        <f>B101</f>
        <v>882.35294117647061</v>
      </c>
      <c r="D16" s="597"/>
      <c r="E16" s="597">
        <f>E101</f>
        <v>0</v>
      </c>
      <c r="F16" s="598"/>
      <c r="G16" s="599"/>
      <c r="H16" s="596">
        <f>I101</f>
        <v>0</v>
      </c>
      <c r="I16" s="597">
        <f>G101+F101</f>
        <v>0</v>
      </c>
      <c r="J16" s="597">
        <f>H101+D101+C101</f>
        <v>33950.420168067234</v>
      </c>
      <c r="K16" s="597"/>
      <c r="L16" s="600"/>
      <c r="M16" s="601">
        <f>C16*$C$21+E16*$E$21+H16*$H$21+I16*$I$21+J16*$J$21+D16*$D$21+F16*$F$21+G16*$G$21+K16*$K$21+L16*$L$21</f>
        <v>178.23529411764707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29607.857142857145</v>
      </c>
      <c r="C19" s="579">
        <f>SUM(C16:C18)</f>
        <v>882.35294117647061</v>
      </c>
      <c r="D19" s="579">
        <f t="shared" ref="D19:M19" si="1">SUM(D16:D18)</f>
        <v>0</v>
      </c>
      <c r="E19" s="579">
        <f t="shared" si="1"/>
        <v>0</v>
      </c>
      <c r="F19" s="579">
        <f t="shared" si="1"/>
        <v>0</v>
      </c>
      <c r="G19" s="579">
        <f t="shared" si="1"/>
        <v>0</v>
      </c>
      <c r="H19" s="579">
        <f t="shared" si="1"/>
        <v>0</v>
      </c>
      <c r="I19" s="579">
        <f t="shared" si="1"/>
        <v>0</v>
      </c>
      <c r="J19" s="579">
        <f t="shared" si="1"/>
        <v>33950.420168067234</v>
      </c>
      <c r="K19" s="579">
        <f t="shared" si="1"/>
        <v>0</v>
      </c>
      <c r="L19" s="579">
        <f t="shared" si="1"/>
        <v>0</v>
      </c>
      <c r="M19" s="606">
        <f t="shared" si="1"/>
        <v>178.23529411764707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33011</v>
      </c>
      <c r="C27" s="839">
        <v>8900</v>
      </c>
      <c r="D27" s="658" t="s">
        <v>878</v>
      </c>
      <c r="E27" s="657" t="s">
        <v>879</v>
      </c>
      <c r="F27" s="657" t="s">
        <v>880</v>
      </c>
      <c r="G27" s="657" t="s">
        <v>881</v>
      </c>
      <c r="H27" s="657" t="s">
        <v>882</v>
      </c>
      <c r="I27" s="657" t="s">
        <v>879</v>
      </c>
      <c r="J27" s="838">
        <v>37824</v>
      </c>
      <c r="K27" s="838">
        <v>40350</v>
      </c>
      <c r="L27" s="657" t="s">
        <v>883</v>
      </c>
      <c r="M27" s="657">
        <v>1340</v>
      </c>
      <c r="N27" s="657">
        <v>6030</v>
      </c>
      <c r="O27" s="657">
        <v>8614.2857142857138</v>
      </c>
      <c r="P27" s="657">
        <v>0</v>
      </c>
      <c r="Q27" s="657">
        <v>17228.571428571431</v>
      </c>
      <c r="R27" s="657">
        <v>0</v>
      </c>
      <c r="S27" s="657">
        <v>0</v>
      </c>
      <c r="T27" s="657">
        <v>0</v>
      </c>
      <c r="U27" s="657">
        <v>0</v>
      </c>
      <c r="V27" s="657">
        <v>0</v>
      </c>
      <c r="W27" s="657">
        <v>0</v>
      </c>
      <c r="X27" s="657">
        <v>1600</v>
      </c>
      <c r="Y27" s="657" t="s">
        <v>50</v>
      </c>
      <c r="Z27" s="659" t="s">
        <v>156</v>
      </c>
    </row>
    <row r="28" spans="1:26" s="611" customFormat="1" ht="25.5">
      <c r="A28" s="610"/>
      <c r="B28" s="839">
        <v>33011</v>
      </c>
      <c r="C28" s="839">
        <v>8900</v>
      </c>
      <c r="D28" s="658" t="s">
        <v>884</v>
      </c>
      <c r="E28" s="657" t="s">
        <v>885</v>
      </c>
      <c r="F28" s="657" t="s">
        <v>886</v>
      </c>
      <c r="G28" s="657" t="s">
        <v>881</v>
      </c>
      <c r="H28" s="657" t="s">
        <v>882</v>
      </c>
      <c r="I28" s="657" t="s">
        <v>885</v>
      </c>
      <c r="J28" s="838">
        <v>40199</v>
      </c>
      <c r="K28" s="838">
        <v>39360</v>
      </c>
      <c r="L28" s="657" t="s">
        <v>883</v>
      </c>
      <c r="M28" s="657">
        <v>2085</v>
      </c>
      <c r="N28" s="657">
        <v>9382.5</v>
      </c>
      <c r="O28" s="657">
        <v>13403.571428571429</v>
      </c>
      <c r="P28" s="657">
        <v>0</v>
      </c>
      <c r="Q28" s="657">
        <v>26807.142857142859</v>
      </c>
      <c r="R28" s="657">
        <v>0</v>
      </c>
      <c r="S28" s="657">
        <v>0</v>
      </c>
      <c r="T28" s="657">
        <v>0</v>
      </c>
      <c r="U28" s="657">
        <v>0</v>
      </c>
      <c r="V28" s="657">
        <v>0</v>
      </c>
      <c r="W28" s="657">
        <v>0</v>
      </c>
      <c r="X28" s="657">
        <v>10</v>
      </c>
      <c r="Y28" s="657" t="s">
        <v>112</v>
      </c>
      <c r="Z28" s="659" t="s">
        <v>112</v>
      </c>
    </row>
    <row r="29" spans="1:26" s="611" customFormat="1" ht="38.25">
      <c r="A29" s="610"/>
      <c r="B29" s="839">
        <v>33011</v>
      </c>
      <c r="C29" s="839">
        <v>8900</v>
      </c>
      <c r="D29" s="658" t="s">
        <v>887</v>
      </c>
      <c r="E29" s="657" t="s">
        <v>888</v>
      </c>
      <c r="F29" s="657" t="s">
        <v>889</v>
      </c>
      <c r="G29" s="657" t="s">
        <v>881</v>
      </c>
      <c r="H29" s="657" t="s">
        <v>882</v>
      </c>
      <c r="I29" s="657" t="s">
        <v>888</v>
      </c>
      <c r="J29" s="838">
        <v>41484</v>
      </c>
      <c r="K29" s="838">
        <v>41484</v>
      </c>
      <c r="L29" s="657" t="s">
        <v>883</v>
      </c>
      <c r="M29" s="657">
        <v>280</v>
      </c>
      <c r="N29" s="657">
        <v>525</v>
      </c>
      <c r="O29" s="657">
        <v>750</v>
      </c>
      <c r="P29" s="657">
        <v>1500</v>
      </c>
      <c r="Q29" s="657">
        <v>0</v>
      </c>
      <c r="R29" s="657">
        <v>0</v>
      </c>
      <c r="S29" s="657">
        <v>0</v>
      </c>
      <c r="T29" s="657">
        <v>0</v>
      </c>
      <c r="U29" s="657">
        <v>0</v>
      </c>
      <c r="V29" s="657">
        <v>0</v>
      </c>
      <c r="W29" s="657">
        <v>0</v>
      </c>
      <c r="X29" s="657">
        <v>1501</v>
      </c>
      <c r="Y29" s="657" t="s">
        <v>51</v>
      </c>
      <c r="Z29" s="659" t="s">
        <v>156</v>
      </c>
    </row>
    <row r="30" spans="1:26" s="611" customFormat="1" ht="63.75">
      <c r="A30" s="610"/>
      <c r="B30" s="839">
        <v>33011</v>
      </c>
      <c r="C30" s="839">
        <v>8900</v>
      </c>
      <c r="D30" s="658" t="s">
        <v>890</v>
      </c>
      <c r="E30" s="657" t="s">
        <v>891</v>
      </c>
      <c r="F30" s="657" t="s">
        <v>892</v>
      </c>
      <c r="G30" s="657" t="s">
        <v>881</v>
      </c>
      <c r="H30" s="657" t="s">
        <v>882</v>
      </c>
      <c r="I30" s="657" t="s">
        <v>893</v>
      </c>
      <c r="J30" s="838">
        <v>41487</v>
      </c>
      <c r="K30" s="838">
        <v>41487</v>
      </c>
      <c r="L30" s="657" t="s">
        <v>883</v>
      </c>
      <c r="M30" s="657">
        <v>3192</v>
      </c>
      <c r="N30" s="657">
        <v>4788</v>
      </c>
      <c r="O30" s="657">
        <v>6840</v>
      </c>
      <c r="P30" s="657">
        <v>0</v>
      </c>
      <c r="Q30" s="657">
        <v>13680</v>
      </c>
      <c r="R30" s="657">
        <v>0</v>
      </c>
      <c r="S30" s="657">
        <v>0</v>
      </c>
      <c r="T30" s="657">
        <v>0</v>
      </c>
      <c r="U30" s="657">
        <v>0</v>
      </c>
      <c r="V30" s="657">
        <v>0</v>
      </c>
      <c r="W30" s="657">
        <v>0</v>
      </c>
      <c r="X30" s="657">
        <v>1600</v>
      </c>
      <c r="Y30" s="657" t="s">
        <v>50</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6897</v>
      </c>
      <c r="N57" s="615">
        <f>SUM(N27:N56)</f>
        <v>20725.5</v>
      </c>
      <c r="O57" s="615">
        <f t="shared" ref="O57:W57" si="2">SUM(O27:O56)</f>
        <v>29607.857142857145</v>
      </c>
      <c r="P57" s="615">
        <f t="shared" si="2"/>
        <v>1500</v>
      </c>
      <c r="Q57" s="615">
        <f t="shared" si="2"/>
        <v>57715.71428571429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4812</v>
      </c>
      <c r="N59" s="615">
        <f ca="1">SUMIF($Z$27:AB56,"tertiair",N27:N56)</f>
        <v>11343</v>
      </c>
      <c r="O59" s="615">
        <f ca="1">SUMIF($Z$27:AC56,"tertiair",O27:O56)</f>
        <v>16204.285714285714</v>
      </c>
      <c r="P59" s="615">
        <f ca="1">SUMIF($Z$27:AD56,"tertiair",P27:P56)</f>
        <v>1500</v>
      </c>
      <c r="Q59" s="615">
        <f ca="1">SUMIF($Z$27:AE56,"tertiair",Q27:Q56)</f>
        <v>30908.571428571431</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2085</v>
      </c>
      <c r="N60" s="620">
        <f t="shared" ref="N60:W60" si="4">SUMIF($Z$27:$Z$56,"landbouw",N27:N56)</f>
        <v>9382.5</v>
      </c>
      <c r="O60" s="620">
        <f t="shared" si="4"/>
        <v>13403.571428571429</v>
      </c>
      <c r="P60" s="620">
        <f t="shared" si="4"/>
        <v>0</v>
      </c>
      <c r="Q60" s="620">
        <f t="shared" si="4"/>
        <v>26807.142857142859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617.64705882352939</v>
      </c>
      <c r="C100" s="649">
        <f t="shared" si="9"/>
        <v>23765.294117647059</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882.35294117647061</v>
      </c>
      <c r="C101" s="652">
        <f t="shared" ref="C101:H101" si="10">$B$97*Q57</f>
        <v>33950.420168067234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90498.627151943423</v>
      </c>
      <c r="D10" s="704">
        <f ca="1">tertiair!C16</f>
        <v>16204.285714285714</v>
      </c>
      <c r="E10" s="704">
        <f ca="1">tertiair!D16</f>
        <v>101544.25799522061</v>
      </c>
      <c r="F10" s="704">
        <f>tertiair!E16</f>
        <v>978.07983716259128</v>
      </c>
      <c r="G10" s="704">
        <f ca="1">tertiair!F16</f>
        <v>14802.074242114006</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7.8166666666666664</v>
      </c>
      <c r="Q10" s="705">
        <f>tertiair!P16</f>
        <v>57.2</v>
      </c>
      <c r="R10" s="707">
        <f ca="1">SUM(C10:Q10)</f>
        <v>224092.34160739303</v>
      </c>
      <c r="S10" s="67"/>
    </row>
    <row r="11" spans="1:19" s="459" customFormat="1">
      <c r="A11" s="858" t="s">
        <v>225</v>
      </c>
      <c r="B11" s="863"/>
      <c r="C11" s="704">
        <f>huishoudens!B8</f>
        <v>59441.578839365699</v>
      </c>
      <c r="D11" s="704">
        <f>huishoudens!C8</f>
        <v>0</v>
      </c>
      <c r="E11" s="704">
        <f>huishoudens!D8</f>
        <v>155488.40328221547</v>
      </c>
      <c r="F11" s="704">
        <f>huishoudens!E8</f>
        <v>11168.760326740115</v>
      </c>
      <c r="G11" s="704">
        <f>huishoudens!F8</f>
        <v>22017.285817165994</v>
      </c>
      <c r="H11" s="704">
        <f>huishoudens!G8</f>
        <v>0</v>
      </c>
      <c r="I11" s="704">
        <f>huishoudens!H8</f>
        <v>0</v>
      </c>
      <c r="J11" s="704">
        <f>huishoudens!I8</f>
        <v>0</v>
      </c>
      <c r="K11" s="704">
        <f>huishoudens!J8</f>
        <v>9084.530546788872</v>
      </c>
      <c r="L11" s="704">
        <f>huishoudens!K8</f>
        <v>0</v>
      </c>
      <c r="M11" s="704">
        <f>huishoudens!L8</f>
        <v>0</v>
      </c>
      <c r="N11" s="704">
        <f>huishoudens!M8</f>
        <v>0</v>
      </c>
      <c r="O11" s="704">
        <f>huishoudens!N8</f>
        <v>35057.983776643072</v>
      </c>
      <c r="P11" s="704">
        <f>huishoudens!O8</f>
        <v>517.46333333333337</v>
      </c>
      <c r="Q11" s="705">
        <f>huishoudens!P8</f>
        <v>991.4666666666667</v>
      </c>
      <c r="R11" s="707">
        <f>SUM(C11:Q11)</f>
        <v>293767.47258891922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179672.51522629921</v>
      </c>
      <c r="D13" s="704">
        <f>industrie!C18</f>
        <v>0</v>
      </c>
      <c r="E13" s="704">
        <f>industrie!D18</f>
        <v>254014.21342541836</v>
      </c>
      <c r="F13" s="704">
        <f>industrie!E18</f>
        <v>11603.098750016543</v>
      </c>
      <c r="G13" s="704">
        <f>industrie!F18</f>
        <v>53881.976187240143</v>
      </c>
      <c r="H13" s="704">
        <f>industrie!G18</f>
        <v>0</v>
      </c>
      <c r="I13" s="704">
        <f>industrie!H18</f>
        <v>0</v>
      </c>
      <c r="J13" s="704">
        <f>industrie!I18</f>
        <v>0</v>
      </c>
      <c r="K13" s="704">
        <f>industrie!J18</f>
        <v>234.36347418203385</v>
      </c>
      <c r="L13" s="704">
        <f>industrie!K18</f>
        <v>0</v>
      </c>
      <c r="M13" s="704">
        <f>industrie!L18</f>
        <v>0</v>
      </c>
      <c r="N13" s="704">
        <f>industrie!M18</f>
        <v>0</v>
      </c>
      <c r="O13" s="704">
        <f>industrie!N18</f>
        <v>27139.564158698282</v>
      </c>
      <c r="P13" s="704">
        <f>industrie!O18</f>
        <v>0</v>
      </c>
      <c r="Q13" s="705">
        <f>industrie!P18</f>
        <v>0</v>
      </c>
      <c r="R13" s="707">
        <f>SUM(C13:Q13)</f>
        <v>526545.73122185457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329612.72121760831</v>
      </c>
      <c r="D15" s="709">
        <f t="shared" ref="D15:Q15" ca="1" si="0">SUM(D9:D14)</f>
        <v>16204.285714285714</v>
      </c>
      <c r="E15" s="709">
        <f t="shared" ca="1" si="0"/>
        <v>511046.87470285443</v>
      </c>
      <c r="F15" s="709">
        <f t="shared" si="0"/>
        <v>23749.93891391925</v>
      </c>
      <c r="G15" s="709">
        <f t="shared" ca="1" si="0"/>
        <v>90701.336246520135</v>
      </c>
      <c r="H15" s="709">
        <f t="shared" si="0"/>
        <v>0</v>
      </c>
      <c r="I15" s="709">
        <f t="shared" si="0"/>
        <v>0</v>
      </c>
      <c r="J15" s="709">
        <f t="shared" si="0"/>
        <v>0</v>
      </c>
      <c r="K15" s="709">
        <f t="shared" si="0"/>
        <v>9318.8940209709053</v>
      </c>
      <c r="L15" s="709">
        <f t="shared" si="0"/>
        <v>0</v>
      </c>
      <c r="M15" s="709">
        <f t="shared" ca="1" si="0"/>
        <v>0</v>
      </c>
      <c r="N15" s="709">
        <f t="shared" si="0"/>
        <v>0</v>
      </c>
      <c r="O15" s="709">
        <f t="shared" ca="1" si="0"/>
        <v>62197.547935341354</v>
      </c>
      <c r="P15" s="709">
        <f t="shared" si="0"/>
        <v>525.28000000000009</v>
      </c>
      <c r="Q15" s="710">
        <f t="shared" si="0"/>
        <v>1048.6666666666667</v>
      </c>
      <c r="R15" s="711">
        <f ca="1">SUM(R9:R14)</f>
        <v>1044405.5454181668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3553.3619805507392</v>
      </c>
      <c r="I18" s="704">
        <f>transport!H54</f>
        <v>0</v>
      </c>
      <c r="J18" s="704">
        <f>transport!I54</f>
        <v>0</v>
      </c>
      <c r="K18" s="704">
        <f>transport!J54</f>
        <v>0</v>
      </c>
      <c r="L18" s="704">
        <f>transport!K54</f>
        <v>0</v>
      </c>
      <c r="M18" s="704">
        <f>transport!L54</f>
        <v>0</v>
      </c>
      <c r="N18" s="704">
        <f>transport!M54</f>
        <v>158.02669850135794</v>
      </c>
      <c r="O18" s="704">
        <f>transport!N54</f>
        <v>0</v>
      </c>
      <c r="P18" s="704">
        <f>transport!O54</f>
        <v>0</v>
      </c>
      <c r="Q18" s="705">
        <f>transport!P54</f>
        <v>0</v>
      </c>
      <c r="R18" s="707">
        <f>SUM(C18:Q18)</f>
        <v>3711.3886790520974</v>
      </c>
      <c r="S18" s="67"/>
    </row>
    <row r="19" spans="1:19" s="459" customFormat="1" ht="15" thickBot="1">
      <c r="A19" s="858" t="s">
        <v>307</v>
      </c>
      <c r="B19" s="863"/>
      <c r="C19" s="713">
        <f>transport!B14</f>
        <v>12.325782583574977</v>
      </c>
      <c r="D19" s="713">
        <f>transport!C14</f>
        <v>0</v>
      </c>
      <c r="E19" s="713">
        <f>transport!D14</f>
        <v>19.813903816920462</v>
      </c>
      <c r="F19" s="713">
        <f>transport!E14</f>
        <v>614.32217114103696</v>
      </c>
      <c r="G19" s="713">
        <f>transport!F14</f>
        <v>0</v>
      </c>
      <c r="H19" s="713">
        <f>transport!G14</f>
        <v>181229.87551862263</v>
      </c>
      <c r="I19" s="713">
        <f>transport!H14</f>
        <v>29755.529403548389</v>
      </c>
      <c r="J19" s="713">
        <f>transport!I14</f>
        <v>0</v>
      </c>
      <c r="K19" s="713">
        <f>transport!J14</f>
        <v>0</v>
      </c>
      <c r="L19" s="713">
        <f>transport!K14</f>
        <v>0</v>
      </c>
      <c r="M19" s="713">
        <f>transport!L14</f>
        <v>0</v>
      </c>
      <c r="N19" s="713">
        <f>transport!M14</f>
        <v>9536.3466992707527</v>
      </c>
      <c r="O19" s="713">
        <f>transport!N14</f>
        <v>0</v>
      </c>
      <c r="P19" s="713">
        <f>transport!O14</f>
        <v>0</v>
      </c>
      <c r="Q19" s="714">
        <f>transport!P14</f>
        <v>0</v>
      </c>
      <c r="R19" s="715">
        <f>SUM(C19:Q19)</f>
        <v>221168.21347898329</v>
      </c>
      <c r="S19" s="67"/>
    </row>
    <row r="20" spans="1:19" s="459" customFormat="1" ht="15.75" thickBot="1">
      <c r="A20" s="716" t="s">
        <v>230</v>
      </c>
      <c r="B20" s="866"/>
      <c r="C20" s="861">
        <f>SUM(C17:C19)</f>
        <v>12.325782583574977</v>
      </c>
      <c r="D20" s="717">
        <f t="shared" ref="D20:R20" si="1">SUM(D17:D19)</f>
        <v>0</v>
      </c>
      <c r="E20" s="717">
        <f t="shared" si="1"/>
        <v>19.813903816920462</v>
      </c>
      <c r="F20" s="717">
        <f t="shared" si="1"/>
        <v>614.32217114103696</v>
      </c>
      <c r="G20" s="717">
        <f t="shared" si="1"/>
        <v>0</v>
      </c>
      <c r="H20" s="717">
        <f t="shared" si="1"/>
        <v>184783.23749917338</v>
      </c>
      <c r="I20" s="717">
        <f t="shared" si="1"/>
        <v>29755.529403548389</v>
      </c>
      <c r="J20" s="717">
        <f t="shared" si="1"/>
        <v>0</v>
      </c>
      <c r="K20" s="717">
        <f t="shared" si="1"/>
        <v>0</v>
      </c>
      <c r="L20" s="717">
        <f t="shared" si="1"/>
        <v>0</v>
      </c>
      <c r="M20" s="717">
        <f t="shared" si="1"/>
        <v>0</v>
      </c>
      <c r="N20" s="717">
        <f t="shared" si="1"/>
        <v>9694.3733977721113</v>
      </c>
      <c r="O20" s="717">
        <f t="shared" si="1"/>
        <v>0</v>
      </c>
      <c r="P20" s="717">
        <f t="shared" si="1"/>
        <v>0</v>
      </c>
      <c r="Q20" s="718">
        <f t="shared" si="1"/>
        <v>0</v>
      </c>
      <c r="R20" s="719">
        <f t="shared" si="1"/>
        <v>224879.60215803538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9551.5057585717495</v>
      </c>
      <c r="D22" s="713">
        <f>+landbouw!C8</f>
        <v>13403.571428571429</v>
      </c>
      <c r="E22" s="713">
        <f>+landbouw!D8</f>
        <v>7507.6802636555431</v>
      </c>
      <c r="F22" s="713">
        <f>+landbouw!E8</f>
        <v>120.36127739924848</v>
      </c>
      <c r="G22" s="713">
        <f>+landbouw!F8</f>
        <v>32955.087662240432</v>
      </c>
      <c r="H22" s="713">
        <f>+landbouw!G8</f>
        <v>0</v>
      </c>
      <c r="I22" s="713">
        <f>+landbouw!H8</f>
        <v>0</v>
      </c>
      <c r="J22" s="713">
        <f>+landbouw!I8</f>
        <v>0</v>
      </c>
      <c r="K22" s="713">
        <f>+landbouw!J8</f>
        <v>1436.4378884037908</v>
      </c>
      <c r="L22" s="713">
        <f>+landbouw!K8</f>
        <v>0</v>
      </c>
      <c r="M22" s="713">
        <f>+landbouw!L8</f>
        <v>0</v>
      </c>
      <c r="N22" s="713">
        <f>+landbouw!M8</f>
        <v>0</v>
      </c>
      <c r="O22" s="713">
        <f>+landbouw!N8</f>
        <v>0</v>
      </c>
      <c r="P22" s="713">
        <f>+landbouw!O8</f>
        <v>0</v>
      </c>
      <c r="Q22" s="714">
        <f>+landbouw!P8</f>
        <v>0</v>
      </c>
      <c r="R22" s="715">
        <f>SUM(C22:Q22)</f>
        <v>64974.644278842199</v>
      </c>
      <c r="S22" s="67"/>
    </row>
    <row r="23" spans="1:19" s="459" customFormat="1" ht="17.25" thickTop="1" thickBot="1">
      <c r="A23" s="720" t="s">
        <v>116</v>
      </c>
      <c r="B23" s="852"/>
      <c r="C23" s="721">
        <f ca="1">C20+C15+C22</f>
        <v>339176.5527587636</v>
      </c>
      <c r="D23" s="721">
        <f t="shared" ref="D23:Q23" ca="1" si="2">D20+D15+D22</f>
        <v>29607.857142857145</v>
      </c>
      <c r="E23" s="721">
        <f t="shared" ca="1" si="2"/>
        <v>518574.3688703269</v>
      </c>
      <c r="F23" s="721">
        <f t="shared" si="2"/>
        <v>24484.622362459537</v>
      </c>
      <c r="G23" s="721">
        <f t="shared" ca="1" si="2"/>
        <v>123656.42390876057</v>
      </c>
      <c r="H23" s="721">
        <f t="shared" si="2"/>
        <v>184783.23749917338</v>
      </c>
      <c r="I23" s="721">
        <f t="shared" si="2"/>
        <v>29755.529403548389</v>
      </c>
      <c r="J23" s="721">
        <f t="shared" si="2"/>
        <v>0</v>
      </c>
      <c r="K23" s="721">
        <f t="shared" si="2"/>
        <v>10755.331909374696</v>
      </c>
      <c r="L23" s="721">
        <f t="shared" si="2"/>
        <v>0</v>
      </c>
      <c r="M23" s="721">
        <f t="shared" ca="1" si="2"/>
        <v>0</v>
      </c>
      <c r="N23" s="721">
        <f t="shared" si="2"/>
        <v>9694.3733977721113</v>
      </c>
      <c r="O23" s="721">
        <f t="shared" ca="1" si="2"/>
        <v>62197.547935341354</v>
      </c>
      <c r="P23" s="721">
        <f t="shared" si="2"/>
        <v>525.28000000000009</v>
      </c>
      <c r="Q23" s="722">
        <f t="shared" si="2"/>
        <v>1048.6666666666667</v>
      </c>
      <c r="R23" s="723">
        <f ca="1">R20+R15+R22</f>
        <v>1334259.7918550444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15730.700458428966</v>
      </c>
      <c r="D36" s="704">
        <f ca="1">tertiair!C20</f>
        <v>97.547607593373883</v>
      </c>
      <c r="E36" s="704">
        <f ca="1">tertiair!D20</f>
        <v>20511.940115034566</v>
      </c>
      <c r="F36" s="704">
        <f>tertiair!E20</f>
        <v>222.02412303590822</v>
      </c>
      <c r="G36" s="704">
        <f ca="1">tertiair!F20</f>
        <v>3952.15382264444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40514.366126737252</v>
      </c>
    </row>
    <row r="37" spans="1:18">
      <c r="A37" s="873" t="s">
        <v>225</v>
      </c>
      <c r="B37" s="880"/>
      <c r="C37" s="704">
        <f ca="1">huishoudens!B12</f>
        <v>10332.285703386733</v>
      </c>
      <c r="D37" s="704">
        <f ca="1">huishoudens!C12</f>
        <v>0</v>
      </c>
      <c r="E37" s="704">
        <f>huishoudens!D12</f>
        <v>31408.657463007527</v>
      </c>
      <c r="F37" s="704">
        <f>huishoudens!E12</f>
        <v>2535.3085941700065</v>
      </c>
      <c r="G37" s="704">
        <f>huishoudens!F12</f>
        <v>5878.6153131833207</v>
      </c>
      <c r="H37" s="704">
        <f>huishoudens!G12</f>
        <v>0</v>
      </c>
      <c r="I37" s="704">
        <f>huishoudens!H12</f>
        <v>0</v>
      </c>
      <c r="J37" s="704">
        <f>huishoudens!I12</f>
        <v>0</v>
      </c>
      <c r="K37" s="704">
        <f>huishoudens!J12</f>
        <v>3215.9238135632604</v>
      </c>
      <c r="L37" s="704">
        <f>huishoudens!K12</f>
        <v>0</v>
      </c>
      <c r="M37" s="704">
        <f>huishoudens!L12</f>
        <v>0</v>
      </c>
      <c r="N37" s="704">
        <f>huishoudens!M12</f>
        <v>0</v>
      </c>
      <c r="O37" s="704">
        <f>huishoudens!N12</f>
        <v>0</v>
      </c>
      <c r="P37" s="704">
        <f>huishoudens!O12</f>
        <v>0</v>
      </c>
      <c r="Q37" s="814">
        <f>huishoudens!P12</f>
        <v>0</v>
      </c>
      <c r="R37" s="905">
        <f ca="1">SUM(C37:Q37)</f>
        <v>53370.790887310846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31231.131416966859</v>
      </c>
      <c r="D39" s="704">
        <f ca="1">industrie!C22</f>
        <v>0</v>
      </c>
      <c r="E39" s="704">
        <f>industrie!D22</f>
        <v>51310.87111193451</v>
      </c>
      <c r="F39" s="704">
        <f>industrie!E22</f>
        <v>2633.9034162537555</v>
      </c>
      <c r="G39" s="704">
        <f>industrie!F22</f>
        <v>14386.487641993119</v>
      </c>
      <c r="H39" s="704">
        <f>industrie!G22</f>
        <v>0</v>
      </c>
      <c r="I39" s="704">
        <f>industrie!H22</f>
        <v>0</v>
      </c>
      <c r="J39" s="704">
        <f>industrie!I22</f>
        <v>0</v>
      </c>
      <c r="K39" s="704">
        <f>industrie!J22</f>
        <v>82.964669860439983</v>
      </c>
      <c r="L39" s="704">
        <f>industrie!K22</f>
        <v>0</v>
      </c>
      <c r="M39" s="704">
        <f>industrie!L22</f>
        <v>0</v>
      </c>
      <c r="N39" s="704">
        <f>industrie!M22</f>
        <v>0</v>
      </c>
      <c r="O39" s="704">
        <f>industrie!N22</f>
        <v>0</v>
      </c>
      <c r="P39" s="704">
        <f>industrie!O22</f>
        <v>0</v>
      </c>
      <c r="Q39" s="814">
        <f>industrie!P22</f>
        <v>0</v>
      </c>
      <c r="R39" s="906">
        <f ca="1">SUM(C39:Q39)</f>
        <v>99645.358257008687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57294.117578782563</v>
      </c>
      <c r="D41" s="749">
        <f t="shared" ref="D41:R41" ca="1" si="4">SUM(D35:D40)</f>
        <v>97.547607593373883</v>
      </c>
      <c r="E41" s="749">
        <f t="shared" ca="1" si="4"/>
        <v>103231.46868997661</v>
      </c>
      <c r="F41" s="749">
        <f t="shared" si="4"/>
        <v>5391.2361334596699</v>
      </c>
      <c r="G41" s="749">
        <f t="shared" ca="1" si="4"/>
        <v>24217.25677782088</v>
      </c>
      <c r="H41" s="749">
        <f t="shared" si="4"/>
        <v>0</v>
      </c>
      <c r="I41" s="749">
        <f t="shared" si="4"/>
        <v>0</v>
      </c>
      <c r="J41" s="749">
        <f t="shared" si="4"/>
        <v>0</v>
      </c>
      <c r="K41" s="749">
        <f t="shared" si="4"/>
        <v>3298.8884834237006</v>
      </c>
      <c r="L41" s="749">
        <f t="shared" si="4"/>
        <v>0</v>
      </c>
      <c r="M41" s="749">
        <f t="shared" ca="1" si="4"/>
        <v>0</v>
      </c>
      <c r="N41" s="749">
        <f t="shared" si="4"/>
        <v>0</v>
      </c>
      <c r="O41" s="749">
        <f t="shared" ca="1" si="4"/>
        <v>0</v>
      </c>
      <c r="P41" s="749">
        <f t="shared" si="4"/>
        <v>0</v>
      </c>
      <c r="Q41" s="750">
        <f t="shared" si="4"/>
        <v>0</v>
      </c>
      <c r="R41" s="751">
        <f t="shared" ca="1" si="4"/>
        <v>193530.51527105679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948.74764880704743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948.74764880704743</v>
      </c>
    </row>
    <row r="45" spans="1:18" ht="15" thickBot="1">
      <c r="A45" s="876" t="s">
        <v>307</v>
      </c>
      <c r="B45" s="886"/>
      <c r="C45" s="713">
        <f ca="1">transport!B18</f>
        <v>2.1424987299796281</v>
      </c>
      <c r="D45" s="713">
        <f>transport!C18</f>
        <v>0</v>
      </c>
      <c r="E45" s="713">
        <f>transport!D18</f>
        <v>4.0024085710179333</v>
      </c>
      <c r="F45" s="713">
        <f>transport!E18</f>
        <v>139.45113284901541</v>
      </c>
      <c r="G45" s="713">
        <f>transport!F18</f>
        <v>0</v>
      </c>
      <c r="H45" s="713">
        <f>transport!G18</f>
        <v>48388.376763472246</v>
      </c>
      <c r="I45" s="713">
        <f>transport!H18</f>
        <v>7409.1268214835491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55943.09962510581</v>
      </c>
    </row>
    <row r="46" spans="1:18" ht="15.75" thickBot="1">
      <c r="A46" s="874" t="s">
        <v>230</v>
      </c>
      <c r="B46" s="887"/>
      <c r="C46" s="749">
        <f t="shared" ref="C46:R46" ca="1" si="5">SUM(C43:C45)</f>
        <v>2.1424987299796281</v>
      </c>
      <c r="D46" s="749">
        <f t="shared" ca="1" si="5"/>
        <v>0</v>
      </c>
      <c r="E46" s="749">
        <f t="shared" si="5"/>
        <v>4.0024085710179333</v>
      </c>
      <c r="F46" s="749">
        <f t="shared" si="5"/>
        <v>139.45113284901541</v>
      </c>
      <c r="G46" s="749">
        <f t="shared" si="5"/>
        <v>0</v>
      </c>
      <c r="H46" s="749">
        <f t="shared" si="5"/>
        <v>49337.124412279292</v>
      </c>
      <c r="I46" s="749">
        <f t="shared" si="5"/>
        <v>7409.1268214835491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56891.847273912856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1660.2669094944931</v>
      </c>
      <c r="D48" s="704">
        <f ca="1">+landbouw!C12</f>
        <v>80.687686524273175</v>
      </c>
      <c r="E48" s="704">
        <f>+landbouw!D12</f>
        <v>1516.5514132584199</v>
      </c>
      <c r="F48" s="704">
        <f>+landbouw!E12</f>
        <v>27.322009969629406</v>
      </c>
      <c r="G48" s="704">
        <f>+landbouw!F12</f>
        <v>8799.0084058181965</v>
      </c>
      <c r="H48" s="704">
        <f>+landbouw!G12</f>
        <v>0</v>
      </c>
      <c r="I48" s="704">
        <f>+landbouw!H12</f>
        <v>0</v>
      </c>
      <c r="J48" s="704">
        <f>+landbouw!I12</f>
        <v>0</v>
      </c>
      <c r="K48" s="704">
        <f>+landbouw!J12</f>
        <v>508.49901249494189</v>
      </c>
      <c r="L48" s="704">
        <f>+landbouw!K12</f>
        <v>0</v>
      </c>
      <c r="M48" s="704">
        <f>+landbouw!L12</f>
        <v>0</v>
      </c>
      <c r="N48" s="704">
        <f>+landbouw!M12</f>
        <v>0</v>
      </c>
      <c r="O48" s="704">
        <f>+landbouw!N12</f>
        <v>0</v>
      </c>
      <c r="P48" s="704">
        <f>+landbouw!O12</f>
        <v>0</v>
      </c>
      <c r="Q48" s="705">
        <f>+landbouw!P12</f>
        <v>0</v>
      </c>
      <c r="R48" s="747">
        <f ca="1">SUM(C48:Q48)</f>
        <v>12592.335437559954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58956.526987007033</v>
      </c>
      <c r="D53" s="759">
        <f t="shared" ref="D53:Q53" ca="1" si="6">D41+D46+D48</f>
        <v>178.23529411764707</v>
      </c>
      <c r="E53" s="759">
        <f t="shared" ca="1" si="6"/>
        <v>104752.02251180605</v>
      </c>
      <c r="F53" s="759">
        <f t="shared" si="6"/>
        <v>5558.0092762783142</v>
      </c>
      <c r="G53" s="759">
        <f t="shared" ca="1" si="6"/>
        <v>33016.265183639072</v>
      </c>
      <c r="H53" s="759">
        <f t="shared" si="6"/>
        <v>49337.124412279292</v>
      </c>
      <c r="I53" s="759">
        <f t="shared" si="6"/>
        <v>7409.1268214835491</v>
      </c>
      <c r="J53" s="759">
        <f t="shared" si="6"/>
        <v>0</v>
      </c>
      <c r="K53" s="759">
        <f t="shared" si="6"/>
        <v>3807.3874959186423</v>
      </c>
      <c r="L53" s="759">
        <f t="shared" si="6"/>
        <v>0</v>
      </c>
      <c r="M53" s="759">
        <f t="shared" ca="1" si="6"/>
        <v>0</v>
      </c>
      <c r="N53" s="759">
        <f t="shared" si="6"/>
        <v>0</v>
      </c>
      <c r="O53" s="759">
        <f t="shared" ca="1" si="6"/>
        <v>0</v>
      </c>
      <c r="P53" s="759">
        <f>P41+P46+P48</f>
        <v>0</v>
      </c>
      <c r="Q53" s="760">
        <f t="shared" si="6"/>
        <v>0</v>
      </c>
      <c r="R53" s="761">
        <f ca="1">R41+R46+R48</f>
        <v>263014.69798252959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0.1738225313851201</v>
      </c>
      <c r="D55" s="824">
        <f t="shared" ca="1" si="7"/>
        <v>6.0198647020507558E-3</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38091.199244808173</v>
      </c>
      <c r="C64" s="781">
        <f>'lokale energieproductie'!B4</f>
        <v>38091.199244808173</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14152.784368594952</v>
      </c>
      <c r="C66" s="781">
        <f>'lokale energieproductie'!B6</f>
        <v>14152.784368594952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20725.5</v>
      </c>
      <c r="C67" s="780">
        <f>B67*IFERROR(SUM(J67:L67)/SUM(D67:M67),0)</f>
        <v>20200.500000000004</v>
      </c>
      <c r="D67" s="812">
        <f>'lokale energieproductie'!C7</f>
        <v>617.64705882352939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23765.294117647059</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124.76470588235294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72969.483613403121</v>
      </c>
      <c r="C69" s="789">
        <f>SUM(C64:C68)</f>
        <v>72444.483613403121</v>
      </c>
      <c r="D69" s="790">
        <f t="shared" ref="D69:M69" si="8">SUM(D67:D68)</f>
        <v>617.64705882352939</v>
      </c>
      <c r="E69" s="790">
        <f t="shared" si="8"/>
        <v>0</v>
      </c>
      <c r="F69" s="790">
        <f t="shared" si="8"/>
        <v>0</v>
      </c>
      <c r="G69" s="790">
        <f t="shared" si="8"/>
        <v>0</v>
      </c>
      <c r="H69" s="790">
        <f t="shared" si="8"/>
        <v>0</v>
      </c>
      <c r="I69" s="790">
        <f t="shared" si="8"/>
        <v>0</v>
      </c>
      <c r="J69" s="790">
        <f t="shared" si="8"/>
        <v>0</v>
      </c>
      <c r="K69" s="790">
        <f t="shared" si="8"/>
        <v>23765.294117647059</v>
      </c>
      <c r="L69" s="790">
        <f t="shared" si="8"/>
        <v>0</v>
      </c>
      <c r="M69" s="918">
        <f t="shared" si="8"/>
        <v>0</v>
      </c>
      <c r="N69" s="791">
        <v>0</v>
      </c>
      <c r="O69" s="791">
        <f>SUM(O67:O68)</f>
        <v>124.76470588235294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29607.857142857145</v>
      </c>
      <c r="C78" s="803">
        <f>B78*IFERROR(SUM(I78:L78)/SUM(D78:M78),0)</f>
        <v>28857.857142857149</v>
      </c>
      <c r="D78" s="818">
        <f>'lokale energieproductie'!C16</f>
        <v>882.35294117647061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33950.420168067234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178.23529411764707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29607.857142857145</v>
      </c>
      <c r="C81" s="789">
        <f>SUM(C78:C80)</f>
        <v>28857.857142857149</v>
      </c>
      <c r="D81" s="789">
        <f t="shared" ref="D81:P81" si="9">SUM(D78:D80)</f>
        <v>882.35294117647061</v>
      </c>
      <c r="E81" s="789">
        <f t="shared" si="9"/>
        <v>0</v>
      </c>
      <c r="F81" s="789">
        <f t="shared" si="9"/>
        <v>0</v>
      </c>
      <c r="G81" s="789">
        <f t="shared" si="9"/>
        <v>0</v>
      </c>
      <c r="H81" s="789">
        <f t="shared" si="9"/>
        <v>0</v>
      </c>
      <c r="I81" s="789">
        <f t="shared" si="9"/>
        <v>0</v>
      </c>
      <c r="J81" s="789">
        <f t="shared" si="9"/>
        <v>0</v>
      </c>
      <c r="K81" s="789">
        <f t="shared" si="9"/>
        <v>33950.420168067234</v>
      </c>
      <c r="L81" s="789">
        <f t="shared" si="9"/>
        <v>0</v>
      </c>
      <c r="M81" s="789">
        <f t="shared" si="9"/>
        <v>0</v>
      </c>
      <c r="N81" s="789">
        <v>0</v>
      </c>
      <c r="O81" s="789">
        <f>SUM(O78:O80)</f>
        <v>178.23529411764707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59441.578839365699</v>
      </c>
      <c r="C4" s="463">
        <f>huishoudens!C8</f>
        <v>0</v>
      </c>
      <c r="D4" s="463">
        <f>huishoudens!D8</f>
        <v>155488.40328221547</v>
      </c>
      <c r="E4" s="463">
        <f>huishoudens!E8</f>
        <v>11168.760326740115</v>
      </c>
      <c r="F4" s="463">
        <f>huishoudens!F8</f>
        <v>22017.285817165994</v>
      </c>
      <c r="G4" s="463">
        <f>huishoudens!G8</f>
        <v>0</v>
      </c>
      <c r="H4" s="463">
        <f>huishoudens!H8</f>
        <v>0</v>
      </c>
      <c r="I4" s="463">
        <f>huishoudens!I8</f>
        <v>0</v>
      </c>
      <c r="J4" s="463">
        <f>huishoudens!J8</f>
        <v>9084.530546788872</v>
      </c>
      <c r="K4" s="463">
        <f>huishoudens!K8</f>
        <v>0</v>
      </c>
      <c r="L4" s="463">
        <f>huishoudens!L8</f>
        <v>0</v>
      </c>
      <c r="M4" s="463">
        <f>huishoudens!M8</f>
        <v>0</v>
      </c>
      <c r="N4" s="463">
        <f>huishoudens!N8</f>
        <v>35057.983776643072</v>
      </c>
      <c r="O4" s="463">
        <f>huishoudens!O8</f>
        <v>517.46333333333337</v>
      </c>
      <c r="P4" s="464">
        <f>huishoudens!P8</f>
        <v>991.4666666666667</v>
      </c>
      <c r="Q4" s="465">
        <f>SUM(B4:P4)</f>
        <v>293767.47258891922</v>
      </c>
    </row>
    <row r="5" spans="1:17">
      <c r="A5" s="462" t="s">
        <v>156</v>
      </c>
      <c r="B5" s="463">
        <f ca="1">tertiair!B16</f>
        <v>87160.056151943427</v>
      </c>
      <c r="C5" s="463">
        <f ca="1">tertiair!C16</f>
        <v>16204.285714285714</v>
      </c>
      <c r="D5" s="463">
        <f ca="1">tertiair!D16</f>
        <v>101544.25799522061</v>
      </c>
      <c r="E5" s="463">
        <f>tertiair!E16</f>
        <v>978.07983716259128</v>
      </c>
      <c r="F5" s="463">
        <f ca="1">tertiair!F16</f>
        <v>14802.074242114006</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7.8166666666666664</v>
      </c>
      <c r="P5" s="464">
        <f>tertiair!P16</f>
        <v>57.2</v>
      </c>
      <c r="Q5" s="462">
        <f t="shared" ref="Q5:Q13" ca="1" si="0">SUM(B5:P5)</f>
        <v>220753.77060739303</v>
      </c>
    </row>
    <row r="6" spans="1:17">
      <c r="A6" s="462" t="s">
        <v>194</v>
      </c>
      <c r="B6" s="463">
        <f>'openbare verlichting'!B8</f>
        <v>3338.5709999999999</v>
      </c>
      <c r="C6" s="463"/>
      <c r="D6" s="463"/>
      <c r="E6" s="463"/>
      <c r="F6" s="463"/>
      <c r="G6" s="463"/>
      <c r="H6" s="463"/>
      <c r="I6" s="463"/>
      <c r="J6" s="463"/>
      <c r="K6" s="463"/>
      <c r="L6" s="463"/>
      <c r="M6" s="463"/>
      <c r="N6" s="463"/>
      <c r="O6" s="463"/>
      <c r="P6" s="464"/>
      <c r="Q6" s="462">
        <f t="shared" si="0"/>
        <v>3338.5709999999999</v>
      </c>
    </row>
    <row r="7" spans="1:17">
      <c r="A7" s="462" t="s">
        <v>112</v>
      </c>
      <c r="B7" s="463">
        <f>landbouw!B8</f>
        <v>9551.5057585717495</v>
      </c>
      <c r="C7" s="463">
        <f>landbouw!C8</f>
        <v>13403.571428571429</v>
      </c>
      <c r="D7" s="463">
        <f>landbouw!D8</f>
        <v>7507.6802636555431</v>
      </c>
      <c r="E7" s="463">
        <f>landbouw!E8</f>
        <v>120.36127739924848</v>
      </c>
      <c r="F7" s="463">
        <f>landbouw!F8</f>
        <v>32955.087662240432</v>
      </c>
      <c r="G7" s="463">
        <f>landbouw!G8</f>
        <v>0</v>
      </c>
      <c r="H7" s="463">
        <f>landbouw!H8</f>
        <v>0</v>
      </c>
      <c r="I7" s="463">
        <f>landbouw!I8</f>
        <v>0</v>
      </c>
      <c r="J7" s="463">
        <f>landbouw!J8</f>
        <v>1436.4378884037908</v>
      </c>
      <c r="K7" s="463">
        <f>landbouw!K8</f>
        <v>0</v>
      </c>
      <c r="L7" s="463">
        <f>landbouw!L8</f>
        <v>0</v>
      </c>
      <c r="M7" s="463">
        <f>landbouw!M8</f>
        <v>0</v>
      </c>
      <c r="N7" s="463">
        <f>landbouw!N8</f>
        <v>0</v>
      </c>
      <c r="O7" s="463">
        <f>landbouw!O8</f>
        <v>0</v>
      </c>
      <c r="P7" s="464">
        <f>landbouw!P8</f>
        <v>0</v>
      </c>
      <c r="Q7" s="462">
        <f t="shared" si="0"/>
        <v>64974.644278842199</v>
      </c>
    </row>
    <row r="8" spans="1:17">
      <c r="A8" s="462" t="s">
        <v>657</v>
      </c>
      <c r="B8" s="463">
        <f>industrie!B18</f>
        <v>179672.51522629921</v>
      </c>
      <c r="C8" s="463">
        <f>industrie!C18</f>
        <v>0</v>
      </c>
      <c r="D8" s="463">
        <f>industrie!D18</f>
        <v>254014.21342541836</v>
      </c>
      <c r="E8" s="463">
        <f>industrie!E18</f>
        <v>11603.098750016543</v>
      </c>
      <c r="F8" s="463">
        <f>industrie!F18</f>
        <v>53881.976187240143</v>
      </c>
      <c r="G8" s="463">
        <f>industrie!G18</f>
        <v>0</v>
      </c>
      <c r="H8" s="463">
        <f>industrie!H18</f>
        <v>0</v>
      </c>
      <c r="I8" s="463">
        <f>industrie!I18</f>
        <v>0</v>
      </c>
      <c r="J8" s="463">
        <f>industrie!J18</f>
        <v>234.36347418203385</v>
      </c>
      <c r="K8" s="463">
        <f>industrie!K18</f>
        <v>0</v>
      </c>
      <c r="L8" s="463">
        <f>industrie!L18</f>
        <v>0</v>
      </c>
      <c r="M8" s="463">
        <f>industrie!M18</f>
        <v>0</v>
      </c>
      <c r="N8" s="463">
        <f>industrie!N18</f>
        <v>27139.564158698282</v>
      </c>
      <c r="O8" s="463">
        <f>industrie!O18</f>
        <v>0</v>
      </c>
      <c r="P8" s="464">
        <f>industrie!P18</f>
        <v>0</v>
      </c>
      <c r="Q8" s="462">
        <f t="shared" si="0"/>
        <v>526545.73122185457</v>
      </c>
    </row>
    <row r="9" spans="1:17" s="468" customFormat="1">
      <c r="A9" s="466" t="s">
        <v>574</v>
      </c>
      <c r="B9" s="467">
        <f>transport!B14</f>
        <v>12.325782583574977</v>
      </c>
      <c r="C9" s="467"/>
      <c r="D9" s="467">
        <f>transport!D14</f>
        <v>19.813903816920462</v>
      </c>
      <c r="E9" s="467">
        <f>transport!E14</f>
        <v>614.32217114103696</v>
      </c>
      <c r="F9" s="467"/>
      <c r="G9" s="467">
        <f>transport!G14</f>
        <v>181229.87551862263</v>
      </c>
      <c r="H9" s="467">
        <f>transport!H14</f>
        <v>29755.529403548389</v>
      </c>
      <c r="I9" s="467"/>
      <c r="J9" s="467"/>
      <c r="K9" s="467"/>
      <c r="L9" s="467"/>
      <c r="M9" s="467">
        <f>transport!M14</f>
        <v>9536.3466992707527</v>
      </c>
      <c r="N9" s="467"/>
      <c r="O9" s="467"/>
      <c r="P9" s="467"/>
      <c r="Q9" s="466">
        <f>SUM(B9:P9)</f>
        <v>221168.21347898329</v>
      </c>
    </row>
    <row r="10" spans="1:17">
      <c r="A10" s="462" t="s">
        <v>564</v>
      </c>
      <c r="B10" s="463">
        <f>transport!B54</f>
        <v>0</v>
      </c>
      <c r="C10" s="463"/>
      <c r="D10" s="463">
        <f>transport!D54</f>
        <v>0</v>
      </c>
      <c r="E10" s="463"/>
      <c r="F10" s="463"/>
      <c r="G10" s="463">
        <f>transport!G54</f>
        <v>3553.3619805507392</v>
      </c>
      <c r="H10" s="463"/>
      <c r="I10" s="463"/>
      <c r="J10" s="463"/>
      <c r="K10" s="463"/>
      <c r="L10" s="463"/>
      <c r="M10" s="463">
        <f>transport!M54</f>
        <v>158.02669850135794</v>
      </c>
      <c r="N10" s="463"/>
      <c r="O10" s="463"/>
      <c r="P10" s="464"/>
      <c r="Q10" s="462">
        <f t="shared" si="0"/>
        <v>3711.3886790520974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339176.55275876366</v>
      </c>
      <c r="C14" s="473">
        <f t="shared" ref="C14:Q14" ca="1" si="1">SUM(C4:C13)</f>
        <v>29607.857142857145</v>
      </c>
      <c r="D14" s="473">
        <f t="shared" ca="1" si="1"/>
        <v>518574.3688703269</v>
      </c>
      <c r="E14" s="473">
        <f t="shared" si="1"/>
        <v>24484.622362459537</v>
      </c>
      <c r="F14" s="473">
        <f t="shared" ca="1" si="1"/>
        <v>123656.42390876058</v>
      </c>
      <c r="G14" s="473">
        <f t="shared" si="1"/>
        <v>184783.23749917338</v>
      </c>
      <c r="H14" s="473">
        <f t="shared" si="1"/>
        <v>29755.529403548389</v>
      </c>
      <c r="I14" s="473">
        <f t="shared" si="1"/>
        <v>0</v>
      </c>
      <c r="J14" s="473">
        <f t="shared" si="1"/>
        <v>10755.331909374696</v>
      </c>
      <c r="K14" s="473">
        <f t="shared" si="1"/>
        <v>0</v>
      </c>
      <c r="L14" s="473">
        <f t="shared" ca="1" si="1"/>
        <v>0</v>
      </c>
      <c r="M14" s="473">
        <f t="shared" si="1"/>
        <v>9694.3733977721113</v>
      </c>
      <c r="N14" s="473">
        <f t="shared" ca="1" si="1"/>
        <v>62197.547935341354</v>
      </c>
      <c r="O14" s="473">
        <f t="shared" si="1"/>
        <v>525.28000000000009</v>
      </c>
      <c r="P14" s="474">
        <f t="shared" si="1"/>
        <v>1048.6666666666667</v>
      </c>
      <c r="Q14" s="474">
        <f t="shared" ca="1" si="1"/>
        <v>1334259.7918550444</v>
      </c>
    </row>
    <row r="16" spans="1:17">
      <c r="A16" s="476" t="s">
        <v>569</v>
      </c>
      <c r="B16" s="829">
        <f ca="1">huishoudens!B10</f>
        <v>0.17382253138512008</v>
      </c>
      <c r="C16" s="829">
        <f ca="1">huishoudens!C10</f>
        <v>6.0198647020507558E-3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10332.285703386733</v>
      </c>
      <c r="C21" s="463">
        <f t="shared" ref="C21:C28" ca="1" si="3">C4*$C$16</f>
        <v>0</v>
      </c>
      <c r="D21" s="463">
        <f t="shared" ref="D21:D30" si="4">D4*$D$16</f>
        <v>31408.657463007527</v>
      </c>
      <c r="E21" s="463">
        <f t="shared" ref="E21:E30" si="5">E4*$E$16</f>
        <v>2535.3085941700065</v>
      </c>
      <c r="F21" s="463">
        <f t="shared" ref="F21:F28" si="6">F4*$F$16</f>
        <v>5878.6153131833207</v>
      </c>
      <c r="G21" s="463">
        <f t="shared" ref="G21:G30" si="7">G4*$G$16</f>
        <v>0</v>
      </c>
      <c r="H21" s="463">
        <f t="shared" ref="H21:H30" si="8">H4*$H$16</f>
        <v>0</v>
      </c>
      <c r="I21" s="463">
        <f t="shared" ref="I21:I28" si="9">I4*$I$16</f>
        <v>0</v>
      </c>
      <c r="J21" s="463">
        <f t="shared" ref="J21:J28" si="10">J4*$J$16</f>
        <v>3215.9238135632604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53370.790887310846</v>
      </c>
    </row>
    <row r="22" spans="1:17">
      <c r="A22" s="462" t="s">
        <v>156</v>
      </c>
      <c r="B22" s="463">
        <f t="shared" ca="1" si="2"/>
        <v>15150.381596000014</v>
      </c>
      <c r="C22" s="463">
        <f t="shared" ca="1" si="3"/>
        <v>97.547607593373883</v>
      </c>
      <c r="D22" s="463">
        <f t="shared" ca="1" si="4"/>
        <v>20511.940115034566</v>
      </c>
      <c r="E22" s="463">
        <f t="shared" si="5"/>
        <v>222.02412303590822</v>
      </c>
      <c r="F22" s="463">
        <f t="shared" ca="1" si="6"/>
        <v>3952.15382264444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39934.047264308305</v>
      </c>
    </row>
    <row r="23" spans="1:17">
      <c r="A23" s="462" t="s">
        <v>194</v>
      </c>
      <c r="B23" s="463">
        <f t="shared" ca="1" si="2"/>
        <v>580.31886242895166</v>
      </c>
      <c r="C23" s="463"/>
      <c r="D23" s="463"/>
      <c r="E23" s="463"/>
      <c r="F23" s="463"/>
      <c r="G23" s="463"/>
      <c r="H23" s="463"/>
      <c r="I23" s="463"/>
      <c r="J23" s="463"/>
      <c r="K23" s="463"/>
      <c r="L23" s="463"/>
      <c r="M23" s="463"/>
      <c r="N23" s="463"/>
      <c r="O23" s="463"/>
      <c r="P23" s="464"/>
      <c r="Q23" s="462">
        <f t="shared" ca="1" si="17"/>
        <v>580.31886242895166</v>
      </c>
    </row>
    <row r="24" spans="1:17">
      <c r="A24" s="462" t="s">
        <v>112</v>
      </c>
      <c r="B24" s="463">
        <f t="shared" ca="1" si="2"/>
        <v>1660.2669094944931</v>
      </c>
      <c r="C24" s="463">
        <f t="shared" ca="1" si="3"/>
        <v>80.687686524273175</v>
      </c>
      <c r="D24" s="463">
        <f t="shared" si="4"/>
        <v>1516.5514132584199</v>
      </c>
      <c r="E24" s="463">
        <f t="shared" si="5"/>
        <v>27.322009969629406</v>
      </c>
      <c r="F24" s="463">
        <f t="shared" si="6"/>
        <v>8799.0084058181965</v>
      </c>
      <c r="G24" s="463">
        <f t="shared" si="7"/>
        <v>0</v>
      </c>
      <c r="H24" s="463">
        <f t="shared" si="8"/>
        <v>0</v>
      </c>
      <c r="I24" s="463">
        <f t="shared" si="9"/>
        <v>0</v>
      </c>
      <c r="J24" s="463">
        <f t="shared" si="10"/>
        <v>508.49901249494189</v>
      </c>
      <c r="K24" s="463">
        <f t="shared" si="11"/>
        <v>0</v>
      </c>
      <c r="L24" s="463">
        <f t="shared" si="12"/>
        <v>0</v>
      </c>
      <c r="M24" s="463">
        <f t="shared" si="13"/>
        <v>0</v>
      </c>
      <c r="N24" s="463">
        <f t="shared" si="14"/>
        <v>0</v>
      </c>
      <c r="O24" s="463">
        <f t="shared" si="15"/>
        <v>0</v>
      </c>
      <c r="P24" s="464">
        <f t="shared" si="16"/>
        <v>0</v>
      </c>
      <c r="Q24" s="462">
        <f t="shared" ca="1" si="17"/>
        <v>12592.335437559954</v>
      </c>
    </row>
    <row r="25" spans="1:17">
      <c r="A25" s="462" t="s">
        <v>657</v>
      </c>
      <c r="B25" s="463">
        <f t="shared" ca="1" si="2"/>
        <v>31231.131416966859</v>
      </c>
      <c r="C25" s="463">
        <f t="shared" ca="1" si="3"/>
        <v>0</v>
      </c>
      <c r="D25" s="463">
        <f t="shared" si="4"/>
        <v>51310.87111193451</v>
      </c>
      <c r="E25" s="463">
        <f t="shared" si="5"/>
        <v>2633.9034162537555</v>
      </c>
      <c r="F25" s="463">
        <f t="shared" si="6"/>
        <v>14386.487641993119</v>
      </c>
      <c r="G25" s="463">
        <f t="shared" si="7"/>
        <v>0</v>
      </c>
      <c r="H25" s="463">
        <f t="shared" si="8"/>
        <v>0</v>
      </c>
      <c r="I25" s="463">
        <f t="shared" si="9"/>
        <v>0</v>
      </c>
      <c r="J25" s="463">
        <f t="shared" si="10"/>
        <v>82.964669860439983</v>
      </c>
      <c r="K25" s="463">
        <f t="shared" si="11"/>
        <v>0</v>
      </c>
      <c r="L25" s="463">
        <f t="shared" si="12"/>
        <v>0</v>
      </c>
      <c r="M25" s="463">
        <f t="shared" si="13"/>
        <v>0</v>
      </c>
      <c r="N25" s="463">
        <f t="shared" si="14"/>
        <v>0</v>
      </c>
      <c r="O25" s="463">
        <f t="shared" si="15"/>
        <v>0</v>
      </c>
      <c r="P25" s="464">
        <f t="shared" si="16"/>
        <v>0</v>
      </c>
      <c r="Q25" s="462">
        <f t="shared" ca="1" si="17"/>
        <v>99645.358257008687</v>
      </c>
    </row>
    <row r="26" spans="1:17" s="468" customFormat="1">
      <c r="A26" s="466" t="s">
        <v>574</v>
      </c>
      <c r="B26" s="823">
        <f t="shared" ca="1" si="2"/>
        <v>2.1424987299796281</v>
      </c>
      <c r="C26" s="467"/>
      <c r="D26" s="467">
        <f t="shared" si="4"/>
        <v>4.0024085710179333</v>
      </c>
      <c r="E26" s="467">
        <f t="shared" si="5"/>
        <v>139.45113284901541</v>
      </c>
      <c r="F26" s="467"/>
      <c r="G26" s="467">
        <f t="shared" si="7"/>
        <v>48388.376763472246</v>
      </c>
      <c r="H26" s="467">
        <f t="shared" si="8"/>
        <v>7409.1268214835491</v>
      </c>
      <c r="I26" s="467"/>
      <c r="J26" s="467"/>
      <c r="K26" s="467"/>
      <c r="L26" s="467"/>
      <c r="M26" s="467">
        <f t="shared" si="13"/>
        <v>0</v>
      </c>
      <c r="N26" s="467"/>
      <c r="O26" s="467"/>
      <c r="P26" s="478"/>
      <c r="Q26" s="466">
        <f t="shared" ca="1" si="17"/>
        <v>55943.09962510581</v>
      </c>
    </row>
    <row r="27" spans="1:17">
      <c r="A27" s="462" t="s">
        <v>564</v>
      </c>
      <c r="B27" s="463">
        <f t="shared" ca="1" si="2"/>
        <v>0</v>
      </c>
      <c r="C27" s="463"/>
      <c r="D27" s="467">
        <f t="shared" si="4"/>
        <v>0</v>
      </c>
      <c r="E27" s="463"/>
      <c r="F27" s="463"/>
      <c r="G27" s="463">
        <f t="shared" si="7"/>
        <v>948.74764880704743</v>
      </c>
      <c r="H27" s="463"/>
      <c r="I27" s="463"/>
      <c r="J27" s="463"/>
      <c r="K27" s="463"/>
      <c r="L27" s="463"/>
      <c r="M27" s="463">
        <f t="shared" si="13"/>
        <v>0</v>
      </c>
      <c r="N27" s="463"/>
      <c r="O27" s="463"/>
      <c r="P27" s="464"/>
      <c r="Q27" s="462">
        <f t="shared" ca="1" si="17"/>
        <v>948.74764880704743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58956.526987007026</v>
      </c>
      <c r="C31" s="473">
        <f t="shared" ca="1" si="18"/>
        <v>178.23529411764707</v>
      </c>
      <c r="D31" s="473">
        <f t="shared" ca="1" si="18"/>
        <v>104752.02251180605</v>
      </c>
      <c r="E31" s="473">
        <f t="shared" si="18"/>
        <v>5558.0092762783152</v>
      </c>
      <c r="F31" s="473">
        <f t="shared" ca="1" si="18"/>
        <v>33016.265183639072</v>
      </c>
      <c r="G31" s="473">
        <f t="shared" si="18"/>
        <v>49337.124412279292</v>
      </c>
      <c r="H31" s="473">
        <f t="shared" si="18"/>
        <v>7409.1268214835491</v>
      </c>
      <c r="I31" s="473">
        <f t="shared" si="18"/>
        <v>0</v>
      </c>
      <c r="J31" s="473">
        <f t="shared" si="18"/>
        <v>3807.3874959186423</v>
      </c>
      <c r="K31" s="473">
        <f t="shared" si="18"/>
        <v>0</v>
      </c>
      <c r="L31" s="473">
        <f t="shared" ca="1" si="18"/>
        <v>0</v>
      </c>
      <c r="M31" s="473">
        <f t="shared" si="18"/>
        <v>0</v>
      </c>
      <c r="N31" s="473">
        <f t="shared" ca="1" si="18"/>
        <v>0</v>
      </c>
      <c r="O31" s="473">
        <f t="shared" si="18"/>
        <v>0</v>
      </c>
      <c r="P31" s="474">
        <f t="shared" si="18"/>
        <v>0</v>
      </c>
      <c r="Q31" s="474">
        <f t="shared" ca="1" si="18"/>
        <v>263014.69798252964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0.17382253138512008</v>
      </c>
      <c r="C17" s="513">
        <f ca="1">'EF ele_warmte'!B22</f>
        <v>6.0198647020507558E-3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0.17382253138512008</v>
      </c>
      <c r="C17" s="513">
        <f ca="1">'EF ele_warmte'!B22</f>
        <v>6.0198647020507558E-3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0.17382253138512008</v>
      </c>
      <c r="C29" s="514">
        <f ca="1">'EF ele_warmte'!B22</f>
        <v>6.0198647020507558E-3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2019-01-02T18:03:51Z</dcterms:modified>
</cp:coreProperties>
</file>