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<sst xmlns="http://schemas.openxmlformats.org/spreadsheetml/2006/main" count="2160" uniqueCount="885">
  <si>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</si>
  <si>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</si>
  <si>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</si>
  <si>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</si>
  <si>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</si>
  <si>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</si>
  <si>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</si>
  <si>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</si>
  <si>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</si>
  <si>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</si>
  <si>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</si>
  <si>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</si>
  <si>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</si>
  <si>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</si>
  <si>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</si>
  <si>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</si>
  <si>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</si>
  <si>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</si>
  <si>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</si>
  <si>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</si>
  <si>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</si>
  <si>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</si>
  <si>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</si>
  <si>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</si>
  <si>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</si>
  <si>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</si>
  <si>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</si>
  <si>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</si>
  <si>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</si>
  <si>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</si>
  <si>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</si>
  <si>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</si>
  <si>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</si>
  <si>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</si>
  <si>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</si>
  <si>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</si>
  <si>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</si>
  <si>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</si>
  <si>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</si>
  <si>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</si>
  <si>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</si>
  <si>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</si>
  <si>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</si>
  <si>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</si>
  <si>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</si>
  <si>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</si>
  <si>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</si>
  <si>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</si>
  <si>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</si>
  <si>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</si>
  <si>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</si>
  <si>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</si>
  <si>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</si>
  <si>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</si>
  <si>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</si>
  <si>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</si>
  <si>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</si>
  <si>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</si>
  <si>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</si>
  <si>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</si>
  <si>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</si>
  <si>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</si>
  <si>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</si>
  <si>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</si>
  <si>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</si>
  <si>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</si>
  <si>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</si>
  <si>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</si>
  <si>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</si>
  <si>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</si>
  <si>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</si>
  <si>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</si>
  <si>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</si>
  <si>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</si>
  <si>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</si>
  <si>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</si>
  <si>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</si>
  <si>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</si>
  <si>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</si>
  <si>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</si>
  <si>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</si>
  <si>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</si>
  <si>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</si>
  <si>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</si>
  <si>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</si>
  <si>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</si>
  <si>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</si>
  <si>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</si>
  <si>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</si>
  <si>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</si>
  <si>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</si>
  <si>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</si>
  <si>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</si>
  <si>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</si>
  <si>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</si>
  <si>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</si>
  <si>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</si>
  <si>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</si>
  <si>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</si>
  <si>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</si>
  <si>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</si>
  <si>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</si>
  <si>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</si>
  <si>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</si>
  <si>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</si>
  <si>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</si>
  <si>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</si>
  <si>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</si>
  <si>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</si>
  <si>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</si>
  <si>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</si>
  <si>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</si>
  <si>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</si>
  <si>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</si>
  <si>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</si>
  <si>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</si>
  <si>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</si>
  <si>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</si>
  <si>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</si>
  <si>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</si>
  <si>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</si>
  <si>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</si>
  <si>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</si>
  <si>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</si>
  <si>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</si>
  <si>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</si>
  <si>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</si>
  <si>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</si>
  <si>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</si>
  <si>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</si>
  <si>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</si>
  <si>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</si>
  <si>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</si>
  <si>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</si>
  <si>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</si>
  <si>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</si>
  <si>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</si>
  <si>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</si>
  <si>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</si>
  <si>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</si>
  <si>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</si>
  <si>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</si>
  <si>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</si>
  <si>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</si>
  <si>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</si>
  <si>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</si>
  <si>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</si>
  <si>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</si>
  <si>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</si>
  <si>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</si>
  <si>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</si>
  <si>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</si>
  <si>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</si>
  <si>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</si>
  <si>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</si>
  <si>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</si>
  <si>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</si>
  <si>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</si>
  <si>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</si>
  <si>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</si>
  <si>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</si>
  <si>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</si>
  <si>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</si>
  <si>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</si>
  <si>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</si>
  <si>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</si>
  <si>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</si>
  <si>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</si>
  <si>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</si>
  <si>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</si>
  <si>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</si>
  <si>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</si>
  <si>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</si>
  <si>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</si>
  <si>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</si>
  <si>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</si>
  <si>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</si>
  <si>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</si>
  <si>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</si>
  <si>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</si>
  <si>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</si>
  <si>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</si>
  <si>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</si>
  <si>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</si>
  <si>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</si>
  <si>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</si>
  <si>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</si>
  <si>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</si>
  <si>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</si>
  <si>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</si>
  <si>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</si>
  <si>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</si>
  <si>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</si>
  <si>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</si>
  <si>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</si>
  <si>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</si>
  <si>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</si>
  <si>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</si>
  <si>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</si>
  <si>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</si>
  <si>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</si>
  <si>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</si>
  <si>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</si>
  <si>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</si>
  <si>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</si>
  <si>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</si>
  <si>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</si>
  <si>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</si>
  <si>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</si>
  <si>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</si>
  <si>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</si>
  <si>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</si>
  <si>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</si>
  <si>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</si>
  <si>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</si>
  <si>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</si>
  <si>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</si>
  <si>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</si>
  <si>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</si>
  <si>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</si>
  <si>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</si>
  <si>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</si>
  <si>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</si>
  <si>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</si>
  <si>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</si>
  <si>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</si>
  <si>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</si>
  <si>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</si>
  <si>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</si>
  <si>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</si>
  <si>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</si>
  <si>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</si>
  <si>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</si>
  <si>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</si>
  <si>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</si>
  <si>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</si>
  <si>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</si>
  <si>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</si>
  <si>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</si>
  <si>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</si>
  <si>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</si>
  <si>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</si>
  <si>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</si>
  <si>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</si>
  <si>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</si>
  <si>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</si>
  <si>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</si>
  <si>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</si>
  <si>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</si>
  <si>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</si>
  <si>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</si>
  <si>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</si>
  <si>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</si>
  <si>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</si>
  <si>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</si>
  <si>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</si>
  <si>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</si>
  <si>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</si>
  <si>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</si>
  <si>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</si>
  <si>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</si>
  <si>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</si>
  <si>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</si>
  <si>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</si>
  <si>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</si>
  <si>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</si>
  <si>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</si>
  <si>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</si>
  <si>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</si>
  <si>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</si>
  <si>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</si>
  <si>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</si>
  <si>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</si>
  <si>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</si>
  <si>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</si>
  <si>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</si>
  <si>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</si>
  <si>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</si>
  <si>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</si>
  <si>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</si>
  <si>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</si>
  <si>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</si>
  <si>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</si>
  <si>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</si>
  <si>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</si>
  <si>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</si>
  <si>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</si>
  <si>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</si>
  <si>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</si>
  <si>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</si>
  <si>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</si>
  <si>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</si>
  <si>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</si>
  <si>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</si>
  <si>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</si>
  <si>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</si>
  <si>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</si>
  <si>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</si>
  <si>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</si>
  <si>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</si>
  <si>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</si>
  <si>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</si>
  <si>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</si>
  <si>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</si>
  <si>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</si>
  <si>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</si>
  <si>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</si>
  <si>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</si>
  <si>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</si>
  <si>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</si>
  <si>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</si>
  <si>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</si>
  <si>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</si>
  <si>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</si>
  <si>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</si>
  <si>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</si>
  <si>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</si>
  <si>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</si>
  <si>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</si>
  <si>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</si>
  <si>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</si>
  <si>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</si>
  <si>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</si>
  <si>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</si>
  <si>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</si>
  <si>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</si>
  <si>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</si>
  <si>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</si>
  <si>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</si>
  <si>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</si>
  <si>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</si>
  <si>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</si>
  <si>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</si>
  <si>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</si>
  <si>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</si>
  <si>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</si>
  <si>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</si>
  <si>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</si>
  <si>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</si>
  <si>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</si>
  <si>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</si>
  <si>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</si>
  <si>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</si>
  <si>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</si>
  <si>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</si>
  <si>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</si>
  <si>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</si>
  <si>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</si>
  <si>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</si>
  <si>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</si>
  <si>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</si>
  <si>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</si>
  <si>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</si>
  <si>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</si>
  <si>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</si>
  <si>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</si>
  <si>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</si>
  <si>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</si>
  <si>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</si>
  <si>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</si>
  <si>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</si>
  <si>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</si>
  <si>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</si>
  <si>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</si>
  <si>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</si>
  <si>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</si>
  <si>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</si>
  <si>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</si>
  <si>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</si>
  <si>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</si>
  <si>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</si>
  <si>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</si>
  <si>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</si>
  <si>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</si>
  <si>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</si>
  <si>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</si>
  <si>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</si>
  <si>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</si>
  <si>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</si>
  <si>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</si>
  <si>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</si>
  <si>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</si>
  <si>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</si>
  <si>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</si>
  <si>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</si>
  <si>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</si>
  <si>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</si>
  <si>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</si>
  <si>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</si>
  <si>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</si>
  <si>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</si>
  <si>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</si>
  <si>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</si>
  <si>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</si>
  <si>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</si>
  <si>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</si>
  <si>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</si>
  <si>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</si>
  <si>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</si>
  <si>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</si>
  <si>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</si>
  <si>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</si>
  <si>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</si>
  <si>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</si>
  <si>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</si>
  <si>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</si>
  <si>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</si>
  <si>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</si>
  <si>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</si>
  <si>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</si>
  <si>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</si>
  <si>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</si>
  <si>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</si>
  <si>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</si>
  <si>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</si>
  <si>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</si>
  <si>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</si>
  <si>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</si>
  <si>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</si>
  <si>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</si>
  <si>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</si>
  <si>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</si>
  <si>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</si>
  <si>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</si>
  <si>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</si>
  <si>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</si>
  <si>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</si>
  <si>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</si>
  <si>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</si>
  <si>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</si>
  <si>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</si>
  <si>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</si>
  <si>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</si>
  <si>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</si>
  <si>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</si>
  <si>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</si>
  <si>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</si>
  <si>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</si>
  <si>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</si>
  <si>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</si>
  <si>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</si>
  <si>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</si>
  <si>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</si>
  <si>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</si>
  <si>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</si>
  <si>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</si>
  <si>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</si>
  <si>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</si>
  <si>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</si>
  <si>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</si>
  <si>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</si>
  <si>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</si>
  <si>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</si>
  <si>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</si>
  <si>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</si>
  <si>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</si>
  <si>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</si>
  <si>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</si>
  <si>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</si>
  <si>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</si>
  <si>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</si>
  <si>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</si>
  <si>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</si>
  <si>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</si>
  <si>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</si>
  <si>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</si>
  <si>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</si>
  <si>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</si>
  <si>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</si>
  <si>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</si>
  <si>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</si>
  <si>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</si>
  <si>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</si>
  <si>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</si>
  <si>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</si>
  <si>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</si>
  <si>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</si>
  <si>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</si>
  <si>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</si>
  <si>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</si>
  <si>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</si>
  <si>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</si>
  <si>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</si>
  <si>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</si>
  <si>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</si>
  <si>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</si>
  <si>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</si>
  <si>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</si>
  <si>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</si>
  <si>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</si>
  <si>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</si>
  <si>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</si>
  <si>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</si>
  <si>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</si>
  <si>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</si>
  <si>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</si>
  <si>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</si>
  <si>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</si>
  <si>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</si>
  <si>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</si>
  <si>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</si>
  <si>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</si>
  <si>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</si>
  <si>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</si>
  <si>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</si>
  <si>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</si>
  <si>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</si>
  <si>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</si>
  <si>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</si>
  <si>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</si>
  <si>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</si>
  <si>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</si>
  <si>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</si>
  <si>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</si>
  <si>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</si>
  <si>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</si>
  <si>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</si>
  <si>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</si>
  <si>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</si>
  <si>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</si>
  <si>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</si>
  <si>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</si>
  <si>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</si>
  <si>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</si>
  <si>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</si>
  <si>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</si>
  <si>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</si>
  <si>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</si>
  <si>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</si>
  <si>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</si>
  <si>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</si>
  <si>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</si>
  <si>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</si>
  <si>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</si>
  <si>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</si>
  <si>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</si>
  <si>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</si>
  <si>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</si>
  <si>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</si>
  <si>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</si>
  <si>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</si>
  <si>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</si>
  <si>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</si>
  <si>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</si>
  <si>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</si>
  <si>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</si>
  <si>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</si>
  <si>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</si>
  <si>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</si>
  <si>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</si>
  <si>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</si>
  <si>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</si>
  <si>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</si>
  <si>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</si>
  <si>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</si>
  <si>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</si>
  <si>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</si>
  <si>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</si>
  <si>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</si>
  <si>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</si>
  <si>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</si>
  <si>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</si>
  <si>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</si>
  <si>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</si>
  <si>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</si>
  <si>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</si>
  <si>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</si>
  <si>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</si>
  <si>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</si>
  <si>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</si>
  <si>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</si>
  <si>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</si>
  <si>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</si>
  <si>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</si>
  <si>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</si>
  <si>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</si>
  <si>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</si>
  <si>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</si>
  <si>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</si>
  <si>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</si>
  <si>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</si>
  <si>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</si>
  <si>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</si>
  <si>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</si>
  <si>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</si>
  <si>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</si>
  <si>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</si>
  <si>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</si>
  <si>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</si>
  <si>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</si>
  <si>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</si>
  <si>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</si>
  <si>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</si>
  <si>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</si>
  <si>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</si>
  <si>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</si>
  <si>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</si>
  <si>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</si>
  <si>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</si>
  <si>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</si>
  <si>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</si>
  <si>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</si>
  <si>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</si>
  <si>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</si>
  <si>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</si>
  <si>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</si>
  <si>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</si>
  <si>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</si>
  <si>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</si>
  <si>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</si>
  <si>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</si>
  <si>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</si>
  <si>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</si>
  <si>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</si>
  <si>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</si>
  <si>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</si>
  <si>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</si>
  <si>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</si>
  <si>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</si>
  <si>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</si>
  <si>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</si>
  <si>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</si>
  <si>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</si>
  <si>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</si>
  <si>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</si>
  <si>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</si>
  <si>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</si>
  <si>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</si>
  <si>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</si>
  <si>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</si>
  <si>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</si>
  <si>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</si>
  <si>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</si>
  <si>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</si>
  <si>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</si>
  <si>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</si>
  <si>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</si>
  <si>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</si>
  <si>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</si>
  <si>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</si>
  <si>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</si>
  <si>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</si>
  <si>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</si>
  <si>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</si>
  <si>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</si>
  <si>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</si>
  <si>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</si>
  <si>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</si>
  <si>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</si>
  <si>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</si>
  <si>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</si>
  <si>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</si>
  <si>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</si>
  <si>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</si>
  <si>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</si>
  <si>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</si>
  <si>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</si>
  <si>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</si>
  <si>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</si>
  <si>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</si>
  <si>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</si>
  <si>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</si>
  <si>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</si>
  <si>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</si>
  <si>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</si>
  <si>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</si>
  <si>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</si>
  <si>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</si>
  <si>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</si>
  <si>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</si>
  <si>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</si>
  <si>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</si>
  <si>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</si>
  <si>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</si>
  <si>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</si>
  <si>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</si>
  <si>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</si>
  <si>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</si>
  <si>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</si>
  <si>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</si>
  <si>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</si>
  <si>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</si>
  <si>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</si>
  <si>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</si>
  <si>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</si>
  <si>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</si>
  <si>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</si>
  <si>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</si>
  <si>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</si>
  <si>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</si>
  <si>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</si>
  <si>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</si>
  <si>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</si>
  <si>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</si>
  <si>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</si>
  <si>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</si>
  <si>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</si>
  <si>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</si>
  <si>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</si>
  <si>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</si>
  <si>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</si>
  <si>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</si>
  <si>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</si>
  <si>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</si>
  <si>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</si>
  <si>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</si>
  <si>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</si>
  <si>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</si>
  <si>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</si>
  <si>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</si>
  <si>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</si>
  <si>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</si>
  <si>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</si>
  <si>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</si>
  <si>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</si>
  <si>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</si>
  <si>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</si>
  <si>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</si>
  <si>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</si>
  <si>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</si>
  <si>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</si>
  <si>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</si>
  <si>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</si>
  <si>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</si>
  <si>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</si>
  <si>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</si>
  <si>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</si>
  <si>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</si>
  <si>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</si>
  <si>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</si>
  <si>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</si>
  <si>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</si>
  <si>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</si>
  <si>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</si>
  <si>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</si>
  <si>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</si>
  <si>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</si>
  <si>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</si>
  <si>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</si>
  <si>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</si>
  <si>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</si>
  <si>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</si>
  <si>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</si>
  <si>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</si>
  <si>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</si>
  <si>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</si>
  <si>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</si>
  <si>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</si>
  <si>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</si>
  <si>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</si>
  <si>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</si>
  <si>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</si>
  <si>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</si>
  <si>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</si>
  <si>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</si>
  <si>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</si>
  <si>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</si>
  <si>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</si>
  <si>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</si>
  <si>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</si>
  <si>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</si>
  <si>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</si>
  <si>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</si>
  <si>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</si>
  <si>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</si>
  <si>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</si>
  <si>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</si>
  <si>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</si>
  <si>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</si>
  <si>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</si>
  <si>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</si>
  <si>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</si>
  <si>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</si>
  <si>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</si>
  <si>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</si>
  <si>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</si>
  <si>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</si>
  <si>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</si>
  <si>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</si>
  <si>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</si>
  <si>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</si>
  <si>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</si>
  <si>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</si>
  <si>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</si>
  <si>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</si>
  <si>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</si>
  <si>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</si>
  <si>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</si>
  <si>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</si>
  <si>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</si>
  <si>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</si>
  <si>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</si>
  <si>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</si>
  <si>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</si>
  <si>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</si>
  <si>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</si>
  <si>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</si>
  <si>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</si>
  <si>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</si>
  <si>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</si>
  <si>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</si>
  <si>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</si>
  <si>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</si>
  <si>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</si>
  <si>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</si>
  <si>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</si>
  <si>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</si>
  <si>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</si>
  <si>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</si>
  <si>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</si>
  <si>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</si>
  <si>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</si>
  <si>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</si>
  <si>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</si>
  <si>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</si>
  <si>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</si>
  <si>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</si>
  <si>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</si>
  <si>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</si>
  <si>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</si>
  <si>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</si>
  <si>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</si>
  <si>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</si>
  <si>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</si>
  <si>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</si>
  <si>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</si>
  <si>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</si>
  <si>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</si>
  <si>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</si>
  <si>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</si>
  <si>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</si>
  <si>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</si>
  <si>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</si>
  <si>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</si>
  <si>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</si>
  <si>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</si>
  <si>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</si>
  <si>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</si>
  <si>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</si>
  <si>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</si>
  <si>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</si>
  <si>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</si>
  <si>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</si>
  <si>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</si>
  <si>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</si>
  <si>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</si>
  <si>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</si>
  <si>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</si>
  <si>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</si>
  <si>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</si>
  <si>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</si>
  <si>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</si>
  <si>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</si>
  <si>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</si>
  <si>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</si>
  <si>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</si>
  <si>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</si>
  <si>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</si>
  <si>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</si>
  <si>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</si>
  <si>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</si>
  <si>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</si>
  <si>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</si>
  <si>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</si>
  <si>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</si>
  <si>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</si>
  <si>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</si>
  <si>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</si>
  <si>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</si>
  <si>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</si>
  <si>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</si>
  <si>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32006</t>
  </si>
  <si>
    <t>HOUTHULST</t>
  </si>
  <si>
    <t>Cultuurgrond (ha)</t>
  </si>
  <si>
    <t>Paarden&amp;pony's 200 - 600 kg</t>
  </si>
  <si>
    <t>Paarden&amp;pony's &lt; 200 kg</t>
  </si>
  <si>
    <t>op basis van VEA (maart 2018) en Inventaris Hernieuwbare Energiebronnen (juni 2018)</t>
  </si>
  <si>
    <t>VEA (juni 2018)</t>
  </si>
  <si>
    <t>SAP-Eneco Energie NV</t>
  </si>
  <si>
    <t>Zandvoortstraat C47 11, 2800 Mechelen</t>
  </si>
  <si>
    <t>WKK-0390 SAP Eneco Energie</t>
  </si>
  <si>
    <t>interne verbrandingsmotor</t>
  </si>
  <si>
    <t>WKK interne verbrandinsgmotor (gas)</t>
  </si>
  <si>
    <t>Heulegoedstraat 9 , 8650 Houthulst</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</si>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</sst>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100888.17074591346</c:v>
                </c:pt>
                <c:pt idx="1">
                  <c:v>27166.3022957781</c:v>
                </c:pt>
                <c:pt idx="2">
                  <c:v>894.12900000000002</c:v>
                </c:pt>
                <c:pt idx="3">
                  <c:v>39565.519844756891</c:v>
                </c:pt>
                <c:pt idx="4">
                  <c:v>10884.121917087812</c:v>
                </c:pt>
                <c:pt idx="5">
                  <c:v>48730.471620660152</c:v>
                </c:pt>
                <c:pt idx="6">
                  <c:v>651.34675321033126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100888.17074591346</c:v>
                </c:pt>
                <c:pt idx="1">
                  <c:v>27166.3022957781</c:v>
                </c:pt>
                <c:pt idx="2">
                  <c:v>894.12900000000002</c:v>
                </c:pt>
                <c:pt idx="3">
                  <c:v>39565.519844756891</c:v>
                </c:pt>
                <c:pt idx="4">
                  <c:v>10884.121917087812</c:v>
                </c:pt>
                <c:pt idx="5">
                  <c:v>48730.471620660152</c:v>
                </c:pt>
                <c:pt idx="6">
                  <c:v>651.34675321033126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19750.338864166511</c:v>
                </c:pt>
                <c:pt idx="1">
                  <c:v>5329.2312784629985</c:v>
                </c:pt>
                <c:pt idx="2">
                  <c:v>176.02548022114871</c:v>
                </c:pt>
                <c:pt idx="3">
                  <c:v>9763.3468718632212</c:v>
                </c:pt>
                <c:pt idx="4">
                  <c:v>2115.6763679534538</c:v>
                </c:pt>
                <c:pt idx="5">
                  <c:v>12296.533330486936</c:v>
                </c:pt>
                <c:pt idx="6">
                  <c:v>166.50471133738444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19750.338864166511</c:v>
                </c:pt>
                <c:pt idx="1">
                  <c:v>5329.2312784629985</c:v>
                </c:pt>
                <c:pt idx="2">
                  <c:v>176.02548022114871</c:v>
                </c:pt>
                <c:pt idx="3">
                  <c:v>9763.3468718632212</c:v>
                </c:pt>
                <c:pt idx="4">
                  <c:v>2115.6763679534538</c:v>
                </c:pt>
                <c:pt idx="5">
                  <c:v>12296.533330486936</c:v>
                </c:pt>
                <c:pt idx="6">
                  <c:v>166.50471133738444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32006</v>
      </c>
      <c r="B6" s="398"/>
      <c r="C6" s="399"/>
    </row>
    <row r="7" spans="1:7" s="396" customFormat="1" ht="15.75" customHeight="1">
      <c r="A7" s="400" t="str">
        <f>txtMunicipality</f>
        <v>HOUTHULST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32006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3939</v>
      </c>
      <c r="C9" s="338">
        <v>4154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4093</v>
      </c>
    </row>
    <row r="15" spans="1:6">
      <c r="A15" s="1269" t="s">
        <v>184</v>
      </c>
      <c r="B15" s="335">
        <v>53</v>
      </c>
    </row>
    <row r="16" spans="1:6">
      <c r="A16" s="1269" t="s">
        <v>6</v>
      </c>
      <c r="B16" s="335">
        <v>1463</v>
      </c>
    </row>
    <row r="17" spans="1:6">
      <c r="A17" s="1269" t="s">
        <v>7</v>
      </c>
      <c r="B17" s="335">
        <v>1330</v>
      </c>
    </row>
    <row r="18" spans="1:6">
      <c r="A18" s="1269" t="s">
        <v>8</v>
      </c>
      <c r="B18" s="335">
        <v>1769</v>
      </c>
    </row>
    <row r="19" spans="1:6">
      <c r="A19" s="1269" t="s">
        <v>9</v>
      </c>
      <c r="B19" s="335">
        <v>1552</v>
      </c>
    </row>
    <row r="20" spans="1:6">
      <c r="A20" s="1269" t="s">
        <v>10</v>
      </c>
      <c r="B20" s="335">
        <v>1299</v>
      </c>
    </row>
    <row r="21" spans="1:6">
      <c r="A21" s="1269" t="s">
        <v>11</v>
      </c>
      <c r="B21" s="335">
        <v>24982</v>
      </c>
    </row>
    <row r="22" spans="1:6">
      <c r="A22" s="1269" t="s">
        <v>12</v>
      </c>
      <c r="B22" s="335">
        <v>42312</v>
      </c>
    </row>
    <row r="23" spans="1:6">
      <c r="A23" s="1269" t="s">
        <v>13</v>
      </c>
      <c r="B23" s="335">
        <v>1341</v>
      </c>
    </row>
    <row r="24" spans="1:6">
      <c r="A24" s="1269" t="s">
        <v>14</v>
      </c>
      <c r="B24" s="335">
        <v>51</v>
      </c>
    </row>
    <row r="25" spans="1:6">
      <c r="A25" s="1269" t="s">
        <v>15</v>
      </c>
      <c r="B25" s="335">
        <v>6719</v>
      </c>
    </row>
    <row r="26" spans="1:6">
      <c r="A26" s="1269" t="s">
        <v>16</v>
      </c>
      <c r="B26" s="335">
        <v>363</v>
      </c>
    </row>
    <row r="27" spans="1:6">
      <c r="A27" s="1269" t="s">
        <v>17</v>
      </c>
      <c r="B27" s="335">
        <v>6</v>
      </c>
    </row>
    <row r="28" spans="1:6" s="341" customFormat="1">
      <c r="A28" s="1270" t="s">
        <v>18</v>
      </c>
      <c r="B28" s="1270">
        <v>106567</v>
      </c>
    </row>
    <row r="29" spans="1:6">
      <c r="A29" s="1270" t="s">
        <v>874</v>
      </c>
      <c r="B29" s="1270">
        <v>39</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162637.40471242799</v>
      </c>
      <c r="E38" s="335">
        <v>1</v>
      </c>
      <c r="F38" s="335">
        <v>7943.1967216865996</v>
      </c>
    </row>
    <row r="39" spans="1:6">
      <c r="A39" s="1269" t="s">
        <v>30</v>
      </c>
      <c r="B39" s="1269" t="s">
        <v>31</v>
      </c>
      <c r="C39" s="335">
        <v>1443</v>
      </c>
      <c r="D39" s="335">
        <v>23698017.313084099</v>
      </c>
      <c r="E39" s="335">
        <v>3698</v>
      </c>
      <c r="F39" s="335">
        <v>15266854.528191799</v>
      </c>
    </row>
    <row r="40" spans="1:6">
      <c r="A40" s="1269" t="s">
        <v>30</v>
      </c>
      <c r="B40" s="1269" t="s">
        <v>29</v>
      </c>
      <c r="C40" s="335">
        <v>0</v>
      </c>
      <c r="D40" s="335">
        <v>0</v>
      </c>
      <c r="E40" s="335">
        <v>1</v>
      </c>
      <c r="F40" s="335">
        <v>2819</v>
      </c>
    </row>
    <row r="41" spans="1:6">
      <c r="A41" s="1269" t="s">
        <v>32</v>
      </c>
      <c r="B41" s="1269" t="s">
        <v>33</v>
      </c>
      <c r="C41" s="335">
        <v>32</v>
      </c>
      <c r="D41" s="335">
        <v>588816.87328189099</v>
      </c>
      <c r="E41" s="335">
        <v>89</v>
      </c>
      <c r="F41" s="335">
        <v>3532353.29809578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50130.139185458902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12</v>
      </c>
      <c r="D48" s="335">
        <v>354013.82350784598</v>
      </c>
      <c r="E48" s="335">
        <v>28</v>
      </c>
      <c r="F48" s="335">
        <v>664110.88905133703</v>
      </c>
    </row>
    <row r="49" spans="1:6">
      <c r="A49" s="1269" t="s">
        <v>32</v>
      </c>
      <c r="B49" s="1269" t="s">
        <v>40</v>
      </c>
      <c r="C49" s="335">
        <v>0</v>
      </c>
      <c r="D49" s="335">
        <v>0</v>
      </c>
      <c r="E49" s="335">
        <v>0</v>
      </c>
      <c r="F49" s="335">
        <v>0</v>
      </c>
    </row>
    <row r="50" spans="1:6">
      <c r="A50" s="1269" t="s">
        <v>32</v>
      </c>
      <c r="B50" s="1269" t="s">
        <v>41</v>
      </c>
      <c r="C50" s="335">
        <v>3</v>
      </c>
      <c r="D50" s="335">
        <v>225706.66541684899</v>
      </c>
      <c r="E50" s="335">
        <v>8</v>
      </c>
      <c r="F50" s="335">
        <v>272236.44980850298</v>
      </c>
    </row>
    <row r="51" spans="1:6">
      <c r="A51" s="1269" t="s">
        <v>42</v>
      </c>
      <c r="B51" s="1269" t="s">
        <v>43</v>
      </c>
      <c r="C51" s="335">
        <v>5</v>
      </c>
      <c r="D51" s="335">
        <v>87182.015279699597</v>
      </c>
      <c r="E51" s="335">
        <v>191</v>
      </c>
      <c r="F51" s="335">
        <v>4549539.7363978904</v>
      </c>
    </row>
    <row r="52" spans="1:6">
      <c r="A52" s="1269" t="s">
        <v>42</v>
      </c>
      <c r="B52" s="1269" t="s">
        <v>29</v>
      </c>
      <c r="C52" s="335">
        <v>4</v>
      </c>
      <c r="D52" s="335">
        <v>959049.80665655795</v>
      </c>
      <c r="E52" s="335">
        <v>4</v>
      </c>
      <c r="F52" s="335">
        <v>83356.164023934107</v>
      </c>
    </row>
    <row r="53" spans="1:6">
      <c r="A53" s="1269" t="s">
        <v>44</v>
      </c>
      <c r="B53" s="1269" t="s">
        <v>45</v>
      </c>
      <c r="C53" s="335">
        <v>33</v>
      </c>
      <c r="D53" s="335">
        <v>579092.87869795202</v>
      </c>
      <c r="E53" s="335">
        <v>110</v>
      </c>
      <c r="F53" s="335">
        <v>500978.43589261698</v>
      </c>
    </row>
    <row r="54" spans="1:6">
      <c r="A54" s="1269" t="s">
        <v>46</v>
      </c>
      <c r="B54" s="1269" t="s">
        <v>47</v>
      </c>
      <c r="C54" s="335">
        <v>0</v>
      </c>
      <c r="D54" s="335">
        <v>0</v>
      </c>
      <c r="E54" s="335">
        <v>1</v>
      </c>
      <c r="F54" s="335">
        <v>894129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625536.36007647403</v>
      </c>
      <c r="E57" s="335">
        <v>80</v>
      </c>
      <c r="F57" s="335">
        <v>979689.53055924806</v>
      </c>
    </row>
    <row r="58" spans="1:6">
      <c r="A58" s="1269" t="s">
        <v>49</v>
      </c>
      <c r="B58" s="1269" t="s">
        <v>51</v>
      </c>
      <c r="C58" s="335">
        <v>11</v>
      </c>
      <c r="D58" s="335">
        <v>5518759.2039127601</v>
      </c>
      <c r="E58" s="335">
        <v>16</v>
      </c>
      <c r="F58" s="335">
        <v>1832655.91932683</v>
      </c>
    </row>
    <row r="59" spans="1:6">
      <c r="A59" s="1269" t="s">
        <v>49</v>
      </c>
      <c r="B59" s="1269" t="s">
        <v>52</v>
      </c>
      <c r="C59" s="335">
        <v>12</v>
      </c>
      <c r="D59" s="335">
        <v>309998.78519854101</v>
      </c>
      <c r="E59" s="335">
        <v>68</v>
      </c>
      <c r="F59" s="335">
        <v>1936929.1805924301</v>
      </c>
    </row>
    <row r="60" spans="1:6">
      <c r="A60" s="1269" t="s">
        <v>49</v>
      </c>
      <c r="B60" s="1269" t="s">
        <v>53</v>
      </c>
      <c r="C60" s="335">
        <v>15</v>
      </c>
      <c r="D60" s="335">
        <v>495999.84472194198</v>
      </c>
      <c r="E60" s="335">
        <v>35</v>
      </c>
      <c r="F60" s="335">
        <v>601217.344915136</v>
      </c>
    </row>
    <row r="61" spans="1:6">
      <c r="A61" s="1269" t="s">
        <v>49</v>
      </c>
      <c r="B61" s="1269" t="s">
        <v>54</v>
      </c>
      <c r="C61" s="335">
        <v>26</v>
      </c>
      <c r="D61" s="335">
        <v>1455049.37151297</v>
      </c>
      <c r="E61" s="335">
        <v>70</v>
      </c>
      <c r="F61" s="335">
        <v>747784.903548809</v>
      </c>
    </row>
    <row r="62" spans="1:6">
      <c r="A62" s="1269" t="s">
        <v>49</v>
      </c>
      <c r="B62" s="1269" t="s">
        <v>55</v>
      </c>
      <c r="C62" s="335">
        <v>3</v>
      </c>
      <c r="D62" s="335">
        <v>321831.88201851002</v>
      </c>
      <c r="E62" s="335">
        <v>0</v>
      </c>
      <c r="F62" s="335">
        <v>0</v>
      </c>
    </row>
    <row r="63" spans="1:6">
      <c r="A63" s="1269" t="s">
        <v>49</v>
      </c>
      <c r="B63" s="1269" t="s">
        <v>29</v>
      </c>
      <c r="C63" s="335">
        <v>62</v>
      </c>
      <c r="D63" s="335">
        <v>1464354.13387792</v>
      </c>
      <c r="E63" s="335">
        <v>90</v>
      </c>
      <c r="F63" s="335">
        <v>7648329.6996015096</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76422.085837441598</v>
      </c>
      <c r="E68" s="335">
        <v>8</v>
      </c>
      <c r="F68" s="335">
        <v>98556.921264817094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29606866</v>
      </c>
      <c r="E73" s="335">
        <v>31067264.900359239</v>
      </c>
    </row>
    <row r="74" spans="1:6">
      <c r="A74" s="1269" t="s">
        <v>64</v>
      </c>
      <c r="B74" s="1269" t="s">
        <v>727</v>
      </c>
      <c r="C74" s="1269" t="s">
        <v>728</v>
      </c>
      <c r="D74" s="335">
        <v>2289006.9775171094</v>
      </c>
      <c r="E74" s="335">
        <v>2378630.2038104748</v>
      </c>
    </row>
    <row r="75" spans="1:6">
      <c r="A75" s="1269" t="s">
        <v>65</v>
      </c>
      <c r="B75" s="1269" t="s">
        <v>725</v>
      </c>
      <c r="C75" s="1269" t="s">
        <v>729</v>
      </c>
      <c r="D75" s="335">
        <v>23226347</v>
      </c>
      <c r="E75" s="335">
        <v>24289293.564950995</v>
      </c>
    </row>
    <row r="76" spans="1:6">
      <c r="A76" s="1269" t="s">
        <v>65</v>
      </c>
      <c r="B76" s="1269" t="s">
        <v>727</v>
      </c>
      <c r="C76" s="1269" t="s">
        <v>730</v>
      </c>
      <c r="D76" s="335">
        <v>1107648.9775171094</v>
      </c>
      <c r="E76" s="335">
        <v>1165837.7030820581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172078.04496578121</v>
      </c>
      <c r="C83" s="335">
        <v>173104.66492884653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2386.0333313496585</v>
      </c>
    </row>
    <row r="92" spans="1:6">
      <c r="A92" s="1265" t="s">
        <v>69</v>
      </c>
      <c r="B92" s="338">
        <v>3099.4546915180149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340</v>
      </c>
    </row>
    <row r="98" spans="1:6">
      <c r="A98" s="1269" t="s">
        <v>72</v>
      </c>
      <c r="B98" s="335">
        <v>1</v>
      </c>
    </row>
    <row r="99" spans="1:6">
      <c r="A99" s="1269" t="s">
        <v>73</v>
      </c>
      <c r="B99" s="335">
        <v>307</v>
      </c>
    </row>
    <row r="100" spans="1:6">
      <c r="A100" s="1269" t="s">
        <v>74</v>
      </c>
      <c r="B100" s="335">
        <v>296</v>
      </c>
    </row>
    <row r="101" spans="1:6">
      <c r="A101" s="1269" t="s">
        <v>75</v>
      </c>
      <c r="B101" s="335">
        <v>121</v>
      </c>
    </row>
    <row r="102" spans="1:6">
      <c r="A102" s="1269" t="s">
        <v>76</v>
      </c>
      <c r="B102" s="335">
        <v>54</v>
      </c>
    </row>
    <row r="103" spans="1:6">
      <c r="A103" s="1269" t="s">
        <v>77</v>
      </c>
      <c r="B103" s="335">
        <v>320</v>
      </c>
    </row>
    <row r="104" spans="1:6">
      <c r="A104" s="1269" t="s">
        <v>78</v>
      </c>
      <c r="B104" s="335">
        <v>1912</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104</v>
      </c>
    </row>
    <row r="130" spans="1:6">
      <c r="A130" s="1269" t="s">
        <v>295</v>
      </c>
      <c r="B130" s="335">
        <v>0</v>
      </c>
    </row>
    <row r="131" spans="1:6">
      <c r="A131" s="1269" t="s">
        <v>296</v>
      </c>
      <c r="B131" s="335">
        <v>1</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41451.054016557646</v>
      </c>
      <c r="C3" s="43" t="s">
        <v>170</v>
      </c>
      <c r="D3" s="43"/>
      <c r="E3" s="156"/>
      <c r="F3" s="43"/>
      <c r="G3" s="43"/>
      <c r="H3" s="43"/>
      <c r="I3" s="43"/>
      <c r="J3" s="43"/>
      <c r="K3" s="96"/>
    </row>
    <row r="4" spans="1:11">
      <c r="A4" s="366" t="s">
        <v>171</v>
      </c>
      <c r="B4" s="49">
        <f>IF(ISERROR('SEAP template'!B69),0,'SEAP template'!B69)</f>
        <v>18220.488022867674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3026.4352941176476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0.19686810317207998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4323.4789915966394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18192.857142857145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894.12900000000002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894.12900000000002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0.19686810317207998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176.02548022114871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15269.673528191799</v>
      </c>
      <c r="C5" s="17">
        <f>IF(ISERROR('Eigen informatie GS &amp; warmtenet'!B57),0,'Eigen informatie GS &amp; warmtenet'!B57)</f>
        <v>0</v>
      </c>
      <c r="D5" s="30">
        <f>(SUM(HH_hh_gas_kWh,HH_rest_gas_kWh)/1000)*0.902</f>
        <v>21375.611616401857</v>
      </c>
      <c r="E5" s="17">
        <f>B46*B57</f>
        <v>12025.628467329185</v>
      </c>
      <c r="F5" s="17">
        <f>B51*B62</f>
        <v>23246.228151740783</v>
      </c>
      <c r="G5" s="18"/>
      <c r="H5" s="17"/>
      <c r="I5" s="17"/>
      <c r="J5" s="17">
        <f>B50*B61+C50*C61</f>
        <v>8531.2407329226444</v>
      </c>
      <c r="K5" s="17"/>
      <c r="L5" s="17"/>
      <c r="M5" s="17"/>
      <c r="N5" s="17">
        <f>B48*B59+C48*C59</f>
        <v>17768.951584644212</v>
      </c>
      <c r="O5" s="17">
        <f>B69*B70*B71</f>
        <v>170.40333333333334</v>
      </c>
      <c r="P5" s="17">
        <f>B77*B78*B79/1000-B77*B78*B79/1000/B80</f>
        <v>114.4</v>
      </c>
    </row>
    <row r="6" spans="1:16">
      <c r="A6" s="16" t="s">
        <v>634</v>
      </c>
      <c r="B6" s="831">
        <f>kWh_PV_kleiner_dan_10kW</f>
        <v>2386.0333313496585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17655.706859541457</v>
      </c>
      <c r="C8" s="21">
        <f>C5</f>
        <v>0</v>
      </c>
      <c r="D8" s="21">
        <f>D5</f>
        <v>21375.611616401857</v>
      </c>
      <c r="E8" s="21">
        <f>E5</f>
        <v>12025.628467329185</v>
      </c>
      <c r="F8" s="21">
        <f>F5</f>
        <v>23246.228151740783</v>
      </c>
      <c r="G8" s="21"/>
      <c r="H8" s="21"/>
      <c r="I8" s="21"/>
      <c r="J8" s="21">
        <f>J5</f>
        <v>8531.2407329226444</v>
      </c>
      <c r="K8" s="21"/>
      <c r="L8" s="21">
        <f>L5</f>
        <v>0</v>
      </c>
      <c r="M8" s="21">
        <f>M5</f>
        <v>0</v>
      </c>
      <c r="N8" s="21">
        <f>N5</f>
        <v>17768.951584644212</v>
      </c>
      <c r="O8" s="21">
        <f>O5</f>
        <v>170.40333333333334</v>
      </c>
      <c r="P8" s="21">
        <f>P5</f>
        <v>114.4</v>
      </c>
    </row>
    <row r="9" spans="1:16">
      <c r="B9" s="19"/>
      <c r="C9" s="19"/>
      <c r="D9" s="261"/>
      <c r="E9" s="19"/>
      <c r="F9" s="19"/>
      <c r="G9" s="19"/>
      <c r="H9" s="19"/>
      <c r="I9" s="19"/>
      <c r="J9" s="19"/>
      <c r="K9" s="19"/>
      <c r="L9" s="19"/>
      <c r="M9" s="19"/>
      <c r="N9" s="19"/>
      <c r="O9" s="19"/>
      <c r="P9" s="19"/>
    </row>
    <row r="10" spans="1:16">
      <c r="A10" s="24" t="s">
        <v>214</v>
      </c>
      <c r="B10" s="25">
        <f ca="1">'EF ele_warmte'!B12</f>
        <v>0.19686810317207998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3475.8455196002078</v>
      </c>
      <c r="C12" s="23">
        <f ca="1">C10*C8</f>
        <v>0</v>
      </c>
      <c r="D12" s="23">
        <f>D8*D10</f>
        <v>4317.8735465131749</v>
      </c>
      <c r="E12" s="23">
        <f>E10*E8</f>
        <v>2729.8176620837248</v>
      </c>
      <c r="F12" s="23">
        <f>F10*F8</f>
        <v>6206.7429165147896</v>
      </c>
      <c r="G12" s="23"/>
      <c r="H12" s="23"/>
      <c r="I12" s="23"/>
      <c r="J12" s="23">
        <f>J10*J8</f>
        <v>3020.0592194546161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v>
      </c>
      <c r="C18" s="168" t="s">
        <v>111</v>
      </c>
      <c r="D18" s="230"/>
      <c r="E18" s="15"/>
    </row>
    <row r="19" spans="1:7">
      <c r="A19" s="173" t="s">
        <v>72</v>
      </c>
      <c r="B19" s="37">
        <f>aantalw2001_ander</f>
        <v>1</v>
      </c>
      <c r="C19" s="168" t="s">
        <v>111</v>
      </c>
      <c r="D19" s="231"/>
      <c r="E19" s="15"/>
    </row>
    <row r="20" spans="1:7">
      <c r="A20" s="173" t="s">
        <v>73</v>
      </c>
      <c r="B20" s="37">
        <f>aantalw2001_propaan</f>
        <v>307</v>
      </c>
      <c r="C20" s="169">
        <f>IF(ISERROR(B20/SUM($B$20,$B$21,$B$22)*100),0,B20/SUM($B$20,$B$21,$B$22)*100)</f>
        <v>42.403314917127069</v>
      </c>
      <c r="D20" s="231"/>
      <c r="E20" s="15"/>
    </row>
    <row r="21" spans="1:7">
      <c r="A21" s="173" t="s">
        <v>74</v>
      </c>
      <c r="B21" s="37">
        <f>aantalw2001_elektriciteit</f>
        <v>296</v>
      </c>
      <c r="C21" s="169">
        <f>IF(ISERROR(B21/SUM($B$20,$B$21,$B$22)*100),0,B21/SUM($B$20,$B$21,$B$22)*100)</f>
        <v>40.883977900552487</v>
      </c>
      <c r="D21" s="231"/>
      <c r="E21" s="15"/>
    </row>
    <row r="22" spans="1:7">
      <c r="A22" s="173" t="s">
        <v>75</v>
      </c>
      <c r="B22" s="37">
        <f>aantalw2001_hout</f>
        <v>121</v>
      </c>
      <c r="C22" s="169">
        <f>IF(ISERROR(B22/SUM($B$20,$B$21,$B$22)*100),0,B22/SUM($B$20,$B$21,$B$22)*100)</f>
        <v>16.71270718232044</v>
      </c>
      <c r="D22" s="231"/>
      <c r="E22" s="15"/>
    </row>
    <row r="23" spans="1:7">
      <c r="A23" s="173" t="s">
        <v>76</v>
      </c>
      <c r="B23" s="37">
        <f>aantalw2001_niet_gespec</f>
        <v>54</v>
      </c>
      <c r="C23" s="168" t="s">
        <v>111</v>
      </c>
      <c r="D23" s="230"/>
      <c r="E23" s="15"/>
    </row>
    <row r="24" spans="1:7">
      <c r="A24" s="173" t="s">
        <v>77</v>
      </c>
      <c r="B24" s="37">
        <f>aantalw2001_steenkool</f>
        <v>320</v>
      </c>
      <c r="C24" s="168" t="s">
        <v>111</v>
      </c>
      <c r="D24" s="231"/>
      <c r="E24" s="15"/>
    </row>
    <row r="25" spans="1:7">
      <c r="A25" s="173" t="s">
        <v>78</v>
      </c>
      <c r="B25" s="37">
        <f>aantalw2001_stookolie</f>
        <v>1912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3939</v>
      </c>
      <c r="C28" s="36"/>
      <c r="D28" s="230"/>
    </row>
    <row r="29" spans="1:7" s="15" customFormat="1">
      <c r="A29" s="232" t="s">
        <v>746</v>
      </c>
      <c r="B29" s="37">
        <f>SUM(HH_hh_gas_aantal,HH_rest_gas_aantal)</f>
        <v>1443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1443</v>
      </c>
      <c r="C32" s="169">
        <f>IF(ISERROR(B32/SUM($B$32,$B$34,$B$35,$B$36,$B$38,$B$39)*100),0,B32/SUM($B$32,$B$34,$B$35,$B$36,$B$38,$B$39)*100)</f>
        <v>36.689549961861175</v>
      </c>
      <c r="D32" s="235"/>
      <c r="G32" s="15"/>
    </row>
    <row r="33" spans="1:7">
      <c r="A33" s="173" t="s">
        <v>72</v>
      </c>
      <c r="B33" s="34" t="s">
        <v>111</v>
      </c>
      <c r="C33" s="169"/>
      <c r="D33" s="235"/>
      <c r="G33" s="15"/>
    </row>
    <row r="34" spans="1:7">
      <c r="A34" s="173" t="s">
        <v>73</v>
      </c>
      <c r="B34" s="33">
        <f>IF((($B$28-$B$32-$B$39-$B$77-$B$38)*C20/100)&lt;0,0,($B$28-$B$32-$B$39-$B$77-$B$38)*C20/100)</f>
        <v>577.10911602209944</v>
      </c>
      <c r="C34" s="169">
        <f>IF(ISERROR(B34/SUM($B$32,$B$34,$B$35,$B$36,$B$38,$B$39)*100),0,B34/SUM($B$32,$B$34,$B$35,$B$36,$B$38,$B$39)*100)</f>
        <v>14.67350917930586</v>
      </c>
      <c r="D34" s="235"/>
      <c r="G34" s="15"/>
    </row>
    <row r="35" spans="1:7">
      <c r="A35" s="173" t="s">
        <v>74</v>
      </c>
      <c r="B35" s="33">
        <f>IF((($B$28-$B$32-$B$39-$B$77-$B$38)*C21/100)&lt;0,0,($B$28-$B$32-$B$39-$B$77-$B$38)*C21/100)</f>
        <v>556.43093922651929</v>
      </c>
      <c r="C35" s="169">
        <f>IF(ISERROR(B35/SUM($B$32,$B$34,$B$35,$B$36,$B$38,$B$39)*100),0,B35/SUM($B$32,$B$34,$B$35,$B$36,$B$38,$B$39)*100)</f>
        <v>14.147748264086429</v>
      </c>
      <c r="D35" s="235"/>
      <c r="G35" s="15"/>
    </row>
    <row r="36" spans="1:7">
      <c r="A36" s="173" t="s">
        <v>75</v>
      </c>
      <c r="B36" s="33">
        <f>IF((($B$28-$B$32-$B$39-$B$77-$B$38)*C22/100)&lt;0,0,($B$28-$B$32-$B$39-$B$77-$B$38)*C22/100)</f>
        <v>227.45994475138119</v>
      </c>
      <c r="C36" s="169">
        <f>IF(ISERROR(B36/SUM($B$32,$B$34,$B$35,$B$36,$B$38,$B$39)*100),0,B36/SUM($B$32,$B$34,$B$35,$B$36,$B$38,$B$39)*100)</f>
        <v>5.7833700674137098</v>
      </c>
      <c r="D36" s="235"/>
      <c r="G36" s="15"/>
    </row>
    <row r="37" spans="1:7">
      <c r="A37" s="173" t="s">
        <v>76</v>
      </c>
      <c r="B37" s="34" t="s">
        <v>111</v>
      </c>
      <c r="C37" s="169"/>
      <c r="D37" s="175"/>
      <c r="G37" s="15"/>
    </row>
    <row r="38" spans="1:7">
      <c r="A38" s="173" t="s">
        <v>77</v>
      </c>
      <c r="B38" s="33">
        <f>IF((B24-(B29-B18)*0.1)&lt;0,0,B24-(B29-B18)*0.1)</f>
        <v>209.7</v>
      </c>
      <c r="C38" s="169">
        <f>IF(ISERROR(B38/SUM($B$32,$B$34,$B$35,$B$36,$B$38,$B$39)*100),0,B38/SUM($B$32,$B$34,$B$35,$B$36,$B$38,$B$39)*100)</f>
        <v>5.3318077803203661</v>
      </c>
      <c r="D38" s="236"/>
      <c r="G38" s="15"/>
    </row>
    <row r="39" spans="1:7">
      <c r="A39" s="173" t="s">
        <v>78</v>
      </c>
      <c r="B39" s="33">
        <f>IF((B25-(B29-B18))&lt;0,0,B25-(B29-B18)*0.9)</f>
        <v>919.3</v>
      </c>
      <c r="C39" s="169">
        <f>IF(ISERROR(B39/SUM($B$32,$B$34,$B$35,$B$36,$B$38,$B$39)*100),0,B39/SUM($B$32,$B$34,$B$35,$B$36,$B$38,$B$39)*100)</f>
        <v>23.37401474701246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1443</v>
      </c>
      <c r="C44" s="34" t="s">
        <v>111</v>
      </c>
      <c r="D44" s="176"/>
    </row>
    <row r="45" spans="1:7">
      <c r="A45" s="173" t="s">
        <v>72</v>
      </c>
      <c r="B45" s="33" t="str">
        <f t="shared" si="0"/>
        <v>-</v>
      </c>
      <c r="C45" s="34" t="s">
        <v>111</v>
      </c>
      <c r="D45" s="176"/>
    </row>
    <row r="46" spans="1:7">
      <c r="A46" s="173" t="s">
        <v>73</v>
      </c>
      <c r="B46" s="33">
        <f t="shared" si="0"/>
        <v>577.10911602209944</v>
      </c>
      <c r="C46" s="34" t="s">
        <v>111</v>
      </c>
      <c r="D46" s="176"/>
    </row>
    <row r="47" spans="1:7">
      <c r="A47" s="173" t="s">
        <v>74</v>
      </c>
      <c r="B47" s="33">
        <f t="shared" si="0"/>
        <v>556.43093922651929</v>
      </c>
      <c r="C47" s="34" t="s">
        <v>111</v>
      </c>
      <c r="D47" s="176"/>
    </row>
    <row r="48" spans="1:7">
      <c r="A48" s="173" t="s">
        <v>75</v>
      </c>
      <c r="B48" s="33">
        <f t="shared" si="0"/>
        <v>227.45994475138119</v>
      </c>
      <c r="C48" s="33">
        <f>B48*10</f>
        <v>2274.5994475138118</v>
      </c>
      <c r="D48" s="236"/>
    </row>
    <row r="49" spans="1:6">
      <c r="A49" s="173" t="s">
        <v>76</v>
      </c>
      <c r="B49" s="33" t="str">
        <f t="shared" si="0"/>
        <v>-</v>
      </c>
      <c r="C49" s="34" t="s">
        <v>111</v>
      </c>
      <c r="D49" s="236"/>
    </row>
    <row r="50" spans="1:6">
      <c r="A50" s="173" t="s">
        <v>77</v>
      </c>
      <c r="B50" s="33">
        <f t="shared" si="0"/>
        <v>209.7</v>
      </c>
      <c r="C50" s="33">
        <f>B50*2</f>
        <v>419.4</v>
      </c>
      <c r="D50" s="236"/>
    </row>
    <row r="51" spans="1:6">
      <c r="A51" s="173" t="s">
        <v>78</v>
      </c>
      <c r="B51" s="33">
        <f t="shared" si="0"/>
        <v>919.3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13746.606578543964</v>
      </c>
      <c r="C5" s="17">
        <f>IF(ISERROR('Eigen informatie GS &amp; warmtenet'!B58),0,'Eigen informatie GS &amp; warmtenet'!B58)</f>
        <v>0</v>
      </c>
      <c r="D5" s="30">
        <f>SUM(D6:D12)</f>
        <v>9192.7596823498443</v>
      </c>
      <c r="E5" s="17">
        <f>SUM(E6:E12)</f>
        <v>163.92338886674747</v>
      </c>
      <c r="F5" s="17">
        <f>SUM(F6:F12)</f>
        <v>2729.6436373962206</v>
      </c>
      <c r="G5" s="18"/>
      <c r="H5" s="17"/>
      <c r="I5" s="17"/>
      <c r="J5" s="17">
        <f>SUM(J6:J12)</f>
        <v>0</v>
      </c>
      <c r="K5" s="17"/>
      <c r="L5" s="17"/>
      <c r="M5" s="17"/>
      <c r="N5" s="17">
        <f>SUM(N6:N12)</f>
        <v>1314.3023419546557</v>
      </c>
      <c r="O5" s="17">
        <f>B38*B39*B40</f>
        <v>0</v>
      </c>
      <c r="P5" s="17">
        <f>B46*B47*B48/1000-B46*B47*B48/1000/B49</f>
        <v>19.066666666666666</v>
      </c>
      <c r="R5" s="32"/>
    </row>
    <row r="6" spans="1:18">
      <c r="A6" s="32" t="s">
        <v>54</v>
      </c>
      <c r="B6" s="37">
        <f>B26</f>
        <v>747.78490354880898</v>
      </c>
      <c r="C6" s="33"/>
      <c r="D6" s="37">
        <f>IF(ISERROR(TER_kantoor_gas_kWh/1000),0,TER_kantoor_gas_kWh/1000)*0.902</f>
        <v>1312.4545331046988</v>
      </c>
      <c r="E6" s="33">
        <f>$C$26*'E Balans VL '!I12/100/3.6*1000000</f>
        <v>2.9053026655754199</v>
      </c>
      <c r="F6" s="33">
        <f>$C$26*('E Balans VL '!L12+'E Balans VL '!N12)/100/3.6*1000000</f>
        <v>113.7312795296374</v>
      </c>
      <c r="G6" s="34"/>
      <c r="H6" s="33"/>
      <c r="I6" s="33"/>
      <c r="J6" s="33">
        <f>$C$26*('E Balans VL '!D12+'E Balans VL '!E12)/100/3.6*1000000</f>
        <v>0</v>
      </c>
      <c r="K6" s="33"/>
      <c r="L6" s="33"/>
      <c r="M6" s="33"/>
      <c r="N6" s="33">
        <f>$C$26*'E Balans VL '!Y12/100/3.6*1000000</f>
        <v>0.41211906428069756</v>
      </c>
      <c r="O6" s="33"/>
      <c r="P6" s="33"/>
      <c r="R6" s="32"/>
    </row>
    <row r="7" spans="1:18">
      <c r="A7" s="32" t="s">
        <v>53</v>
      </c>
      <c r="B7" s="37">
        <f t="shared" ref="B7:B12" si="0">B27</f>
        <v>601.21734491513598</v>
      </c>
      <c r="C7" s="33"/>
      <c r="D7" s="37">
        <f>IF(ISERROR(TER_horeca_gas_kWh/1000),0,TER_horeca_gas_kWh/1000)*0.902</f>
        <v>447.3918599391917</v>
      </c>
      <c r="E7" s="33">
        <f>$C$27*'E Balans VL '!I9/100/3.6*1000000</f>
        <v>33.866733777956014</v>
      </c>
      <c r="F7" s="33">
        <f>$C$27*('E Balans VL '!L9+'E Balans VL '!N9)/100/3.6*1000000</f>
        <v>173.35508812586957</v>
      </c>
      <c r="G7" s="34"/>
      <c r="H7" s="33"/>
      <c r="I7" s="33"/>
      <c r="J7" s="33">
        <f>$C$27*('E Balans VL '!D9+'E Balans VL '!E9)/100/3.6*1000000</f>
        <v>0</v>
      </c>
      <c r="K7" s="33"/>
      <c r="L7" s="33"/>
      <c r="M7" s="33"/>
      <c r="N7" s="33">
        <f>$C$27*'E Balans VL '!Y9/100/3.6*1000000</f>
        <v>0.16599298471179663</v>
      </c>
      <c r="O7" s="33"/>
      <c r="P7" s="33"/>
      <c r="R7" s="32"/>
    </row>
    <row r="8" spans="1:18">
      <c r="A8" s="6" t="s">
        <v>52</v>
      </c>
      <c r="B8" s="37">
        <f t="shared" si="0"/>
        <v>1936.9291805924302</v>
      </c>
      <c r="C8" s="33"/>
      <c r="D8" s="37">
        <f>IF(ISERROR(TER_handel_gas_kWh/1000),0,TER_handel_gas_kWh/1000)*0.902</f>
        <v>279.61890424908398</v>
      </c>
      <c r="E8" s="33">
        <f>$C$28*'E Balans VL '!I13/100/3.6*1000000</f>
        <v>27.917720839357479</v>
      </c>
      <c r="F8" s="33">
        <f>$C$28*('E Balans VL '!L13+'E Balans VL '!N13)/100/3.6*1000000</f>
        <v>336.48970670568252</v>
      </c>
      <c r="G8" s="34"/>
      <c r="H8" s="33"/>
      <c r="I8" s="33"/>
      <c r="J8" s="33">
        <f>$C$28*('E Balans VL '!D13+'E Balans VL '!E13)/100/3.6*1000000</f>
        <v>0</v>
      </c>
      <c r="K8" s="33"/>
      <c r="L8" s="33"/>
      <c r="M8" s="33"/>
      <c r="N8" s="33">
        <f>$C$28*'E Balans VL '!Y13/100/3.6*1000000</f>
        <v>5.8032554484531786</v>
      </c>
      <c r="O8" s="33"/>
      <c r="P8" s="33"/>
      <c r="R8" s="32"/>
    </row>
    <row r="9" spans="1:18">
      <c r="A9" s="32" t="s">
        <v>51</v>
      </c>
      <c r="B9" s="37">
        <f t="shared" si="0"/>
        <v>1832.6559193268299</v>
      </c>
      <c r="C9" s="33"/>
      <c r="D9" s="37">
        <f>IF(ISERROR(TER_gezond_gas_kWh/1000),0,TER_gezond_gas_kWh/1000)*0.902</f>
        <v>4977.9208019293101</v>
      </c>
      <c r="E9" s="33">
        <f>$C$29*'E Balans VL '!I10/100/3.6*1000000</f>
        <v>1.9577515288112652</v>
      </c>
      <c r="F9" s="33">
        <f>$C$29*('E Balans VL '!L10+'E Balans VL '!N10)/100/3.6*1000000</f>
        <v>298.96187694561894</v>
      </c>
      <c r="G9" s="34"/>
      <c r="H9" s="33"/>
      <c r="I9" s="33"/>
      <c r="J9" s="33">
        <f>$C$29*('E Balans VL '!D10+'E Balans VL '!E10)/100/3.6*1000000</f>
        <v>0</v>
      </c>
      <c r="K9" s="33"/>
      <c r="L9" s="33"/>
      <c r="M9" s="33"/>
      <c r="N9" s="33">
        <f>$C$29*'E Balans VL '!Y10/100/3.6*1000000</f>
        <v>18.866146996864035</v>
      </c>
      <c r="O9" s="33"/>
      <c r="P9" s="33"/>
      <c r="R9" s="32"/>
    </row>
    <row r="10" spans="1:18">
      <c r="A10" s="32" t="s">
        <v>50</v>
      </c>
      <c r="B10" s="37">
        <f t="shared" si="0"/>
        <v>979.68953055924806</v>
      </c>
      <c r="C10" s="33"/>
      <c r="D10" s="37">
        <f>IF(ISERROR(TER_ander_gas_kWh/1000),0,TER_ander_gas_kWh/1000)*0.902</f>
        <v>564.23379678897959</v>
      </c>
      <c r="E10" s="33">
        <f>$C$30*'E Balans VL '!I14/100/3.6*1000000</f>
        <v>4.5054431292019519</v>
      </c>
      <c r="F10" s="33">
        <f>$C$30*('E Balans VL '!L14+'E Balans VL '!N14)/100/3.6*1000000</f>
        <v>293.64385449383627</v>
      </c>
      <c r="G10" s="34"/>
      <c r="H10" s="33"/>
      <c r="I10" s="33"/>
      <c r="J10" s="33">
        <f>$C$30*('E Balans VL '!D14+'E Balans VL '!E14)/100/3.6*1000000</f>
        <v>0</v>
      </c>
      <c r="K10" s="33"/>
      <c r="L10" s="33"/>
      <c r="M10" s="33"/>
      <c r="N10" s="33">
        <f>$C$30*'E Balans VL '!Y14/100/3.6*1000000</f>
        <v>681.92858332822209</v>
      </c>
      <c r="O10" s="33"/>
      <c r="P10" s="33"/>
      <c r="R10" s="32"/>
    </row>
    <row r="11" spans="1:18">
      <c r="A11" s="32" t="s">
        <v>55</v>
      </c>
      <c r="B11" s="37">
        <f t="shared" si="0"/>
        <v>0</v>
      </c>
      <c r="C11" s="33"/>
      <c r="D11" s="37">
        <f>IF(ISERROR(TER_onderwijs_gas_kWh/1000),0,TER_onderwijs_gas_kWh/1000)*0.902</f>
        <v>290.29235758069609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7648.3296996015097</v>
      </c>
      <c r="C12" s="33"/>
      <c r="D12" s="37">
        <f>IF(ISERROR(TER_rest_gas_kWh/1000),0,TER_rest_gas_kWh/1000)*0.902</f>
        <v>1320.847428757884</v>
      </c>
      <c r="E12" s="33">
        <f>$C$32*'E Balans VL '!I8/100/3.6*1000000</f>
        <v>92.77043692584536</v>
      </c>
      <c r="F12" s="33">
        <f>$C$32*('E Balans VL '!L8+'E Balans VL '!N8)/100/3.6*1000000</f>
        <v>1513.4618315955756</v>
      </c>
      <c r="G12" s="34"/>
      <c r="H12" s="33"/>
      <c r="I12" s="33"/>
      <c r="J12" s="33">
        <f>$C$32*('E Balans VL '!D8+'E Balans VL '!E8)/100/3.6*1000000</f>
        <v>0</v>
      </c>
      <c r="K12" s="33"/>
      <c r="L12" s="33"/>
      <c r="M12" s="33"/>
      <c r="N12" s="33">
        <f>$C$32*'E Balans VL '!Y8/100/3.6*1000000</f>
        <v>607.12624413212393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13746.606578543964</v>
      </c>
      <c r="C16" s="21">
        <f t="shared" ca="1" si="1"/>
        <v>0</v>
      </c>
      <c r="D16" s="21">
        <f t="shared" ca="1" si="1"/>
        <v>9192.7596823498443</v>
      </c>
      <c r="E16" s="21">
        <f t="shared" si="1"/>
        <v>163.92338886674747</v>
      </c>
      <c r="F16" s="21">
        <f t="shared" ca="1" si="1"/>
        <v>2729.6436373962206</v>
      </c>
      <c r="G16" s="21">
        <f t="shared" si="1"/>
        <v>0</v>
      </c>
      <c r="H16" s="21">
        <f t="shared" si="1"/>
        <v>0</v>
      </c>
      <c r="I16" s="21">
        <f t="shared" si="1"/>
        <v>0</v>
      </c>
      <c r="J16" s="21">
        <f t="shared" si="1"/>
        <v>0</v>
      </c>
      <c r="K16" s="21">
        <f t="shared" si="1"/>
        <v>0</v>
      </c>
      <c r="L16" s="21">
        <f t="shared" ca="1" si="1"/>
        <v>0</v>
      </c>
      <c r="M16" s="21">
        <f t="shared" si="1"/>
        <v>0</v>
      </c>
      <c r="N16" s="21">
        <f t="shared" ca="1" si="1"/>
        <v>1314.3023419546557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0.19686810317207998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2706.2683621707865</v>
      </c>
      <c r="C20" s="23">
        <f t="shared" ref="C20:P20" ca="1" si="2">C16*C18</f>
        <v>0</v>
      </c>
      <c r="D20" s="23">
        <f t="shared" ca="1" si="2"/>
        <v>1856.9374558346688</v>
      </c>
      <c r="E20" s="23">
        <f t="shared" si="2"/>
        <v>37.210609272751675</v>
      </c>
      <c r="F20" s="23">
        <f t="shared" ca="1" si="2"/>
        <v>728.81485118479088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747.78490354880898</v>
      </c>
      <c r="C26" s="39">
        <f>IF(ISERROR(B26*3.6/1000000/'E Balans VL '!Z12*100),0,B26*3.6/1000000/'E Balans VL '!Z12*100)</f>
        <v>1.5883321755865994E-2</v>
      </c>
      <c r="D26" s="239" t="s">
        <v>692</v>
      </c>
      <c r="F26" s="6"/>
    </row>
    <row r="27" spans="1:18">
      <c r="A27" s="233" t="s">
        <v>53</v>
      </c>
      <c r="B27" s="33">
        <f>IF(ISERROR(TER_horeca_ele_kWh/1000),0,TER_horeca_ele_kWh/1000)</f>
        <v>601.21734491513598</v>
      </c>
      <c r="C27" s="39">
        <f>IF(ISERROR(B27*3.6/1000000/'E Balans VL '!Z9*100),0,B27*3.6/1000000/'E Balans VL '!Z9*100)</f>
        <v>4.6748310027855136E-2</v>
      </c>
      <c r="D27" s="239" t="s">
        <v>692</v>
      </c>
      <c r="F27" s="6"/>
    </row>
    <row r="28" spans="1:18">
      <c r="A28" s="173" t="s">
        <v>52</v>
      </c>
      <c r="B28" s="33">
        <f>IF(ISERROR(TER_handel_ele_kWh/1000),0,TER_handel_ele_kWh/1000)</f>
        <v>1936.9291805924302</v>
      </c>
      <c r="C28" s="39">
        <f>IF(ISERROR(B28*3.6/1000000/'E Balans VL '!Z13*100),0,B28*3.6/1000000/'E Balans VL '!Z13*100)</f>
        <v>5.5417823394361257E-2</v>
      </c>
      <c r="D28" s="239" t="s">
        <v>692</v>
      </c>
      <c r="F28" s="6"/>
    </row>
    <row r="29" spans="1:18">
      <c r="A29" s="233" t="s">
        <v>51</v>
      </c>
      <c r="B29" s="33">
        <f>IF(ISERROR(TER_gezond_ele_kWh/1000),0,TER_gezond_ele_kWh/1000)</f>
        <v>1832.6559193268299</v>
      </c>
      <c r="C29" s="39">
        <f>IF(ISERROR(B29*3.6/1000000/'E Balans VL '!Z10*100),0,B29*3.6/1000000/'E Balans VL '!Z10*100)</f>
        <v>0.1998020810227949</v>
      </c>
      <c r="D29" s="239" t="s">
        <v>692</v>
      </c>
      <c r="F29" s="6"/>
    </row>
    <row r="30" spans="1:18">
      <c r="A30" s="233" t="s">
        <v>50</v>
      </c>
      <c r="B30" s="33">
        <f>IF(ISERROR(TER_ander_ele_kWh/1000),0,TER_ander_ele_kWh/1000)</f>
        <v>979.68953055924806</v>
      </c>
      <c r="C30" s="39">
        <f>IF(ISERROR(B30*3.6/1000000/'E Balans VL '!Z14*100),0,B30*3.6/1000000/'E Balans VL '!Z14*100)</f>
        <v>7.1691457473308046E-2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7648.3296996015097</v>
      </c>
      <c r="C32" s="39">
        <f>IF(ISERROR(B32*3.6/1000000/'E Balans VL '!Z8*100),0,B32*3.6/1000000/'E Balans VL '!Z8*100)</f>
        <v>6.232924551629028E-2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4518.8307761410788</v>
      </c>
      <c r="C5" s="17">
        <f>IF(ISERROR('Eigen informatie GS &amp; warmtenet'!B59),0,'Eigen informatie GS &amp; warmtenet'!B59)</f>
        <v>0</v>
      </c>
      <c r="D5" s="30">
        <f>SUM(D6:D15)</f>
        <v>1054.0207007103406</v>
      </c>
      <c r="E5" s="17">
        <f>SUM(E6:E15)</f>
        <v>1016.81487165664</v>
      </c>
      <c r="F5" s="17">
        <f>SUM(F6:F15)</f>
        <v>2927.8266977027324</v>
      </c>
      <c r="G5" s="18"/>
      <c r="H5" s="17"/>
      <c r="I5" s="17"/>
      <c r="J5" s="17">
        <f>SUM(J6:J15)</f>
        <v>1.7057593298478999</v>
      </c>
      <c r="K5" s="17"/>
      <c r="L5" s="17"/>
      <c r="M5" s="17"/>
      <c r="N5" s="17">
        <f>SUM(N6:N15)</f>
        <v>1364.9231115471725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50.130139185458901</v>
      </c>
      <c r="C8" s="33"/>
      <c r="D8" s="37">
        <f>IF( ISERROR(IND_metaal_Gas_kWH/1000),0,IND_metaal_Gas_kWH/1000)*0.902</f>
        <v>0</v>
      </c>
      <c r="E8" s="33">
        <f>C30*'E Balans VL '!I18/100/3.6*1000000</f>
        <v>1.4399257628650148</v>
      </c>
      <c r="F8" s="33">
        <f>C30*'E Balans VL '!L18/100/3.6*1000000+C30*'E Balans VL '!N18/100/3.6*1000000</f>
        <v>12.857416559935711</v>
      </c>
      <c r="G8" s="34"/>
      <c r="H8" s="33"/>
      <c r="I8" s="33"/>
      <c r="J8" s="40">
        <f>C30*'E Balans VL '!D18/100/3.6*1000000+C30*'E Balans VL '!E18/100/3.6*1000000</f>
        <v>0</v>
      </c>
      <c r="K8" s="33"/>
      <c r="L8" s="33"/>
      <c r="M8" s="33"/>
      <c r="N8" s="33">
        <f>C30*'E Balans VL '!Y18/100/3.6*1000000</f>
        <v>1.361135608997184</v>
      </c>
      <c r="O8" s="33"/>
      <c r="P8" s="33"/>
      <c r="R8" s="32"/>
    </row>
    <row r="9" spans="1:18">
      <c r="A9" s="6" t="s">
        <v>33</v>
      </c>
      <c r="B9" s="37">
        <f t="shared" si="0"/>
        <v>3532.3532980957798</v>
      </c>
      <c r="C9" s="33"/>
      <c r="D9" s="37">
        <f>IF( ISERROR(IND_andere_gas_kWh/1000),0,IND_andere_gas_kWh/1000)*0.902</f>
        <v>531.11281970026573</v>
      </c>
      <c r="E9" s="33">
        <f>C31*'E Balans VL '!I19/100/3.6*1000000</f>
        <v>956.12118768111861</v>
      </c>
      <c r="F9" s="33">
        <f>C31*'E Balans VL '!L19/100/3.6*1000000+C31*'E Balans VL '!N19/100/3.6*1000000</f>
        <v>2352.9210975941255</v>
      </c>
      <c r="G9" s="34"/>
      <c r="H9" s="33"/>
      <c r="I9" s="33"/>
      <c r="J9" s="40">
        <f>C31*'E Balans VL '!D19/100/3.6*1000000+C31*'E Balans VL '!E19/100/3.6*1000000</f>
        <v>0</v>
      </c>
      <c r="K9" s="33"/>
      <c r="L9" s="33"/>
      <c r="M9" s="33"/>
      <c r="N9" s="33">
        <f>C31*'E Balans VL '!Y19/100/3.6*1000000</f>
        <v>1153.2546744165584</v>
      </c>
      <c r="O9" s="33"/>
      <c r="P9" s="33"/>
      <c r="R9" s="32"/>
    </row>
    <row r="10" spans="1:18">
      <c r="A10" s="6" t="s">
        <v>41</v>
      </c>
      <c r="B10" s="37">
        <f t="shared" si="0"/>
        <v>272.23644980850298</v>
      </c>
      <c r="C10" s="33"/>
      <c r="D10" s="37">
        <f>IF( ISERROR(IND_voed_gas_kWh/1000),0,IND_voed_gas_kWh/1000)*0.902</f>
        <v>203.58741220599779</v>
      </c>
      <c r="E10" s="33">
        <f>C32*'E Balans VL '!I20/100/3.6*1000000</f>
        <v>22.204230293349962</v>
      </c>
      <c r="F10" s="33">
        <f>C32*'E Balans VL '!L20/100/3.6*1000000+C32*'E Balans VL '!N20/100/3.6*1000000</f>
        <v>405.92924611940271</v>
      </c>
      <c r="G10" s="34"/>
      <c r="H10" s="33"/>
      <c r="I10" s="33"/>
      <c r="J10" s="40">
        <f>C32*'E Balans VL '!D20/100/3.6*1000000+C32*'E Balans VL '!E20/100/3.6*1000000</f>
        <v>3.6013577802465929E-3</v>
      </c>
      <c r="K10" s="33"/>
      <c r="L10" s="33"/>
      <c r="M10" s="33"/>
      <c r="N10" s="33">
        <f>C32*'E Balans VL '!Y20/100/3.6*1000000</f>
        <v>79.973462765239177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664.11088905133704</v>
      </c>
      <c r="C15" s="33"/>
      <c r="D15" s="37">
        <f>IF( ISERROR(IND_rest_gas_kWh/1000),0,IND_rest_gas_kWh/1000)*0.902</f>
        <v>319.32046880407711</v>
      </c>
      <c r="E15" s="33">
        <f>C37*'E Balans VL '!I15/100/3.6*1000000</f>
        <v>37.049527919306513</v>
      </c>
      <c r="F15" s="33">
        <f>C37*'E Balans VL '!L15/100/3.6*1000000+C37*'E Balans VL '!N15/100/3.6*1000000</f>
        <v>156.11893742926867</v>
      </c>
      <c r="G15" s="34"/>
      <c r="H15" s="33"/>
      <c r="I15" s="33"/>
      <c r="J15" s="40">
        <f>C37*'E Balans VL '!D15/100/3.6*1000000+C37*'E Balans VL '!E15/100/3.6*1000000</f>
        <v>1.7021579720676534</v>
      </c>
      <c r="K15" s="33"/>
      <c r="L15" s="33"/>
      <c r="M15" s="33"/>
      <c r="N15" s="33">
        <f>C37*'E Balans VL '!Y15/100/3.6*1000000</f>
        <v>130.33383875637793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4518.8307761410788</v>
      </c>
      <c r="C18" s="21">
        <f>C5+C16</f>
        <v>0</v>
      </c>
      <c r="D18" s="21">
        <f>MAX((D5+D16),0)</f>
        <v>1054.0207007103406</v>
      </c>
      <c r="E18" s="21">
        <f>MAX((E5+E16),0)</f>
        <v>1016.81487165664</v>
      </c>
      <c r="F18" s="21">
        <f>MAX((F5+F16),0)</f>
        <v>2927.8266977027324</v>
      </c>
      <c r="G18" s="21"/>
      <c r="H18" s="21"/>
      <c r="I18" s="21"/>
      <c r="J18" s="21">
        <f>MAX((J5+J16),0)</f>
        <v>1.7057593298478999</v>
      </c>
      <c r="K18" s="21"/>
      <c r="L18" s="21">
        <f>MAX((L5+L16),0)</f>
        <v>0</v>
      </c>
      <c r="M18" s="21"/>
      <c r="N18" s="21">
        <f>MAX((N5+N16),0)</f>
        <v>1364.9231115471725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0.19686810317207998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889.61364345451216</v>
      </c>
      <c r="C22" s="23">
        <f ca="1">C18*C20</f>
        <v>0</v>
      </c>
      <c r="D22" s="23">
        <f>D18*D20</f>
        <v>212.91218154348883</v>
      </c>
      <c r="E22" s="23">
        <f>E18*E20</f>
        <v>230.81697586605728</v>
      </c>
      <c r="F22" s="23">
        <f>F18*F20</f>
        <v>781.72972828662955</v>
      </c>
      <c r="G22" s="23"/>
      <c r="H22" s="23"/>
      <c r="I22" s="23"/>
      <c r="J22" s="23">
        <f>J18*J20</f>
        <v>0.60383880276615653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50.130139185458901</v>
      </c>
      <c r="C30" s="39">
        <f>IF(ISERROR(B30*3.6/1000000/'E Balans VL '!Z18*100),0,B30*3.6/1000000/'E Balans VL '!Z18*100)</f>
        <v>4.9326777272356796E-3</v>
      </c>
      <c r="D30" s="239" t="s">
        <v>692</v>
      </c>
    </row>
    <row r="31" spans="1:18">
      <c r="A31" s="6" t="s">
        <v>33</v>
      </c>
      <c r="B31" s="37">
        <f>IF( ISERROR(IND_ander_ele_kWh/1000),0,IND_ander_ele_kWh/1000)</f>
        <v>3532.3532980957798</v>
      </c>
      <c r="C31" s="39">
        <f>IF(ISERROR(B31*3.6/1000000/'E Balans VL '!Z19*100),0,B31*3.6/1000000/'E Balans VL '!Z19*100)</f>
        <v>0.1538311684016018</v>
      </c>
      <c r="D31" s="239" t="s">
        <v>692</v>
      </c>
    </row>
    <row r="32" spans="1:18">
      <c r="A32" s="173" t="s">
        <v>41</v>
      </c>
      <c r="B32" s="37">
        <f>IF( ISERROR(IND_voed_ele_kWh/1000),0,IND_voed_ele_kWh/1000)</f>
        <v>272.23644980850298</v>
      </c>
      <c r="C32" s="39">
        <f>IF(ISERROR(B32*3.6/1000000/'E Balans VL '!Z20*100),0,B32*3.6/1000000/'E Balans VL '!Z20*100)</f>
        <v>5.1652940274451088E-2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664.11088905133704</v>
      </c>
      <c r="C37" s="39">
        <f>IF(ISERROR(B37*3.6/1000000/'E Balans VL '!Z15*100),0,B37*3.6/1000000/'E Balans VL '!Z15*100)</f>
        <v>5.1177900964506015E-3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4632.8959004218241</v>
      </c>
      <c r="C5" s="17">
        <f>'Eigen informatie GS &amp; warmtenet'!B60</f>
        <v>0</v>
      </c>
      <c r="D5" s="30">
        <f>IF(ISERROR(SUM(LB_lb_gas_kWh,LB_rest_gas_kWh,onbekend_gas_kWh)/1000),0,SUM(LB_lb_gas_kWh,LB_rest_gas_kWh,onbekend_gas_kWh)/1000)*0.902</f>
        <v>1466.0428799720569</v>
      </c>
      <c r="E5" s="17">
        <f>B17*'E Balans VL '!I25/3.6*1000000/100</f>
        <v>58.380456728729889</v>
      </c>
      <c r="F5" s="17">
        <f>B17*('E Balans VL '!L25/3.6*1000000+'E Balans VL '!N25/3.6*1000000)/100</f>
        <v>15984.651466227629</v>
      </c>
      <c r="G5" s="18"/>
      <c r="H5" s="17"/>
      <c r="I5" s="17"/>
      <c r="J5" s="17">
        <f>('E Balans VL '!D25+'E Balans VL '!E25)/3.6*1000000*landbouw!B17/100</f>
        <v>696.73487852156381</v>
      </c>
      <c r="K5" s="17"/>
      <c r="L5" s="17">
        <f>L6*(-1)</f>
        <v>0</v>
      </c>
      <c r="M5" s="17"/>
      <c r="N5" s="17">
        <f>N6*(-1)</f>
        <v>0</v>
      </c>
      <c r="O5" s="17"/>
      <c r="P5" s="17"/>
      <c r="R5" s="32"/>
    </row>
    <row r="6" spans="1:18">
      <c r="A6" s="16" t="s">
        <v>497</v>
      </c>
      <c r="B6" s="17" t="s">
        <v>211</v>
      </c>
      <c r="C6" s="17">
        <f>'lokale energieproductie'!O91+'lokale energieproductie'!O60</f>
        <v>18192.857142857145</v>
      </c>
      <c r="D6" s="312">
        <f>('lokale energieproductie'!P60+'lokale energieproductie'!P91)*(-1)</f>
        <v>-36385.71428571429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4632.8959004218241</v>
      </c>
      <c r="C8" s="21">
        <f>C5+C6</f>
        <v>18192.857142857145</v>
      </c>
      <c r="D8" s="21">
        <f>MAX((D5+D6),0)</f>
        <v>0</v>
      </c>
      <c r="E8" s="21">
        <f>MAX((E5+E6),0)</f>
        <v>58.380456728729889</v>
      </c>
      <c r="F8" s="21">
        <f>MAX((F5+F6),0)</f>
        <v>15984.651466227629</v>
      </c>
      <c r="G8" s="21"/>
      <c r="H8" s="21"/>
      <c r="I8" s="21"/>
      <c r="J8" s="21">
        <f>MAX((J5+J6),0)</f>
        <v>696.73487852156381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0.19686810317207998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912.06942810974999</v>
      </c>
      <c r="C12" s="23">
        <f ca="1">C8*C10</f>
        <v>4323.4789915966394</v>
      </c>
      <c r="D12" s="23">
        <f>D8*D10</f>
        <v>0</v>
      </c>
      <c r="E12" s="23">
        <f>E8*E10</f>
        <v>13.252363677421686</v>
      </c>
      <c r="F12" s="23">
        <f>F8*F10</f>
        <v>4267.9019414827771</v>
      </c>
      <c r="G12" s="23"/>
      <c r="H12" s="23"/>
      <c r="I12" s="23"/>
      <c r="J12" s="23">
        <f>J8*J10</f>
        <v>246.64414699663357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0.64614295770600738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641.90144024159781</v>
      </c>
      <c r="C26" s="249">
        <f>B26*'GWP N2O_CH4'!B5</f>
        <v>13479.930245073554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417.8023030811533</v>
      </c>
      <c r="C27" s="249">
        <f>B27*'GWP N2O_CH4'!B5</f>
        <v>8773.8483647042194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9.4529690948501859</v>
      </c>
      <c r="C28" s="249">
        <f>B28*'GWP N2O_CH4'!B4</f>
        <v>2930.4204194035578</v>
      </c>
      <c r="D28" s="50"/>
    </row>
    <row r="29" spans="1:4">
      <c r="A29" s="41" t="s">
        <v>277</v>
      </c>
      <c r="B29" s="249">
        <f>B34*'ha_N2O bodem landbouw'!B4</f>
        <v>24.380462669192053</v>
      </c>
      <c r="C29" s="249">
        <f>B29*'GWP N2O_CH4'!B4</f>
        <v>7557.9434274495361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6.0875579121148797E-3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1.038564687354753E-5</v>
      </c>
      <c r="C5" s="448" t="s">
        <v>211</v>
      </c>
      <c r="D5" s="433">
        <f>SUM(D6:D11)</f>
        <v>1.97613379740953E-5</v>
      </c>
      <c r="E5" s="433">
        <f>SUM(E6:E11)</f>
        <v>5.9208308436000659E-4</v>
      </c>
      <c r="F5" s="446" t="s">
        <v>211</v>
      </c>
      <c r="G5" s="433">
        <f>SUM(G6:G11)</f>
        <v>0.13795436612282039</v>
      </c>
      <c r="H5" s="433">
        <f>SUM(H6:H11)</f>
        <v>2.9290220811000904E-2</v>
      </c>
      <c r="I5" s="448" t="s">
        <v>211</v>
      </c>
      <c r="J5" s="448" t="s">
        <v>211</v>
      </c>
      <c r="K5" s="448" t="s">
        <v>211</v>
      </c>
      <c r="L5" s="448" t="s">
        <v>211</v>
      </c>
      <c r="M5" s="433">
        <f>SUM(M6:M11)</f>
        <v>7.562880831347641E-3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5.8199461635702656E-6</v>
      </c>
      <c r="C6" s="949"/>
      <c r="D6" s="949">
        <f>vkm_2011_GW_PW*SUMIFS(TableVerdeelsleutelVkm[CNG],TableVerdeelsleutelVkm[Voertuigtype],"Lichte voertuigen")*SUMIFS(TableECFTransport[EnergieConsumptieFactor (PJ per km)],TableECFTransport[Index],CONCATENATE($A6,"_CNG_CNG"))</f>
        <v>8.2421820362622085E-6</v>
      </c>
      <c r="E6" s="949">
        <f>vkm_2011_GW_PW*SUMIFS(TableVerdeelsleutelVkm[LPG],TableVerdeelsleutelVkm[Voertuigtype],"Lichte voertuigen")*SUMIFS(TableECFTransport[EnergieConsumptieFactor (PJ per km)],TableECFTransport[Index],CONCATENATE($A6,"_LPG_LPG"))</f>
        <v>2.5885980377939001E-4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4.6524194848460154E-2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1.2466532371348225E-2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2.6689289909991695E-3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2.1607649877143139E-2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7.6769739999746263E-6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9.7508485546030381E-4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4.5657007099772644E-6</v>
      </c>
      <c r="C8" s="949"/>
      <c r="D8" s="436">
        <f>vkm_2011_NGW_PW*SUMIFS(TableVerdeelsleutelVkm[CNG],TableVerdeelsleutelVkm[Voertuigtype],"Lichte voertuigen")*SUMIFS(TableECFTransport[EnergieConsumptieFactor (PJ per km)],TableECFTransport[Index],CONCATENATE($A8,"_CNG_CNG"))</f>
        <v>1.1519155937833092E-5</v>
      </c>
      <c r="E8" s="436">
        <f>vkm_2011_NGW_PW*SUMIFS(TableVerdeelsleutelVkm[LPG],TableVerdeelsleutelVkm[Voertuigtype],"Lichte voertuigen")*SUMIFS(TableECFTransport[EnergieConsumptieFactor (PJ per km)],TableECFTransport[Index],CONCATENATE($A8,"_LPG_LPG"))</f>
        <v>3.3322328058061663E-4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5.6484577323432303E-2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1.6811527150471621E-2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3.3169794216897862E-3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1.33379440737848E-2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4.4843151810830112E-6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6.0188756319838046E-4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2.8849019093187582</v>
      </c>
      <c r="C14" s="21"/>
      <c r="D14" s="21">
        <f t="shared" ref="D14:M14" si="0">((D5)*10^9/3600)+D12</f>
        <v>5.4892605483598054</v>
      </c>
      <c r="E14" s="21">
        <f t="shared" si="0"/>
        <v>164.46752343333517</v>
      </c>
      <c r="F14" s="21"/>
      <c r="G14" s="21">
        <f t="shared" si="0"/>
        <v>38320.657256338993</v>
      </c>
      <c r="H14" s="21">
        <f t="shared" si="0"/>
        <v>8136.172447500252</v>
      </c>
      <c r="I14" s="21"/>
      <c r="J14" s="21"/>
      <c r="K14" s="21"/>
      <c r="L14" s="21"/>
      <c r="M14" s="21">
        <f t="shared" si="0"/>
        <v>2100.8002309299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0.19686810317207998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0.56794516672509576</v>
      </c>
      <c r="C18" s="23"/>
      <c r="D18" s="23">
        <f t="shared" ref="D18:M18" si="1">D14*D16</f>
        <v>1.1088306307686808</v>
      </c>
      <c r="E18" s="23">
        <f t="shared" si="1"/>
        <v>37.334127819367083</v>
      </c>
      <c r="F18" s="23"/>
      <c r="G18" s="23">
        <f t="shared" si="1"/>
        <v>10231.615487442512</v>
      </c>
      <c r="H18" s="23">
        <f t="shared" si="1"/>
        <v>2025.9069394275627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2.245007343874846E-3</v>
      </c>
      <c r="H50" s="323">
        <f t="shared" si="2"/>
        <v>0</v>
      </c>
      <c r="I50" s="323">
        <f t="shared" si="2"/>
        <v>0</v>
      </c>
      <c r="J50" s="323">
        <f t="shared" si="2"/>
        <v>0</v>
      </c>
      <c r="K50" s="323">
        <f t="shared" si="2"/>
        <v>0</v>
      </c>
      <c r="L50" s="323">
        <f t="shared" si="2"/>
        <v>0</v>
      </c>
      <c r="M50" s="323">
        <f t="shared" si="2"/>
        <v>9.9840967682346355E-5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2.245007343874846E-3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9.9840967682346355E-5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623.61315107634618</v>
      </c>
      <c r="H54" s="21">
        <f t="shared" si="3"/>
        <v>0</v>
      </c>
      <c r="I54" s="21">
        <f t="shared" si="3"/>
        <v>0</v>
      </c>
      <c r="J54" s="21">
        <f t="shared" si="3"/>
        <v>0</v>
      </c>
      <c r="K54" s="21">
        <f t="shared" si="3"/>
        <v>0</v>
      </c>
      <c r="L54" s="21">
        <f t="shared" si="3"/>
        <v>0</v>
      </c>
      <c r="M54" s="21">
        <f t="shared" si="3"/>
        <v>27.733602133985098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0.19686810317207998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166.50471133738444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5485.4880228676739</v>
      </c>
      <c r="C6" s="1251"/>
      <c r="D6" s="1236"/>
      <c r="E6" s="1236"/>
      <c r="F6" s="1254"/>
      <c r="G6" s="1257"/>
      <c r="H6" s="1248"/>
      <c r="I6" s="1236"/>
      <c r="J6" s="1236"/>
      <c r="K6" s="1236"/>
      <c r="L6" s="1240"/>
      <c r="M6" s="561"/>
      <c r="N6" s="1214"/>
      <c r="O6" s="1215"/>
      <c r="Q6" s="559"/>
      <c r="R6" s="1202"/>
      <c r="S6" s="1202"/>
    </row>
    <row r="7" spans="1:19" s="549" customFormat="1">
      <c r="A7" s="562" t="s">
        <v>252</v>
      </c>
      <c r="B7" s="563">
        <f>N57</f>
        <v>12735</v>
      </c>
      <c r="C7" s="564">
        <f>B100</f>
        <v>14982.352941176472</v>
      </c>
      <c r="D7" s="565"/>
      <c r="E7" s="565">
        <f>E100</f>
        <v>0</v>
      </c>
      <c r="F7" s="566"/>
      <c r="G7" s="567"/>
      <c r="H7" s="565">
        <f>I100</f>
        <v>0</v>
      </c>
      <c r="I7" s="565">
        <f>G100+F100</f>
        <v>0</v>
      </c>
      <c r="J7" s="565">
        <f>H100+D100+C100</f>
        <v>0</v>
      </c>
      <c r="K7" s="565"/>
      <c r="L7" s="568"/>
      <c r="M7" s="569">
        <f>C7*$C$11+D7*$D$11+E7*$E$11+F7*$F$11+G7*$G$11+H7*$H$11+I7*$I$11+J7*$J$11</f>
        <v>3026.4352941176476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18220.488022867674</v>
      </c>
      <c r="C9" s="580">
        <f t="shared" ref="C9:L9" si="0">SUM(C7:C8)</f>
        <v>14982.352941176472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3026.4352941176476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18192.857142857145</v>
      </c>
      <c r="C16" s="596">
        <f>B101</f>
        <v>21403.361344537818</v>
      </c>
      <c r="D16" s="597"/>
      <c r="E16" s="597">
        <f>E101</f>
        <v>0</v>
      </c>
      <c r="F16" s="598"/>
      <c r="G16" s="599"/>
      <c r="H16" s="596">
        <f>I101</f>
        <v>0</v>
      </c>
      <c r="I16" s="597">
        <f>G101+F101</f>
        <v>0</v>
      </c>
      <c r="J16" s="597">
        <f>H101+D101+C101</f>
        <v>0</v>
      </c>
      <c r="K16" s="597"/>
      <c r="L16" s="600"/>
      <c r="M16" s="601">
        <f>C16*$C$21+E16*$E$21+H16*$H$21+I16*$I$21+J16*$J$21+D16*$D$21+F16*$F$21+G16*$G$21+K16*$K$21+L16*$L$21</f>
        <v>4323.4789915966394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18192.857142857145</v>
      </c>
      <c r="C19" s="579">
        <f>SUM(C16:C18)</f>
        <v>21403.361344537818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4323.4789915966394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32006</v>
      </c>
      <c r="C27" s="839">
        <v>8650</v>
      </c>
      <c r="D27" s="658" t="s">
        <v>878</v>
      </c>
      <c r="E27" s="657" t="s">
        <v>879</v>
      </c>
      <c r="F27" s="657" t="s">
        <v>880</v>
      </c>
      <c r="G27" s="657" t="s">
        <v>881</v>
      </c>
      <c r="H27" s="657" t="s">
        <v>882</v>
      </c>
      <c r="I27" s="657" t="s">
        <v>883</v>
      </c>
      <c r="J27" s="838">
        <v>40919</v>
      </c>
      <c r="K27" s="838">
        <v>40919</v>
      </c>
      <c r="L27" s="657" t="s">
        <v>884</v>
      </c>
      <c r="M27" s="657">
        <v>2830</v>
      </c>
      <c r="N27" s="657">
        <v>12735</v>
      </c>
      <c r="O27" s="657">
        <v>18192.857142857145</v>
      </c>
      <c r="P27" s="657">
        <v>36385.71428571429</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2830</v>
      </c>
      <c r="N57" s="615">
        <f>SUM(N27:N56)</f>
        <v>12735</v>
      </c>
      <c r="O57" s="615">
        <f t="shared" ref="O57:W57" si="2">SUM(O27:O56)</f>
        <v>18192.857142857145</v>
      </c>
      <c r="P57" s="615">
        <f t="shared" si="2"/>
        <v>36385.71428571429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2830</v>
      </c>
      <c r="N60" s="620">
        <f t="shared" ref="N60:W60" si="4">SUMIF($Z$27:$Z$56,"landbouw",N27:N56)</f>
        <v>12735</v>
      </c>
      <c r="O60" s="620">
        <f t="shared" si="4"/>
        <v>18192.857142857145</v>
      </c>
      <c r="P60" s="620">
        <f t="shared" si="4"/>
        <v>36385.71428571429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14982.352941176472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21403.361344537818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14640.735578543965</v>
      </c>
      <c r="D10" s="704">
        <f ca="1">tertiair!C16</f>
        <v>0</v>
      </c>
      <c r="E10" s="704">
        <f ca="1">tertiair!D16</f>
        <v>9192.7596823498443</v>
      </c>
      <c r="F10" s="704">
        <f>tertiair!E16</f>
        <v>163.92338886674747</v>
      </c>
      <c r="G10" s="704">
        <f ca="1">tertiair!F16</f>
        <v>2729.6436373962206</v>
      </c>
      <c r="H10" s="704">
        <f>tertiair!G16</f>
        <v>0</v>
      </c>
      <c r="I10" s="704">
        <f>tertiair!H16</f>
        <v>0</v>
      </c>
      <c r="J10" s="704">
        <f>tertiair!I16</f>
        <v>0</v>
      </c>
      <c r="K10" s="704">
        <f>tertiair!J16</f>
        <v>0</v>
      </c>
      <c r="L10" s="704">
        <f>tertiair!K16</f>
        <v>0</v>
      </c>
      <c r="M10" s="704">
        <f ca="1">tertiair!L16</f>
        <v>0</v>
      </c>
      <c r="N10" s="704">
        <f>tertiair!M16</f>
        <v>0</v>
      </c>
      <c r="O10" s="704">
        <f ca="1">tertiair!N16</f>
        <v>1314.3023419546557</v>
      </c>
      <c r="P10" s="704">
        <f>tertiair!O16</f>
        <v>0</v>
      </c>
      <c r="Q10" s="705">
        <f>tertiair!P16</f>
        <v>19.066666666666666</v>
      </c>
      <c r="R10" s="707">
        <f ca="1">SUM(C10:Q10)</f>
        <v>28060.4312957781</v>
      </c>
      <c r="S10" s="67"/>
    </row>
    <row r="11" spans="1:19" s="459" customFormat="1">
      <c r="A11" s="858" t="s">
        <v>225</v>
      </c>
      <c r="B11" s="863"/>
      <c r="C11" s="704">
        <f>huishoudens!B8</f>
        <v>17655.706859541457</v>
      </c>
      <c r="D11" s="704">
        <f>huishoudens!C8</f>
        <v>0</v>
      </c>
      <c r="E11" s="704">
        <f>huishoudens!D8</f>
        <v>21375.611616401857</v>
      </c>
      <c r="F11" s="704">
        <f>huishoudens!E8</f>
        <v>12025.628467329185</v>
      </c>
      <c r="G11" s="704">
        <f>huishoudens!F8</f>
        <v>23246.228151740783</v>
      </c>
      <c r="H11" s="704">
        <f>huishoudens!G8</f>
        <v>0</v>
      </c>
      <c r="I11" s="704">
        <f>huishoudens!H8</f>
        <v>0</v>
      </c>
      <c r="J11" s="704">
        <f>huishoudens!I8</f>
        <v>0</v>
      </c>
      <c r="K11" s="704">
        <f>huishoudens!J8</f>
        <v>8531.2407329226444</v>
      </c>
      <c r="L11" s="704">
        <f>huishoudens!K8</f>
        <v>0</v>
      </c>
      <c r="M11" s="704">
        <f>huishoudens!L8</f>
        <v>0</v>
      </c>
      <c r="N11" s="704">
        <f>huishoudens!M8</f>
        <v>0</v>
      </c>
      <c r="O11" s="704">
        <f>huishoudens!N8</f>
        <v>17768.951584644212</v>
      </c>
      <c r="P11" s="704">
        <f>huishoudens!O8</f>
        <v>170.40333333333334</v>
      </c>
      <c r="Q11" s="705">
        <f>huishoudens!P8</f>
        <v>114.4</v>
      </c>
      <c r="R11" s="707">
        <f>SUM(C11:Q11)</f>
        <v>100888.17074591346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4518.8307761410788</v>
      </c>
      <c r="D13" s="704">
        <f>industrie!C18</f>
        <v>0</v>
      </c>
      <c r="E13" s="704">
        <f>industrie!D18</f>
        <v>1054.0207007103406</v>
      </c>
      <c r="F13" s="704">
        <f>industrie!E18</f>
        <v>1016.81487165664</v>
      </c>
      <c r="G13" s="704">
        <f>industrie!F18</f>
        <v>2927.8266977027324</v>
      </c>
      <c r="H13" s="704">
        <f>industrie!G18</f>
        <v>0</v>
      </c>
      <c r="I13" s="704">
        <f>industrie!H18</f>
        <v>0</v>
      </c>
      <c r="J13" s="704">
        <f>industrie!I18</f>
        <v>0</v>
      </c>
      <c r="K13" s="704">
        <f>industrie!J18</f>
        <v>1.7057593298478999</v>
      </c>
      <c r="L13" s="704">
        <f>industrie!K18</f>
        <v>0</v>
      </c>
      <c r="M13" s="704">
        <f>industrie!L18</f>
        <v>0</v>
      </c>
      <c r="N13" s="704">
        <f>industrie!M18</f>
        <v>0</v>
      </c>
      <c r="O13" s="704">
        <f>industrie!N18</f>
        <v>1364.9231115471725</v>
      </c>
      <c r="P13" s="704">
        <f>industrie!O18</f>
        <v>0</v>
      </c>
      <c r="Q13" s="705">
        <f>industrie!P18</f>
        <v>0</v>
      </c>
      <c r="R13" s="707">
        <f>SUM(C13:Q13)</f>
        <v>10884.121917087812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36815.273214226501</v>
      </c>
      <c r="D15" s="709">
        <f t="shared" ref="D15:Q15" ca="1" si="0">SUM(D9:D14)</f>
        <v>0</v>
      </c>
      <c r="E15" s="709">
        <f t="shared" ca="1" si="0"/>
        <v>31622.391999462041</v>
      </c>
      <c r="F15" s="709">
        <f t="shared" si="0"/>
        <v>13206.366727852572</v>
      </c>
      <c r="G15" s="709">
        <f t="shared" ca="1" si="0"/>
        <v>28903.698486839734</v>
      </c>
      <c r="H15" s="709">
        <f t="shared" si="0"/>
        <v>0</v>
      </c>
      <c r="I15" s="709">
        <f t="shared" si="0"/>
        <v>0</v>
      </c>
      <c r="J15" s="709">
        <f t="shared" si="0"/>
        <v>0</v>
      </c>
      <c r="K15" s="709">
        <f t="shared" si="0"/>
        <v>8532.946492252493</v>
      </c>
      <c r="L15" s="709">
        <f t="shared" si="0"/>
        <v>0</v>
      </c>
      <c r="M15" s="709">
        <f t="shared" ca="1" si="0"/>
        <v>0</v>
      </c>
      <c r="N15" s="709">
        <f t="shared" si="0"/>
        <v>0</v>
      </c>
      <c r="O15" s="709">
        <f t="shared" ca="1" si="0"/>
        <v>20448.177038146041</v>
      </c>
      <c r="P15" s="709">
        <f t="shared" si="0"/>
        <v>170.40333333333334</v>
      </c>
      <c r="Q15" s="710">
        <f t="shared" si="0"/>
        <v>133.46666666666667</v>
      </c>
      <c r="R15" s="711">
        <f ca="1">SUM(R9:R14)</f>
        <v>139832.72395877939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623.61315107634618</v>
      </c>
      <c r="I18" s="704">
        <f>transport!H54</f>
        <v>0</v>
      </c>
      <c r="J18" s="704">
        <f>transport!I54</f>
        <v>0</v>
      </c>
      <c r="K18" s="704">
        <f>transport!J54</f>
        <v>0</v>
      </c>
      <c r="L18" s="704">
        <f>transport!K54</f>
        <v>0</v>
      </c>
      <c r="M18" s="704">
        <f>transport!L54</f>
        <v>0</v>
      </c>
      <c r="N18" s="704">
        <f>transport!M54</f>
        <v>27.733602133985098</v>
      </c>
      <c r="O18" s="704">
        <f>transport!N54</f>
        <v>0</v>
      </c>
      <c r="P18" s="704">
        <f>transport!O54</f>
        <v>0</v>
      </c>
      <c r="Q18" s="705">
        <f>transport!P54</f>
        <v>0</v>
      </c>
      <c r="R18" s="707">
        <f>SUM(C18:Q18)</f>
        <v>651.34675321033126</v>
      </c>
      <c r="S18" s="67"/>
    </row>
    <row r="19" spans="1:19" s="459" customFormat="1" ht="15" thickBot="1">
      <c r="A19" s="858" t="s">
        <v>307</v>
      </c>
      <c r="B19" s="863"/>
      <c r="C19" s="713">
        <f>transport!B14</f>
        <v>2.8849019093187582</v>
      </c>
      <c r="D19" s="713">
        <f>transport!C14</f>
        <v>0</v>
      </c>
      <c r="E19" s="713">
        <f>transport!D14</f>
        <v>5.4892605483598054</v>
      </c>
      <c r="F19" s="713">
        <f>transport!E14</f>
        <v>164.46752343333517</v>
      </c>
      <c r="G19" s="713">
        <f>transport!F14</f>
        <v>0</v>
      </c>
      <c r="H19" s="713">
        <f>transport!G14</f>
        <v>38320.657256338993</v>
      </c>
      <c r="I19" s="713">
        <f>transport!H14</f>
        <v>8136.172447500252</v>
      </c>
      <c r="J19" s="713">
        <f>transport!I14</f>
        <v>0</v>
      </c>
      <c r="K19" s="713">
        <f>transport!J14</f>
        <v>0</v>
      </c>
      <c r="L19" s="713">
        <f>transport!K14</f>
        <v>0</v>
      </c>
      <c r="M19" s="713">
        <f>transport!L14</f>
        <v>0</v>
      </c>
      <c r="N19" s="713">
        <f>transport!M14</f>
        <v>2100.8002309299</v>
      </c>
      <c r="O19" s="713">
        <f>transport!N14</f>
        <v>0</v>
      </c>
      <c r="P19" s="713">
        <f>transport!O14</f>
        <v>0</v>
      </c>
      <c r="Q19" s="714">
        <f>transport!P14</f>
        <v>0</v>
      </c>
      <c r="R19" s="715">
        <f>SUM(C19:Q19)</f>
        <v>48730.471620660152</v>
      </c>
      <c r="S19" s="67"/>
    </row>
    <row r="20" spans="1:19" s="459" customFormat="1" ht="15.75" thickBot="1">
      <c r="A20" s="716" t="s">
        <v>230</v>
      </c>
      <c r="B20" s="866"/>
      <c r="C20" s="861">
        <f>SUM(C17:C19)</f>
        <v>2.8849019093187582</v>
      </c>
      <c r="D20" s="717">
        <f t="shared" ref="D20:R20" si="1">SUM(D17:D19)</f>
        <v>0</v>
      </c>
      <c r="E20" s="717">
        <f t="shared" si="1"/>
        <v>5.4892605483598054</v>
      </c>
      <c r="F20" s="717">
        <f t="shared" si="1"/>
        <v>164.46752343333517</v>
      </c>
      <c r="G20" s="717">
        <f t="shared" si="1"/>
        <v>0</v>
      </c>
      <c r="H20" s="717">
        <f t="shared" si="1"/>
        <v>38944.270407415337</v>
      </c>
      <c r="I20" s="717">
        <f t="shared" si="1"/>
        <v>8136.172447500252</v>
      </c>
      <c r="J20" s="717">
        <f t="shared" si="1"/>
        <v>0</v>
      </c>
      <c r="K20" s="717">
        <f t="shared" si="1"/>
        <v>0</v>
      </c>
      <c r="L20" s="717">
        <f t="shared" si="1"/>
        <v>0</v>
      </c>
      <c r="M20" s="717">
        <f t="shared" si="1"/>
        <v>0</v>
      </c>
      <c r="N20" s="717">
        <f t="shared" si="1"/>
        <v>2128.5338330638851</v>
      </c>
      <c r="O20" s="717">
        <f t="shared" si="1"/>
        <v>0</v>
      </c>
      <c r="P20" s="717">
        <f t="shared" si="1"/>
        <v>0</v>
      </c>
      <c r="Q20" s="718">
        <f t="shared" si="1"/>
        <v>0</v>
      </c>
      <c r="R20" s="719">
        <f t="shared" si="1"/>
        <v>49381.818373870483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4632.8959004218241</v>
      </c>
      <c r="D22" s="713">
        <f>+landbouw!C8</f>
        <v>18192.857142857145</v>
      </c>
      <c r="E22" s="713">
        <f>+landbouw!D8</f>
        <v>0</v>
      </c>
      <c r="F22" s="713">
        <f>+landbouw!E8</f>
        <v>58.380456728729889</v>
      </c>
      <c r="G22" s="713">
        <f>+landbouw!F8</f>
        <v>15984.651466227629</v>
      </c>
      <c r="H22" s="713">
        <f>+landbouw!G8</f>
        <v>0</v>
      </c>
      <c r="I22" s="713">
        <f>+landbouw!H8</f>
        <v>0</v>
      </c>
      <c r="J22" s="713">
        <f>+landbouw!I8</f>
        <v>0</v>
      </c>
      <c r="K22" s="713">
        <f>+landbouw!J8</f>
        <v>696.73487852156381</v>
      </c>
      <c r="L22" s="713">
        <f>+landbouw!K8</f>
        <v>0</v>
      </c>
      <c r="M22" s="713">
        <f>+landbouw!L8</f>
        <v>0</v>
      </c>
      <c r="N22" s="713">
        <f>+landbouw!M8</f>
        <v>0</v>
      </c>
      <c r="O22" s="713">
        <f>+landbouw!N8</f>
        <v>0</v>
      </c>
      <c r="P22" s="713">
        <f>+landbouw!O8</f>
        <v>0</v>
      </c>
      <c r="Q22" s="714">
        <f>+landbouw!P8</f>
        <v>0</v>
      </c>
      <c r="R22" s="715">
        <f>SUM(C22:Q22)</f>
        <v>39565.519844756891</v>
      </c>
      <c r="S22" s="67"/>
    </row>
    <row r="23" spans="1:19" s="459" customFormat="1" ht="17.25" thickTop="1" thickBot="1">
      <c r="A23" s="720" t="s">
        <v>116</v>
      </c>
      <c r="B23" s="852"/>
      <c r="C23" s="721">
        <f ca="1">C20+C15+C22</f>
        <v>41451.054016557646</v>
      </c>
      <c r="D23" s="721">
        <f t="shared" ref="D23:Q23" ca="1" si="2">D20+D15+D22</f>
        <v>18192.857142857145</v>
      </c>
      <c r="E23" s="721">
        <f t="shared" ca="1" si="2"/>
        <v>31627.881260010399</v>
      </c>
      <c r="F23" s="721">
        <f t="shared" si="2"/>
        <v>13429.214708014637</v>
      </c>
      <c r="G23" s="721">
        <f t="shared" ca="1" si="2"/>
        <v>44888.349953067365</v>
      </c>
      <c r="H23" s="721">
        <f t="shared" si="2"/>
        <v>38944.270407415337</v>
      </c>
      <c r="I23" s="721">
        <f t="shared" si="2"/>
        <v>8136.172447500252</v>
      </c>
      <c r="J23" s="721">
        <f t="shared" si="2"/>
        <v>0</v>
      </c>
      <c r="K23" s="721">
        <f t="shared" si="2"/>
        <v>9229.6813707740566</v>
      </c>
      <c r="L23" s="721">
        <f t="shared" si="2"/>
        <v>0</v>
      </c>
      <c r="M23" s="721">
        <f t="shared" ca="1" si="2"/>
        <v>0</v>
      </c>
      <c r="N23" s="721">
        <f t="shared" si="2"/>
        <v>2128.5338330638851</v>
      </c>
      <c r="O23" s="721">
        <f t="shared" ca="1" si="2"/>
        <v>20448.177038146041</v>
      </c>
      <c r="P23" s="721">
        <f t="shared" si="2"/>
        <v>170.40333333333334</v>
      </c>
      <c r="Q23" s="722">
        <f t="shared" si="2"/>
        <v>133.46666666666667</v>
      </c>
      <c r="R23" s="723">
        <f ca="1">R20+R15+R22</f>
        <v>228780.06217740677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2882.2938423919354</v>
      </c>
      <c r="D36" s="704">
        <f ca="1">tertiair!C20</f>
        <v>0</v>
      </c>
      <c r="E36" s="704">
        <f ca="1">tertiair!D20</f>
        <v>1856.9374558346688</v>
      </c>
      <c r="F36" s="704">
        <f>tertiair!E20</f>
        <v>37.210609272751675</v>
      </c>
      <c r="G36" s="704">
        <f ca="1">tertiair!F20</f>
        <v>728.81485118479088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5505.2567586841469</v>
      </c>
    </row>
    <row r="37" spans="1:18">
      <c r="A37" s="873" t="s">
        <v>225</v>
      </c>
      <c r="B37" s="880"/>
      <c r="C37" s="704">
        <f ca="1">huishoudens!B12</f>
        <v>3475.8455196002078</v>
      </c>
      <c r="D37" s="704">
        <f ca="1">huishoudens!C12</f>
        <v>0</v>
      </c>
      <c r="E37" s="704">
        <f>huishoudens!D12</f>
        <v>4317.8735465131749</v>
      </c>
      <c r="F37" s="704">
        <f>huishoudens!E12</f>
        <v>2729.8176620837248</v>
      </c>
      <c r="G37" s="704">
        <f>huishoudens!F12</f>
        <v>6206.7429165147896</v>
      </c>
      <c r="H37" s="704">
        <f>huishoudens!G12</f>
        <v>0</v>
      </c>
      <c r="I37" s="704">
        <f>huishoudens!H12</f>
        <v>0</v>
      </c>
      <c r="J37" s="704">
        <f>huishoudens!I12</f>
        <v>0</v>
      </c>
      <c r="K37" s="704">
        <f>huishoudens!J12</f>
        <v>3020.0592194546161</v>
      </c>
      <c r="L37" s="704">
        <f>huishoudens!K12</f>
        <v>0</v>
      </c>
      <c r="M37" s="704">
        <f>huishoudens!L12</f>
        <v>0</v>
      </c>
      <c r="N37" s="704">
        <f>huishoudens!M12</f>
        <v>0</v>
      </c>
      <c r="O37" s="704">
        <f>huishoudens!N12</f>
        <v>0</v>
      </c>
      <c r="P37" s="704">
        <f>huishoudens!O12</f>
        <v>0</v>
      </c>
      <c r="Q37" s="814">
        <f>huishoudens!P12</f>
        <v>0</v>
      </c>
      <c r="R37" s="905">
        <f ca="1">SUM(C37:Q37)</f>
        <v>19750.338864166511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889.61364345451216</v>
      </c>
      <c r="D39" s="704">
        <f ca="1">industrie!C22</f>
        <v>0</v>
      </c>
      <c r="E39" s="704">
        <f>industrie!D22</f>
        <v>212.91218154348883</v>
      </c>
      <c r="F39" s="704">
        <f>industrie!E22</f>
        <v>230.81697586605728</v>
      </c>
      <c r="G39" s="704">
        <f>industrie!F22</f>
        <v>781.72972828662955</v>
      </c>
      <c r="H39" s="704">
        <f>industrie!G22</f>
        <v>0</v>
      </c>
      <c r="I39" s="704">
        <f>industrie!H22</f>
        <v>0</v>
      </c>
      <c r="J39" s="704">
        <f>industrie!I22</f>
        <v>0</v>
      </c>
      <c r="K39" s="704">
        <f>industrie!J22</f>
        <v>0.60383880276615653</v>
      </c>
      <c r="L39" s="704">
        <f>industrie!K22</f>
        <v>0</v>
      </c>
      <c r="M39" s="704">
        <f>industrie!L22</f>
        <v>0</v>
      </c>
      <c r="N39" s="704">
        <f>industrie!M22</f>
        <v>0</v>
      </c>
      <c r="O39" s="704">
        <f>industrie!N22</f>
        <v>0</v>
      </c>
      <c r="P39" s="704">
        <f>industrie!O22</f>
        <v>0</v>
      </c>
      <c r="Q39" s="814">
        <f>industrie!P22</f>
        <v>0</v>
      </c>
      <c r="R39" s="906">
        <f ca="1">SUM(C39:Q39)</f>
        <v>2115.6763679534538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7247.7530054466561</v>
      </c>
      <c r="D41" s="749">
        <f t="shared" ref="D41:R41" ca="1" si="4">SUM(D35:D40)</f>
        <v>0</v>
      </c>
      <c r="E41" s="749">
        <f t="shared" ca="1" si="4"/>
        <v>6387.7231838913331</v>
      </c>
      <c r="F41" s="749">
        <f t="shared" si="4"/>
        <v>2997.845247222534</v>
      </c>
      <c r="G41" s="749">
        <f t="shared" ca="1" si="4"/>
        <v>7717.2874959862102</v>
      </c>
      <c r="H41" s="749">
        <f t="shared" si="4"/>
        <v>0</v>
      </c>
      <c r="I41" s="749">
        <f t="shared" si="4"/>
        <v>0</v>
      </c>
      <c r="J41" s="749">
        <f t="shared" si="4"/>
        <v>0</v>
      </c>
      <c r="K41" s="749">
        <f t="shared" si="4"/>
        <v>3020.6630582573821</v>
      </c>
      <c r="L41" s="749">
        <f t="shared" si="4"/>
        <v>0</v>
      </c>
      <c r="M41" s="749">
        <f t="shared" ca="1" si="4"/>
        <v>0</v>
      </c>
      <c r="N41" s="749">
        <f t="shared" si="4"/>
        <v>0</v>
      </c>
      <c r="O41" s="749">
        <f t="shared" ca="1" si="4"/>
        <v>0</v>
      </c>
      <c r="P41" s="749">
        <f t="shared" si="4"/>
        <v>0</v>
      </c>
      <c r="Q41" s="750">
        <f t="shared" si="4"/>
        <v>0</v>
      </c>
      <c r="R41" s="751">
        <f t="shared" ca="1" si="4"/>
        <v>27371.271990804111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166.50471133738444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166.50471133738444</v>
      </c>
    </row>
    <row r="45" spans="1:18" ht="15" thickBot="1">
      <c r="A45" s="876" t="s">
        <v>307</v>
      </c>
      <c r="B45" s="886"/>
      <c r="C45" s="713">
        <f ca="1">transport!B18</f>
        <v>0.56794516672509576</v>
      </c>
      <c r="D45" s="713">
        <f>transport!C18</f>
        <v>0</v>
      </c>
      <c r="E45" s="713">
        <f>transport!D18</f>
        <v>1.1088306307686808</v>
      </c>
      <c r="F45" s="713">
        <f>transport!E18</f>
        <v>37.334127819367083</v>
      </c>
      <c r="G45" s="713">
        <f>transport!F18</f>
        <v>0</v>
      </c>
      <c r="H45" s="713">
        <f>transport!G18</f>
        <v>10231.615487442512</v>
      </c>
      <c r="I45" s="713">
        <f>transport!H18</f>
        <v>2025.9069394275627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12296.533330486936</v>
      </c>
    </row>
    <row r="46" spans="1:18" ht="15.75" thickBot="1">
      <c r="A46" s="874" t="s">
        <v>230</v>
      </c>
      <c r="B46" s="887"/>
      <c r="C46" s="749">
        <f t="shared" ref="C46:R46" ca="1" si="5">SUM(C43:C45)</f>
        <v>0.56794516672509576</v>
      </c>
      <c r="D46" s="749">
        <f t="shared" ca="1" si="5"/>
        <v>0</v>
      </c>
      <c r="E46" s="749">
        <f t="shared" si="5"/>
        <v>1.1088306307686808</v>
      </c>
      <c r="F46" s="749">
        <f t="shared" si="5"/>
        <v>37.334127819367083</v>
      </c>
      <c r="G46" s="749">
        <f t="shared" si="5"/>
        <v>0</v>
      </c>
      <c r="H46" s="749">
        <f t="shared" si="5"/>
        <v>10398.120198779896</v>
      </c>
      <c r="I46" s="749">
        <f t="shared" si="5"/>
        <v>2025.9069394275627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12463.03804182432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912.06942810974999</v>
      </c>
      <c r="D48" s="704">
        <f ca="1">+landbouw!C12</f>
        <v>4323.4789915966394</v>
      </c>
      <c r="E48" s="704">
        <f>+landbouw!D12</f>
        <v>0</v>
      </c>
      <c r="F48" s="704">
        <f>+landbouw!E12</f>
        <v>13.252363677421686</v>
      </c>
      <c r="G48" s="704">
        <f>+landbouw!F12</f>
        <v>4267.9019414827771</v>
      </c>
      <c r="H48" s="704">
        <f>+landbouw!G12</f>
        <v>0</v>
      </c>
      <c r="I48" s="704">
        <f>+landbouw!H12</f>
        <v>0</v>
      </c>
      <c r="J48" s="704">
        <f>+landbouw!I12</f>
        <v>0</v>
      </c>
      <c r="K48" s="704">
        <f>+landbouw!J12</f>
        <v>246.64414699663357</v>
      </c>
      <c r="L48" s="704">
        <f>+landbouw!K12</f>
        <v>0</v>
      </c>
      <c r="M48" s="704">
        <f>+landbouw!L12</f>
        <v>0</v>
      </c>
      <c r="N48" s="704">
        <f>+landbouw!M12</f>
        <v>0</v>
      </c>
      <c r="O48" s="704">
        <f>+landbouw!N12</f>
        <v>0</v>
      </c>
      <c r="P48" s="704">
        <f>+landbouw!O12</f>
        <v>0</v>
      </c>
      <c r="Q48" s="705">
        <f>+landbouw!P12</f>
        <v>0</v>
      </c>
      <c r="R48" s="747">
        <f ca="1">SUM(C48:Q48)</f>
        <v>9763.3468718632212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8160.3903787231311</v>
      </c>
      <c r="D53" s="759">
        <f t="shared" ref="D53:Q53" ca="1" si="6">D41+D46+D48</f>
        <v>4323.4789915966394</v>
      </c>
      <c r="E53" s="759">
        <f t="shared" ca="1" si="6"/>
        <v>6388.8320145221014</v>
      </c>
      <c r="F53" s="759">
        <f t="shared" si="6"/>
        <v>3048.4317387193228</v>
      </c>
      <c r="G53" s="759">
        <f t="shared" ca="1" si="6"/>
        <v>11985.189437468987</v>
      </c>
      <c r="H53" s="759">
        <f t="shared" si="6"/>
        <v>10398.120198779896</v>
      </c>
      <c r="I53" s="759">
        <f t="shared" si="6"/>
        <v>2025.9069394275627</v>
      </c>
      <c r="J53" s="759">
        <f t="shared" si="6"/>
        <v>0</v>
      </c>
      <c r="K53" s="759">
        <f t="shared" si="6"/>
        <v>3267.3072052540156</v>
      </c>
      <c r="L53" s="759">
        <f t="shared" si="6"/>
        <v>0</v>
      </c>
      <c r="M53" s="759">
        <f t="shared" ca="1" si="6"/>
        <v>0</v>
      </c>
      <c r="N53" s="759">
        <f t="shared" si="6"/>
        <v>0</v>
      </c>
      <c r="O53" s="759">
        <f t="shared" ca="1" si="6"/>
        <v>0</v>
      </c>
      <c r="P53" s="759">
        <f>P41+P46+P48</f>
        <v>0</v>
      </c>
      <c r="Q53" s="760">
        <f t="shared" si="6"/>
        <v>0</v>
      </c>
      <c r="R53" s="761">
        <f ca="1">R41+R46+R48</f>
        <v>49597.656904491654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0.19686810317207998</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5485.4880228676739</v>
      </c>
      <c r="C66" s="781">
        <f>'lokale energieproductie'!B6</f>
        <v>5485.4880228676739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12735</v>
      </c>
      <c r="C67" s="780">
        <f>B67*IFERROR(SUM(J67:L67)/SUM(D67:M67),0)</f>
        <v>0</v>
      </c>
      <c r="D67" s="812">
        <f>'lokale energieproductie'!C7</f>
        <v>14982.352941176472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3026.4352941176476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18220.488022867674</v>
      </c>
      <c r="C69" s="789">
        <f>SUM(C64:C68)</f>
        <v>5485.4880228676739</v>
      </c>
      <c r="D69" s="790">
        <f t="shared" ref="D69:M69" si="8">SUM(D67:D68)</f>
        <v>14982.352941176472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3026.4352941176476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18192.857142857145</v>
      </c>
      <c r="C78" s="803">
        <f>B78*IFERROR(SUM(I78:L78)/SUM(D78:M78),0)</f>
        <v>0</v>
      </c>
      <c r="D78" s="818">
        <f>'lokale energieproductie'!C16</f>
        <v>21403.361344537818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4323.4789915966394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18192.857142857145</v>
      </c>
      <c r="C81" s="789">
        <f>SUM(C78:C80)</f>
        <v>0</v>
      </c>
      <c r="D81" s="789">
        <f t="shared" ref="D81:P81" si="9">SUM(D78:D80)</f>
        <v>21403.361344537818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4323.4789915966394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17655.706859541457</v>
      </c>
      <c r="C4" s="463">
        <f>huishoudens!C8</f>
        <v>0</v>
      </c>
      <c r="D4" s="463">
        <f>huishoudens!D8</f>
        <v>21375.611616401857</v>
      </c>
      <c r="E4" s="463">
        <f>huishoudens!E8</f>
        <v>12025.628467329185</v>
      </c>
      <c r="F4" s="463">
        <f>huishoudens!F8</f>
        <v>23246.228151740783</v>
      </c>
      <c r="G4" s="463">
        <f>huishoudens!G8</f>
        <v>0</v>
      </c>
      <c r="H4" s="463">
        <f>huishoudens!H8</f>
        <v>0</v>
      </c>
      <c r="I4" s="463">
        <f>huishoudens!I8</f>
        <v>0</v>
      </c>
      <c r="J4" s="463">
        <f>huishoudens!J8</f>
        <v>8531.2407329226444</v>
      </c>
      <c r="K4" s="463">
        <f>huishoudens!K8</f>
        <v>0</v>
      </c>
      <c r="L4" s="463">
        <f>huishoudens!L8</f>
        <v>0</v>
      </c>
      <c r="M4" s="463">
        <f>huishoudens!M8</f>
        <v>0</v>
      </c>
      <c r="N4" s="463">
        <f>huishoudens!N8</f>
        <v>17768.951584644212</v>
      </c>
      <c r="O4" s="463">
        <f>huishoudens!O8</f>
        <v>170.40333333333334</v>
      </c>
      <c r="P4" s="464">
        <f>huishoudens!P8</f>
        <v>114.4</v>
      </c>
      <c r="Q4" s="465">
        <f>SUM(B4:P4)</f>
        <v>100888.17074591346</v>
      </c>
    </row>
    <row r="5" spans="1:17">
      <c r="A5" s="462" t="s">
        <v>156</v>
      </c>
      <c r="B5" s="463">
        <f ca="1">tertiair!B16</f>
        <v>13746.606578543964</v>
      </c>
      <c r="C5" s="463">
        <f ca="1">tertiair!C16</f>
        <v>0</v>
      </c>
      <c r="D5" s="463">
        <f ca="1">tertiair!D16</f>
        <v>9192.7596823498443</v>
      </c>
      <c r="E5" s="463">
        <f>tertiair!E16</f>
        <v>163.92338886674747</v>
      </c>
      <c r="F5" s="463">
        <f ca="1">tertiair!F16</f>
        <v>2729.6436373962206</v>
      </c>
      <c r="G5" s="463">
        <f>tertiair!G16</f>
        <v>0</v>
      </c>
      <c r="H5" s="463">
        <f>tertiair!H16</f>
        <v>0</v>
      </c>
      <c r="I5" s="463">
        <f>tertiair!I16</f>
        <v>0</v>
      </c>
      <c r="J5" s="463">
        <f>tertiair!J16</f>
        <v>0</v>
      </c>
      <c r="K5" s="463">
        <f>tertiair!K16</f>
        <v>0</v>
      </c>
      <c r="L5" s="463">
        <f ca="1">tertiair!L16</f>
        <v>0</v>
      </c>
      <c r="M5" s="463">
        <f>tertiair!M16</f>
        <v>0</v>
      </c>
      <c r="N5" s="463">
        <f ca="1">tertiair!N16</f>
        <v>1314.3023419546557</v>
      </c>
      <c r="O5" s="463">
        <f>tertiair!O16</f>
        <v>0</v>
      </c>
      <c r="P5" s="464">
        <f>tertiair!P16</f>
        <v>19.066666666666666</v>
      </c>
      <c r="Q5" s="462">
        <f t="shared" ref="Q5:Q13" ca="1" si="0">SUM(B5:P5)</f>
        <v>27166.3022957781</v>
      </c>
    </row>
    <row r="6" spans="1:17">
      <c r="A6" s="462" t="s">
        <v>194</v>
      </c>
      <c r="B6" s="463">
        <f>'openbare verlichting'!B8</f>
        <v>894.12900000000002</v>
      </c>
      <c r="C6" s="463"/>
      <c r="D6" s="463"/>
      <c r="E6" s="463"/>
      <c r="F6" s="463"/>
      <c r="G6" s="463"/>
      <c r="H6" s="463"/>
      <c r="I6" s="463"/>
      <c r="J6" s="463"/>
      <c r="K6" s="463"/>
      <c r="L6" s="463"/>
      <c r="M6" s="463"/>
      <c r="N6" s="463"/>
      <c r="O6" s="463"/>
      <c r="P6" s="464"/>
      <c r="Q6" s="462">
        <f t="shared" si="0"/>
        <v>894.12900000000002</v>
      </c>
    </row>
    <row r="7" spans="1:17">
      <c r="A7" s="462" t="s">
        <v>112</v>
      </c>
      <c r="B7" s="463">
        <f>landbouw!B8</f>
        <v>4632.8959004218241</v>
      </c>
      <c r="C7" s="463">
        <f>landbouw!C8</f>
        <v>18192.857142857145</v>
      </c>
      <c r="D7" s="463">
        <f>landbouw!D8</f>
        <v>0</v>
      </c>
      <c r="E7" s="463">
        <f>landbouw!E8</f>
        <v>58.380456728729889</v>
      </c>
      <c r="F7" s="463">
        <f>landbouw!F8</f>
        <v>15984.651466227629</v>
      </c>
      <c r="G7" s="463">
        <f>landbouw!G8</f>
        <v>0</v>
      </c>
      <c r="H7" s="463">
        <f>landbouw!H8</f>
        <v>0</v>
      </c>
      <c r="I7" s="463">
        <f>landbouw!I8</f>
        <v>0</v>
      </c>
      <c r="J7" s="463">
        <f>landbouw!J8</f>
        <v>696.73487852156381</v>
      </c>
      <c r="K7" s="463">
        <f>landbouw!K8</f>
        <v>0</v>
      </c>
      <c r="L7" s="463">
        <f>landbouw!L8</f>
        <v>0</v>
      </c>
      <c r="M7" s="463">
        <f>landbouw!M8</f>
        <v>0</v>
      </c>
      <c r="N7" s="463">
        <f>landbouw!N8</f>
        <v>0</v>
      </c>
      <c r="O7" s="463">
        <f>landbouw!O8</f>
        <v>0</v>
      </c>
      <c r="P7" s="464">
        <f>landbouw!P8</f>
        <v>0</v>
      </c>
      <c r="Q7" s="462">
        <f t="shared" si="0"/>
        <v>39565.519844756891</v>
      </c>
    </row>
    <row r="8" spans="1:17">
      <c r="A8" s="462" t="s">
        <v>657</v>
      </c>
      <c r="B8" s="463">
        <f>industrie!B18</f>
        <v>4518.8307761410788</v>
      </c>
      <c r="C8" s="463">
        <f>industrie!C18</f>
        <v>0</v>
      </c>
      <c r="D8" s="463">
        <f>industrie!D18</f>
        <v>1054.0207007103406</v>
      </c>
      <c r="E8" s="463">
        <f>industrie!E18</f>
        <v>1016.81487165664</v>
      </c>
      <c r="F8" s="463">
        <f>industrie!F18</f>
        <v>2927.8266977027324</v>
      </c>
      <c r="G8" s="463">
        <f>industrie!G18</f>
        <v>0</v>
      </c>
      <c r="H8" s="463">
        <f>industrie!H18</f>
        <v>0</v>
      </c>
      <c r="I8" s="463">
        <f>industrie!I18</f>
        <v>0</v>
      </c>
      <c r="J8" s="463">
        <f>industrie!J18</f>
        <v>1.7057593298478999</v>
      </c>
      <c r="K8" s="463">
        <f>industrie!K18</f>
        <v>0</v>
      </c>
      <c r="L8" s="463">
        <f>industrie!L18</f>
        <v>0</v>
      </c>
      <c r="M8" s="463">
        <f>industrie!M18</f>
        <v>0</v>
      </c>
      <c r="N8" s="463">
        <f>industrie!N18</f>
        <v>1364.9231115471725</v>
      </c>
      <c r="O8" s="463">
        <f>industrie!O18</f>
        <v>0</v>
      </c>
      <c r="P8" s="464">
        <f>industrie!P18</f>
        <v>0</v>
      </c>
      <c r="Q8" s="462">
        <f t="shared" si="0"/>
        <v>10884.121917087812</v>
      </c>
    </row>
    <row r="9" spans="1:17" s="468" customFormat="1">
      <c r="A9" s="466" t="s">
        <v>574</v>
      </c>
      <c r="B9" s="467">
        <f>transport!B14</f>
        <v>2.8849019093187582</v>
      </c>
      <c r="C9" s="467"/>
      <c r="D9" s="467">
        <f>transport!D14</f>
        <v>5.4892605483598054</v>
      </c>
      <c r="E9" s="467">
        <f>transport!E14</f>
        <v>164.46752343333517</v>
      </c>
      <c r="F9" s="467"/>
      <c r="G9" s="467">
        <f>transport!G14</f>
        <v>38320.657256338993</v>
      </c>
      <c r="H9" s="467">
        <f>transport!H14</f>
        <v>8136.172447500252</v>
      </c>
      <c r="I9" s="467"/>
      <c r="J9" s="467"/>
      <c r="K9" s="467"/>
      <c r="L9" s="467"/>
      <c r="M9" s="467">
        <f>transport!M14</f>
        <v>2100.8002309299</v>
      </c>
      <c r="N9" s="467"/>
      <c r="O9" s="467"/>
      <c r="P9" s="467"/>
      <c r="Q9" s="466">
        <f>SUM(B9:P9)</f>
        <v>48730.471620660152</v>
      </c>
    </row>
    <row r="10" spans="1:17">
      <c r="A10" s="462" t="s">
        <v>564</v>
      </c>
      <c r="B10" s="463">
        <f>transport!B54</f>
        <v>0</v>
      </c>
      <c r="C10" s="463"/>
      <c r="D10" s="463">
        <f>transport!D54</f>
        <v>0</v>
      </c>
      <c r="E10" s="463"/>
      <c r="F10" s="463"/>
      <c r="G10" s="463">
        <f>transport!G54</f>
        <v>623.61315107634618</v>
      </c>
      <c r="H10" s="463"/>
      <c r="I10" s="463"/>
      <c r="J10" s="463"/>
      <c r="K10" s="463"/>
      <c r="L10" s="463"/>
      <c r="M10" s="463">
        <f>transport!M54</f>
        <v>27.733602133985098</v>
      </c>
      <c r="N10" s="463"/>
      <c r="O10" s="463"/>
      <c r="P10" s="464"/>
      <c r="Q10" s="462">
        <f t="shared" si="0"/>
        <v>651.34675321033126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41451.054016557639</v>
      </c>
      <c r="C14" s="473">
        <f t="shared" ref="C14:Q14" ca="1" si="1">SUM(C4:C13)</f>
        <v>18192.857142857145</v>
      </c>
      <c r="D14" s="473">
        <f t="shared" ca="1" si="1"/>
        <v>31627.881260010399</v>
      </c>
      <c r="E14" s="473">
        <f t="shared" si="1"/>
        <v>13429.214708014637</v>
      </c>
      <c r="F14" s="473">
        <f t="shared" ca="1" si="1"/>
        <v>44888.349953067365</v>
      </c>
      <c r="G14" s="473">
        <f t="shared" si="1"/>
        <v>38944.270407415337</v>
      </c>
      <c r="H14" s="473">
        <f t="shared" si="1"/>
        <v>8136.172447500252</v>
      </c>
      <c r="I14" s="473">
        <f t="shared" si="1"/>
        <v>0</v>
      </c>
      <c r="J14" s="473">
        <f t="shared" si="1"/>
        <v>9229.6813707740566</v>
      </c>
      <c r="K14" s="473">
        <f t="shared" si="1"/>
        <v>0</v>
      </c>
      <c r="L14" s="473">
        <f t="shared" ca="1" si="1"/>
        <v>0</v>
      </c>
      <c r="M14" s="473">
        <f t="shared" si="1"/>
        <v>2128.5338330638851</v>
      </c>
      <c r="N14" s="473">
        <f t="shared" ca="1" si="1"/>
        <v>20448.177038146041</v>
      </c>
      <c r="O14" s="473">
        <f t="shared" si="1"/>
        <v>170.40333333333334</v>
      </c>
      <c r="P14" s="474">
        <f t="shared" si="1"/>
        <v>133.46666666666667</v>
      </c>
      <c r="Q14" s="474">
        <f t="shared" ca="1" si="1"/>
        <v>228780.06217740674</v>
      </c>
    </row>
    <row r="16" spans="1:17">
      <c r="A16" s="476" t="s">
        <v>569</v>
      </c>
      <c r="B16" s="829">
        <f ca="1">huishoudens!B10</f>
        <v>0.19686810317207998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3475.8455196002078</v>
      </c>
      <c r="C21" s="463">
        <f t="shared" ref="C21:C28" ca="1" si="3">C4*$C$16</f>
        <v>0</v>
      </c>
      <c r="D21" s="463">
        <f t="shared" ref="D21:D30" si="4">D4*$D$16</f>
        <v>4317.8735465131749</v>
      </c>
      <c r="E21" s="463">
        <f t="shared" ref="E21:E30" si="5">E4*$E$16</f>
        <v>2729.8176620837248</v>
      </c>
      <c r="F21" s="463">
        <f t="shared" ref="F21:F28" si="6">F4*$F$16</f>
        <v>6206.7429165147896</v>
      </c>
      <c r="G21" s="463">
        <f t="shared" ref="G21:G30" si="7">G4*$G$16</f>
        <v>0</v>
      </c>
      <c r="H21" s="463">
        <f t="shared" ref="H21:H30" si="8">H4*$H$16</f>
        <v>0</v>
      </c>
      <c r="I21" s="463">
        <f t="shared" ref="I21:I28" si="9">I4*$I$16</f>
        <v>0</v>
      </c>
      <c r="J21" s="463">
        <f t="shared" ref="J21:J28" si="10">J4*$J$16</f>
        <v>3020.0592194546161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19750.338864166511</v>
      </c>
    </row>
    <row r="22" spans="1:17">
      <c r="A22" s="462" t="s">
        <v>156</v>
      </c>
      <c r="B22" s="463">
        <f t="shared" ca="1" si="2"/>
        <v>2706.2683621707865</v>
      </c>
      <c r="C22" s="463">
        <f t="shared" ca="1" si="3"/>
        <v>0</v>
      </c>
      <c r="D22" s="463">
        <f t="shared" ca="1" si="4"/>
        <v>1856.9374558346688</v>
      </c>
      <c r="E22" s="463">
        <f t="shared" si="5"/>
        <v>37.210609272751675</v>
      </c>
      <c r="F22" s="463">
        <f t="shared" ca="1" si="6"/>
        <v>728.81485118479088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5329.2312784629985</v>
      </c>
    </row>
    <row r="23" spans="1:17">
      <c r="A23" s="462" t="s">
        <v>194</v>
      </c>
      <c r="B23" s="463">
        <f t="shared" ca="1" si="2"/>
        <v>176.02548022114871</v>
      </c>
      <c r="C23" s="463"/>
      <c r="D23" s="463"/>
      <c r="E23" s="463"/>
      <c r="F23" s="463"/>
      <c r="G23" s="463"/>
      <c r="H23" s="463"/>
      <c r="I23" s="463"/>
      <c r="J23" s="463"/>
      <c r="K23" s="463"/>
      <c r="L23" s="463"/>
      <c r="M23" s="463"/>
      <c r="N23" s="463"/>
      <c r="O23" s="463"/>
      <c r="P23" s="464"/>
      <c r="Q23" s="462">
        <f t="shared" ca="1" si="17"/>
        <v>176.02548022114871</v>
      </c>
    </row>
    <row r="24" spans="1:17">
      <c r="A24" s="462" t="s">
        <v>112</v>
      </c>
      <c r="B24" s="463">
        <f t="shared" ca="1" si="2"/>
        <v>912.06942810974999</v>
      </c>
      <c r="C24" s="463">
        <f t="shared" ca="1" si="3"/>
        <v>4323.4789915966394</v>
      </c>
      <c r="D24" s="463">
        <f t="shared" si="4"/>
        <v>0</v>
      </c>
      <c r="E24" s="463">
        <f t="shared" si="5"/>
        <v>13.252363677421686</v>
      </c>
      <c r="F24" s="463">
        <f t="shared" si="6"/>
        <v>4267.9019414827771</v>
      </c>
      <c r="G24" s="463">
        <f t="shared" si="7"/>
        <v>0</v>
      </c>
      <c r="H24" s="463">
        <f t="shared" si="8"/>
        <v>0</v>
      </c>
      <c r="I24" s="463">
        <f t="shared" si="9"/>
        <v>0</v>
      </c>
      <c r="J24" s="463">
        <f t="shared" si="10"/>
        <v>246.64414699663357</v>
      </c>
      <c r="K24" s="463">
        <f t="shared" si="11"/>
        <v>0</v>
      </c>
      <c r="L24" s="463">
        <f t="shared" si="12"/>
        <v>0</v>
      </c>
      <c r="M24" s="463">
        <f t="shared" si="13"/>
        <v>0</v>
      </c>
      <c r="N24" s="463">
        <f t="shared" si="14"/>
        <v>0</v>
      </c>
      <c r="O24" s="463">
        <f t="shared" si="15"/>
        <v>0</v>
      </c>
      <c r="P24" s="464">
        <f t="shared" si="16"/>
        <v>0</v>
      </c>
      <c r="Q24" s="462">
        <f t="shared" ca="1" si="17"/>
        <v>9763.3468718632212</v>
      </c>
    </row>
    <row r="25" spans="1:17">
      <c r="A25" s="462" t="s">
        <v>657</v>
      </c>
      <c r="B25" s="463">
        <f t="shared" ca="1" si="2"/>
        <v>889.61364345451216</v>
      </c>
      <c r="C25" s="463">
        <f t="shared" ca="1" si="3"/>
        <v>0</v>
      </c>
      <c r="D25" s="463">
        <f t="shared" si="4"/>
        <v>212.91218154348883</v>
      </c>
      <c r="E25" s="463">
        <f t="shared" si="5"/>
        <v>230.81697586605728</v>
      </c>
      <c r="F25" s="463">
        <f t="shared" si="6"/>
        <v>781.72972828662955</v>
      </c>
      <c r="G25" s="463">
        <f t="shared" si="7"/>
        <v>0</v>
      </c>
      <c r="H25" s="463">
        <f t="shared" si="8"/>
        <v>0</v>
      </c>
      <c r="I25" s="463">
        <f t="shared" si="9"/>
        <v>0</v>
      </c>
      <c r="J25" s="463">
        <f t="shared" si="10"/>
        <v>0.60383880276615653</v>
      </c>
      <c r="K25" s="463">
        <f t="shared" si="11"/>
        <v>0</v>
      </c>
      <c r="L25" s="463">
        <f t="shared" si="12"/>
        <v>0</v>
      </c>
      <c r="M25" s="463">
        <f t="shared" si="13"/>
        <v>0</v>
      </c>
      <c r="N25" s="463">
        <f t="shared" si="14"/>
        <v>0</v>
      </c>
      <c r="O25" s="463">
        <f t="shared" si="15"/>
        <v>0</v>
      </c>
      <c r="P25" s="464">
        <f t="shared" si="16"/>
        <v>0</v>
      </c>
      <c r="Q25" s="462">
        <f t="shared" ca="1" si="17"/>
        <v>2115.6763679534538</v>
      </c>
    </row>
    <row r="26" spans="1:17" s="468" customFormat="1">
      <c r="A26" s="466" t="s">
        <v>574</v>
      </c>
      <c r="B26" s="823">
        <f t="shared" ca="1" si="2"/>
        <v>0.56794516672509576</v>
      </c>
      <c r="C26" s="467"/>
      <c r="D26" s="467">
        <f t="shared" si="4"/>
        <v>1.1088306307686808</v>
      </c>
      <c r="E26" s="467">
        <f t="shared" si="5"/>
        <v>37.334127819367083</v>
      </c>
      <c r="F26" s="467"/>
      <c r="G26" s="467">
        <f t="shared" si="7"/>
        <v>10231.615487442512</v>
      </c>
      <c r="H26" s="467">
        <f t="shared" si="8"/>
        <v>2025.9069394275627</v>
      </c>
      <c r="I26" s="467"/>
      <c r="J26" s="467"/>
      <c r="K26" s="467"/>
      <c r="L26" s="467"/>
      <c r="M26" s="467">
        <f t="shared" si="13"/>
        <v>0</v>
      </c>
      <c r="N26" s="467"/>
      <c r="O26" s="467"/>
      <c r="P26" s="478"/>
      <c r="Q26" s="466">
        <f t="shared" ca="1" si="17"/>
        <v>12296.533330486936</v>
      </c>
    </row>
    <row r="27" spans="1:17">
      <c r="A27" s="462" t="s">
        <v>564</v>
      </c>
      <c r="B27" s="463">
        <f t="shared" ca="1" si="2"/>
        <v>0</v>
      </c>
      <c r="C27" s="463"/>
      <c r="D27" s="467">
        <f t="shared" si="4"/>
        <v>0</v>
      </c>
      <c r="E27" s="463"/>
      <c r="F27" s="463"/>
      <c r="G27" s="463">
        <f t="shared" si="7"/>
        <v>166.50471133738444</v>
      </c>
      <c r="H27" s="463"/>
      <c r="I27" s="463"/>
      <c r="J27" s="463"/>
      <c r="K27" s="463"/>
      <c r="L27" s="463"/>
      <c r="M27" s="463">
        <f t="shared" si="13"/>
        <v>0</v>
      </c>
      <c r="N27" s="463"/>
      <c r="O27" s="463"/>
      <c r="P27" s="464"/>
      <c r="Q27" s="462">
        <f t="shared" ca="1" si="17"/>
        <v>166.50471133738444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8160.3903787231302</v>
      </c>
      <c r="C31" s="473">
        <f t="shared" ca="1" si="18"/>
        <v>4323.4789915966394</v>
      </c>
      <c r="D31" s="473">
        <f t="shared" ca="1" si="18"/>
        <v>6388.8320145221014</v>
      </c>
      <c r="E31" s="473">
        <f t="shared" si="18"/>
        <v>3048.4317387193228</v>
      </c>
      <c r="F31" s="473">
        <f t="shared" ca="1" si="18"/>
        <v>11985.189437468987</v>
      </c>
      <c r="G31" s="473">
        <f t="shared" si="18"/>
        <v>10398.120198779896</v>
      </c>
      <c r="H31" s="473">
        <f t="shared" si="18"/>
        <v>2025.9069394275627</v>
      </c>
      <c r="I31" s="473">
        <f t="shared" si="18"/>
        <v>0</v>
      </c>
      <c r="J31" s="473">
        <f t="shared" si="18"/>
        <v>3267.3072052540156</v>
      </c>
      <c r="K31" s="473">
        <f t="shared" si="18"/>
        <v>0</v>
      </c>
      <c r="L31" s="473">
        <f t="shared" ca="1" si="18"/>
        <v>0</v>
      </c>
      <c r="M31" s="473">
        <f t="shared" si="18"/>
        <v>0</v>
      </c>
      <c r="N31" s="473">
        <f t="shared" ca="1" si="18"/>
        <v>0</v>
      </c>
      <c r="O31" s="473">
        <f t="shared" si="18"/>
        <v>0</v>
      </c>
      <c r="P31" s="474">
        <f t="shared" si="18"/>
        <v>0</v>
      </c>
      <c r="Q31" s="474">
        <f t="shared" ca="1" si="18"/>
        <v>49597.656904491654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0.19686810317207998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0.19686810317207998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0.19686810317207998</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2019-01-02T18:03:48Z</dcterms:modified>
</cp:coreProperties>
</file>