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<sst xmlns="http://schemas.openxmlformats.org/spreadsheetml/2006/main" count="2151" uniqueCount="878">
  <si>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</si>
  <si>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</si>
  <si>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</si>
  <si>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</si>
  <si>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</si>
  <si>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</si>
  <si>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</si>
  <si>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</si>
  <si>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</si>
  <si>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</si>
  <si>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</si>
  <si>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</si>
  <si>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</si>
  <si>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</si>
  <si>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</si>
  <si>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</si>
  <si>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</si>
  <si>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</si>
  <si>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</si>
  <si>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</si>
  <si>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</si>
  <si>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</si>
  <si>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</si>
  <si>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</si>
  <si>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</si>
  <si>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</si>
  <si>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</si>
  <si>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</si>
  <si>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</si>
  <si>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</si>
  <si>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</si>
  <si>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</si>
  <si>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</si>
  <si>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</si>
  <si>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</si>
  <si>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</si>
  <si>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</si>
  <si>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</si>
  <si>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</si>
  <si>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</si>
  <si>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</si>
  <si>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</si>
  <si>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</si>
  <si>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</si>
  <si>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</si>
  <si>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</si>
  <si>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</si>
  <si>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</si>
  <si>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</si>
  <si>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</si>
  <si>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</si>
  <si>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</si>
  <si>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</si>
  <si>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</si>
  <si>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</si>
  <si>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</si>
  <si>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</si>
  <si>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</si>
  <si>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</si>
  <si>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</si>
  <si>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</si>
  <si>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</si>
  <si>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</si>
  <si>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</si>
  <si>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</si>
  <si>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</si>
  <si>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</si>
  <si>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</si>
  <si>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</si>
  <si>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</si>
  <si>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</si>
  <si>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</si>
  <si>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</si>
  <si>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</si>
  <si>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</si>
  <si>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</si>
  <si>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</si>
  <si>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</si>
  <si>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</si>
  <si>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</si>
  <si>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</si>
  <si>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</si>
  <si>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</si>
  <si>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</si>
  <si>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</si>
  <si>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</si>
  <si>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</si>
  <si>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</si>
  <si>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</si>
  <si>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</si>
  <si>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</si>
  <si>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</si>
  <si>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</si>
  <si>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</si>
  <si>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</si>
  <si>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</si>
  <si>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</si>
  <si>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</si>
  <si>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</si>
  <si>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</si>
  <si>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</si>
  <si>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</si>
  <si>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</si>
  <si>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</si>
  <si>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</si>
  <si>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</si>
  <si>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</si>
  <si>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</si>
  <si>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</si>
  <si>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</si>
  <si>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</si>
  <si>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</si>
  <si>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</si>
  <si>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</si>
  <si>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</si>
  <si>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</si>
  <si>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</si>
  <si>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</si>
  <si>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</si>
  <si>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</si>
  <si>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</si>
  <si>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</si>
  <si>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</si>
  <si>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</si>
  <si>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</si>
  <si>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</si>
  <si>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</si>
  <si>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</si>
  <si>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</si>
  <si>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</si>
  <si>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</si>
  <si>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</si>
  <si>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</si>
  <si>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</si>
  <si>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</si>
  <si>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</si>
  <si>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</si>
  <si>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</si>
  <si>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</si>
  <si>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</si>
  <si>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</si>
  <si>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</si>
  <si>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</si>
  <si>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</si>
  <si>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</si>
  <si>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</si>
  <si>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</si>
  <si>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</si>
  <si>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</si>
  <si>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</si>
  <si>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</si>
  <si>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</si>
  <si>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</si>
  <si>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</si>
  <si>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</si>
  <si>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</si>
  <si>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</si>
  <si>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</si>
  <si>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</si>
  <si>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</si>
  <si>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</si>
  <si>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</si>
  <si>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</si>
  <si>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</si>
  <si>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</si>
  <si>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</si>
  <si>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</si>
  <si>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</si>
  <si>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</si>
  <si>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</si>
  <si>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</si>
  <si>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</si>
  <si>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</si>
  <si>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</si>
  <si>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</si>
  <si>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</si>
  <si>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</si>
  <si>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</si>
  <si>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</si>
  <si>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</si>
  <si>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</si>
  <si>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</si>
  <si>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</si>
  <si>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</si>
  <si>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</si>
  <si>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</si>
  <si>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</si>
  <si>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</si>
  <si>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</si>
  <si>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</si>
  <si>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</si>
  <si>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</si>
  <si>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</si>
  <si>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</si>
  <si>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</si>
  <si>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</si>
  <si>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</si>
  <si>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</si>
  <si>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</si>
  <si>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</si>
  <si>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</si>
  <si>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</si>
  <si>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</si>
  <si>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</si>
  <si>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</si>
  <si>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</si>
  <si>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</si>
  <si>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</si>
  <si>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</si>
  <si>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</si>
  <si>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</si>
  <si>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</si>
  <si>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</si>
  <si>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</si>
  <si>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</si>
  <si>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</si>
  <si>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</si>
  <si>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</si>
  <si>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</si>
  <si>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</si>
  <si>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</si>
  <si>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</si>
  <si>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</si>
  <si>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</si>
  <si>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</si>
  <si>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</si>
  <si>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</si>
  <si>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</si>
  <si>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</si>
  <si>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</si>
  <si>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</si>
  <si>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</si>
  <si>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</si>
  <si>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</si>
  <si>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</si>
  <si>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</si>
  <si>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</si>
  <si>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</si>
  <si>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</si>
  <si>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</si>
  <si>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</si>
  <si>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</si>
  <si>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</si>
  <si>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</si>
  <si>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</si>
  <si>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</si>
  <si>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</si>
  <si>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</si>
  <si>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</si>
  <si>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</si>
  <si>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</si>
  <si>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</si>
  <si>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</si>
  <si>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</si>
  <si>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</si>
  <si>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</si>
  <si>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</si>
  <si>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</si>
  <si>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</si>
  <si>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</si>
  <si>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</si>
  <si>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</si>
  <si>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</si>
  <si>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</si>
  <si>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</si>
  <si>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</si>
  <si>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</si>
  <si>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</si>
  <si>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</si>
  <si>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</si>
  <si>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</si>
  <si>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</si>
  <si>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</si>
  <si>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</si>
  <si>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</si>
  <si>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</si>
  <si>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</si>
  <si>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</si>
  <si>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</si>
  <si>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</si>
  <si>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</si>
  <si>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</si>
  <si>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</si>
  <si>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</si>
  <si>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</si>
  <si>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</si>
  <si>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</si>
  <si>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</si>
  <si>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</si>
  <si>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</si>
  <si>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</si>
  <si>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</si>
  <si>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</si>
  <si>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</si>
  <si>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</si>
  <si>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</si>
  <si>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</si>
  <si>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</si>
  <si>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</si>
  <si>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</si>
  <si>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</si>
  <si>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</si>
  <si>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</si>
  <si>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</si>
  <si>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</si>
  <si>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</si>
  <si>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</si>
  <si>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</si>
  <si>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</si>
  <si>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</si>
  <si>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</si>
  <si>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</si>
  <si>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</si>
  <si>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</si>
  <si>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</si>
  <si>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</si>
  <si>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</si>
  <si>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</si>
  <si>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</si>
  <si>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</si>
  <si>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</si>
  <si>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</si>
  <si>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</si>
  <si>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</si>
  <si>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</si>
  <si>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</si>
  <si>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</si>
  <si>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</si>
  <si>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</si>
  <si>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</si>
  <si>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</si>
  <si>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</si>
  <si>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</si>
  <si>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</si>
  <si>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</si>
  <si>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</si>
  <si>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</si>
  <si>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</si>
  <si>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</si>
  <si>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</si>
  <si>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</si>
  <si>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</si>
  <si>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</si>
  <si>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</si>
  <si>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</si>
  <si>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</si>
  <si>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</si>
  <si>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</si>
  <si>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</si>
  <si>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</si>
  <si>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</si>
  <si>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</si>
  <si>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</si>
  <si>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</si>
  <si>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</si>
  <si>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</si>
  <si>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</si>
  <si>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</si>
  <si>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</si>
  <si>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</si>
  <si>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</si>
  <si>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</si>
  <si>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</si>
  <si>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</si>
  <si>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</si>
  <si>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</si>
  <si>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</si>
  <si>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</si>
  <si>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</si>
  <si>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</si>
  <si>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</si>
  <si>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</si>
  <si>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</si>
  <si>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</si>
  <si>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</si>
  <si>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</si>
  <si>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</si>
  <si>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</si>
  <si>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</si>
  <si>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</si>
  <si>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</si>
  <si>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</si>
  <si>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</si>
  <si>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</si>
  <si>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</si>
  <si>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</si>
  <si>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</si>
  <si>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</si>
  <si>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</si>
  <si>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</si>
  <si>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</si>
  <si>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</si>
  <si>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</si>
  <si>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</si>
  <si>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</si>
  <si>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</si>
  <si>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</si>
  <si>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</si>
  <si>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</si>
  <si>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</si>
  <si>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</si>
  <si>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</si>
  <si>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</si>
  <si>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</si>
  <si>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</si>
  <si>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</si>
  <si>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</si>
  <si>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</si>
  <si>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</si>
  <si>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</si>
  <si>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</si>
  <si>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</si>
  <si>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</si>
  <si>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</si>
  <si>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</si>
  <si>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</si>
  <si>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</si>
  <si>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</si>
  <si>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</si>
  <si>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</si>
  <si>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</si>
  <si>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</si>
  <si>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</si>
  <si>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</si>
  <si>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</si>
  <si>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</si>
  <si>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</si>
  <si>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</si>
  <si>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</si>
  <si>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</si>
  <si>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</si>
  <si>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</si>
  <si>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</si>
  <si>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</si>
  <si>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</si>
  <si>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</si>
  <si>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</si>
  <si>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</si>
  <si>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</si>
  <si>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</si>
  <si>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</si>
  <si>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</si>
  <si>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</si>
  <si>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</si>
  <si>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</si>
  <si>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</si>
  <si>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</si>
  <si>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</si>
  <si>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</si>
  <si>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</si>
  <si>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</si>
  <si>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</si>
  <si>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</si>
  <si>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</si>
  <si>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</si>
  <si>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</si>
  <si>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</si>
  <si>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</si>
  <si>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</si>
  <si>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</si>
  <si>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</si>
  <si>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</si>
  <si>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</si>
  <si>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</si>
  <si>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</si>
  <si>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</si>
  <si>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</si>
  <si>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</si>
  <si>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</si>
  <si>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</si>
  <si>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</si>
  <si>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</si>
  <si>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</si>
  <si>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</si>
  <si>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</si>
  <si>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</si>
  <si>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</si>
  <si>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</si>
  <si>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</si>
  <si>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</si>
  <si>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</si>
  <si>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</si>
  <si>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</si>
  <si>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</si>
  <si>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</si>
  <si>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</si>
  <si>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</si>
  <si>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</si>
  <si>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</si>
  <si>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</si>
  <si>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</si>
  <si>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</si>
  <si>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</si>
  <si>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</si>
  <si>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</si>
  <si>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</si>
  <si>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</si>
  <si>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</si>
  <si>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</si>
  <si>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</si>
  <si>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</si>
  <si>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</si>
  <si>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</si>
  <si>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</si>
  <si>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</si>
  <si>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</si>
  <si>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</si>
  <si>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</si>
  <si>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</si>
  <si>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</si>
  <si>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</si>
  <si>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</si>
  <si>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</si>
  <si>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</si>
  <si>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</si>
  <si>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</si>
  <si>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</si>
  <si>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</si>
  <si>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</si>
  <si>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</si>
  <si>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</si>
  <si>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</si>
  <si>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</si>
  <si>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</si>
  <si>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</si>
  <si>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</si>
  <si>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</si>
  <si>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</si>
  <si>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</si>
  <si>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</si>
  <si>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</si>
  <si>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</si>
  <si>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</si>
  <si>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</si>
  <si>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</si>
  <si>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</si>
  <si>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</si>
  <si>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</si>
  <si>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</si>
  <si>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</si>
  <si>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</si>
  <si>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</si>
  <si>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</si>
  <si>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</si>
  <si>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</si>
  <si>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</si>
  <si>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</si>
  <si>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</si>
  <si>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</si>
  <si>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</si>
  <si>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</si>
  <si>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</si>
  <si>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</si>
  <si>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</si>
  <si>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</si>
  <si>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</si>
  <si>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</si>
  <si>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</si>
  <si>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</si>
  <si>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</si>
  <si>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</si>
  <si>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</si>
  <si>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</si>
  <si>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</si>
  <si>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</si>
  <si>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</si>
  <si>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</si>
  <si>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</si>
  <si>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</si>
  <si>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</si>
  <si>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</si>
  <si>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</si>
  <si>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</si>
  <si>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</si>
  <si>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</si>
  <si>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</si>
  <si>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</si>
  <si>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</si>
  <si>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</si>
  <si>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</si>
  <si>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</si>
  <si>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</si>
  <si>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</si>
  <si>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</si>
  <si>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</si>
  <si>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</si>
  <si>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</si>
  <si>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</si>
  <si>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</si>
  <si>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</si>
  <si>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</si>
  <si>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</si>
  <si>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</si>
  <si>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</si>
  <si>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</si>
  <si>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</si>
  <si>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</si>
  <si>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</si>
  <si>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</si>
  <si>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</si>
  <si>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</si>
  <si>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</si>
  <si>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</si>
  <si>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</si>
  <si>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</si>
  <si>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</si>
  <si>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</si>
  <si>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</si>
  <si>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</si>
  <si>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</si>
  <si>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</si>
  <si>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</si>
  <si>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</si>
  <si>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</si>
  <si>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</si>
  <si>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</si>
  <si>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</si>
  <si>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</si>
  <si>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</si>
  <si>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</si>
  <si>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</si>
  <si>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</si>
  <si>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</si>
  <si>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</si>
  <si>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</si>
  <si>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</si>
  <si>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</si>
  <si>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</si>
  <si>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</si>
  <si>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</si>
  <si>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</si>
  <si>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</si>
  <si>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</si>
  <si>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</si>
  <si>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</si>
  <si>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</si>
  <si>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</si>
  <si>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</si>
  <si>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</si>
  <si>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</si>
  <si>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</si>
  <si>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</si>
  <si>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</si>
  <si>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</si>
  <si>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</si>
  <si>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</si>
  <si>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</si>
  <si>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</si>
  <si>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</si>
  <si>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</si>
  <si>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</si>
  <si>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</si>
  <si>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</si>
  <si>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</si>
  <si>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</si>
  <si>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</si>
  <si>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</si>
  <si>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</si>
  <si>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</si>
  <si>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</si>
  <si>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</si>
  <si>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</si>
  <si>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</si>
  <si>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</si>
  <si>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</si>
  <si>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</si>
  <si>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</si>
  <si>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</si>
  <si>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</si>
  <si>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</si>
  <si>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</si>
  <si>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</si>
  <si>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</si>
  <si>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</si>
  <si>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</si>
  <si>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</si>
  <si>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</si>
  <si>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</si>
  <si>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</si>
  <si>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</si>
  <si>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</si>
  <si>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</si>
  <si>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</si>
  <si>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</si>
  <si>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</si>
  <si>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</si>
  <si>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</si>
  <si>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</si>
  <si>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</si>
  <si>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</si>
  <si>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</si>
  <si>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</si>
  <si>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</si>
  <si>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</si>
  <si>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</si>
  <si>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</si>
  <si>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</si>
  <si>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</si>
  <si>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</si>
  <si>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</si>
  <si>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</si>
  <si>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</si>
  <si>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</si>
  <si>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</si>
  <si>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</si>
  <si>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</si>
  <si>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</si>
  <si>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</si>
  <si>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</si>
  <si>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</si>
  <si>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</si>
  <si>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</si>
  <si>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</si>
  <si>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</si>
  <si>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</si>
  <si>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</si>
  <si>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</si>
  <si>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</si>
  <si>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</si>
  <si>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</si>
  <si>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</si>
  <si>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</si>
  <si>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</si>
  <si>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</si>
  <si>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</si>
  <si>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</si>
  <si>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</si>
  <si>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</si>
  <si>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</si>
  <si>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</si>
  <si>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</si>
  <si>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</si>
  <si>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</si>
  <si>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</si>
  <si>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</si>
  <si>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</si>
  <si>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</si>
  <si>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</si>
  <si>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</si>
  <si>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</si>
  <si>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</si>
  <si>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</si>
  <si>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</si>
  <si>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</si>
  <si>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</si>
  <si>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</si>
  <si>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</si>
  <si>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</si>
  <si>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</si>
  <si>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</si>
  <si>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</si>
  <si>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</si>
  <si>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</si>
  <si>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</si>
  <si>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</si>
  <si>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</si>
  <si>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</si>
  <si>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</si>
  <si>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</si>
  <si>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</si>
  <si>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</si>
  <si>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</si>
  <si>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</si>
  <si>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</si>
  <si>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</si>
  <si>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</si>
  <si>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</si>
  <si>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</si>
  <si>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</si>
  <si>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</si>
  <si>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</si>
  <si>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</si>
  <si>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</si>
  <si>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</si>
  <si>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</si>
  <si>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</si>
  <si>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</si>
  <si>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</si>
  <si>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</si>
  <si>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</si>
  <si>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</si>
  <si>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</si>
  <si>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</si>
  <si>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</si>
  <si>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</si>
  <si>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</si>
  <si>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</si>
  <si>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</si>
  <si>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</si>
  <si>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</si>
  <si>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</si>
  <si>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</si>
  <si>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</si>
  <si>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</si>
  <si>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</si>
  <si>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</si>
  <si>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</si>
  <si>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</si>
  <si>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</si>
  <si>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</si>
  <si>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</si>
  <si>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</si>
  <si>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</si>
  <si>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</si>
  <si>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</si>
  <si>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</si>
  <si>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</si>
  <si>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</si>
  <si>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</si>
  <si>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</si>
  <si>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</si>
  <si>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</si>
  <si>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</si>
  <si>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</si>
  <si>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</si>
  <si>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</si>
  <si>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</si>
  <si>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</si>
  <si>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</si>
  <si>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</si>
  <si>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</si>
  <si>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</si>
  <si>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</si>
  <si>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</si>
  <si>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</si>
  <si>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</si>
  <si>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</si>
  <si>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</si>
  <si>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</si>
  <si>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</si>
  <si>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</si>
  <si>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</si>
  <si>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</si>
  <si>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</si>
  <si>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</si>
  <si>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</si>
  <si>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</si>
  <si>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</si>
  <si>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</si>
  <si>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</si>
  <si>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</si>
  <si>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</si>
  <si>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</si>
  <si>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</si>
  <si>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</si>
  <si>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</si>
  <si>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</si>
  <si>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</si>
  <si>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</si>
  <si>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</si>
  <si>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</si>
  <si>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</si>
  <si>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</si>
  <si>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</si>
  <si>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</si>
  <si>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</si>
  <si>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</si>
  <si>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</si>
  <si>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</si>
  <si>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</si>
  <si>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</si>
  <si>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</si>
  <si>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</si>
  <si>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</si>
  <si>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</si>
  <si>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</si>
  <si>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</si>
  <si>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</si>
  <si>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</si>
  <si>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</si>
  <si>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</si>
  <si>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31004</t>
  </si>
  <si>
    <t>BLANKENBERGE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</si>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</sst>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154015.63098070899</c:v>
                </c:pt>
                <c:pt idx="1">
                  <c:v>126607.31175740634</c:v>
                </c:pt>
                <c:pt idx="2">
                  <c:v>1795.7921038750501</c:v>
                </c:pt>
                <c:pt idx="3">
                  <c:v>11920.095651383041</c:v>
                </c:pt>
                <c:pt idx="4">
                  <c:v>11306.115688063916</c:v>
                </c:pt>
                <c:pt idx="5">
                  <c:v>29480.503864062397</c:v>
                </c:pt>
                <c:pt idx="6">
                  <c:v>1147.9356841625597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154015.63098070899</c:v>
                </c:pt>
                <c:pt idx="1">
                  <c:v>126607.31175740634</c:v>
                </c:pt>
                <c:pt idx="2">
                  <c:v>1795.7921038750501</c:v>
                </c:pt>
                <c:pt idx="3">
                  <c:v>11920.095651383041</c:v>
                </c:pt>
                <c:pt idx="4">
                  <c:v>11306.115688063916</c:v>
                </c:pt>
                <c:pt idx="5">
                  <c:v>29480.503864062397</c:v>
                </c:pt>
                <c:pt idx="6">
                  <c:v>1147.9356841625597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31548.908059086501</c:v>
                </c:pt>
                <c:pt idx="1">
                  <c:v>25948.597005919739</c:v>
                </c:pt>
                <c:pt idx="2">
                  <c:v>385.94493929646438</c:v>
                </c:pt>
                <c:pt idx="3">
                  <c:v>2509.212674859356</c:v>
                </c:pt>
                <c:pt idx="4">
                  <c:v>2293.69662433351</c:v>
                </c:pt>
                <c:pt idx="5">
                  <c:v>7451.4794395977406</c:v>
                </c:pt>
                <c:pt idx="6">
                  <c:v>261.07868598552807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31548.908059086501</c:v>
                </c:pt>
                <c:pt idx="1">
                  <c:v>25948.597005919739</c:v>
                </c:pt>
                <c:pt idx="2">
                  <c:v>385.94493929646438</c:v>
                </c:pt>
                <c:pt idx="3">
                  <c:v>2509.212674859356</c:v>
                </c:pt>
                <c:pt idx="4">
                  <c:v>2293.69662433351</c:v>
                </c:pt>
                <c:pt idx="5">
                  <c:v>7451.4794395977406</c:v>
                </c:pt>
                <c:pt idx="6">
                  <c:v>261.07868598552807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31004</v>
      </c>
      <c r="B6" s="398"/>
      <c r="C6" s="399"/>
    </row>
    <row r="7" spans="1:7" s="396" customFormat="1" ht="15.75" customHeight="1">
      <c r="A7" s="400" t="str">
        <f>txtMunicipality</f>
        <v>BLANKENBERGE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9965</v>
      </c>
      <c r="C9" s="338">
        <v>10266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1044</v>
      </c>
    </row>
    <row r="15" spans="1:6">
      <c r="A15" s="1269" t="s">
        <v>184</v>
      </c>
      <c r="B15" s="335">
        <v>5</v>
      </c>
    </row>
    <row r="16" spans="1:6">
      <c r="A16" s="1269" t="s">
        <v>6</v>
      </c>
      <c r="B16" s="335">
        <v>127</v>
      </c>
    </row>
    <row r="17" spans="1:6">
      <c r="A17" s="1269" t="s">
        <v>7</v>
      </c>
      <c r="B17" s="335">
        <v>114</v>
      </c>
    </row>
    <row r="18" spans="1:6">
      <c r="A18" s="1269" t="s">
        <v>8</v>
      </c>
      <c r="B18" s="335">
        <v>154</v>
      </c>
    </row>
    <row r="19" spans="1:6">
      <c r="A19" s="1269" t="s">
        <v>9</v>
      </c>
      <c r="B19" s="335">
        <v>205</v>
      </c>
    </row>
    <row r="20" spans="1:6">
      <c r="A20" s="1269" t="s">
        <v>10</v>
      </c>
      <c r="B20" s="335">
        <v>250</v>
      </c>
    </row>
    <row r="21" spans="1:6">
      <c r="A21" s="1269" t="s">
        <v>11</v>
      </c>
      <c r="B21" s="335">
        <v>1286</v>
      </c>
    </row>
    <row r="22" spans="1:6">
      <c r="A22" s="1269" t="s">
        <v>12</v>
      </c>
      <c r="B22" s="335">
        <v>5065</v>
      </c>
    </row>
    <row r="23" spans="1:6">
      <c r="A23" s="1269" t="s">
        <v>13</v>
      </c>
      <c r="B23" s="335">
        <v>60</v>
      </c>
    </row>
    <row r="24" spans="1:6">
      <c r="A24" s="1269" t="s">
        <v>14</v>
      </c>
      <c r="B24" s="335">
        <v>5</v>
      </c>
    </row>
    <row r="25" spans="1:6">
      <c r="A25" s="1269" t="s">
        <v>15</v>
      </c>
      <c r="B25" s="335">
        <v>482</v>
      </c>
    </row>
    <row r="26" spans="1:6">
      <c r="A26" s="1269" t="s">
        <v>16</v>
      </c>
      <c r="B26" s="335">
        <v>31</v>
      </c>
    </row>
    <row r="27" spans="1:6">
      <c r="A27" s="1269" t="s">
        <v>17</v>
      </c>
      <c r="B27" s="335">
        <v>2</v>
      </c>
    </row>
    <row r="28" spans="1:6" s="341" customFormat="1">
      <c r="A28" s="1270" t="s">
        <v>18</v>
      </c>
      <c r="B28" s="1270">
        <v>2</v>
      </c>
    </row>
    <row r="29" spans="1:6">
      <c r="A29" s="1270" t="s">
        <v>874</v>
      </c>
      <c r="B29" s="1270">
        <v>62</v>
      </c>
      <c r="C29" s="341"/>
      <c r="D29" s="341"/>
      <c r="E29" s="341"/>
      <c r="F29" s="341"/>
    </row>
    <row r="30" spans="1:6">
      <c r="A30" s="1265" t="s">
        <v>875</v>
      </c>
      <c r="B30" s="1265">
        <v>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6</v>
      </c>
      <c r="F36" s="335">
        <v>24647.9541436615</v>
      </c>
    </row>
    <row r="37" spans="1:6">
      <c r="A37" s="1269" t="s">
        <v>25</v>
      </c>
      <c r="B37" s="1269" t="s">
        <v>28</v>
      </c>
      <c r="C37" s="335">
        <v>0</v>
      </c>
      <c r="D37" s="335">
        <v>0</v>
      </c>
      <c r="E37" s="335">
        <v>0</v>
      </c>
      <c r="F37" s="335">
        <v>0</v>
      </c>
    </row>
    <row r="38" spans="1:6">
      <c r="A38" s="1269" t="s">
        <v>25</v>
      </c>
      <c r="B38" s="1269" t="s">
        <v>29</v>
      </c>
      <c r="C38" s="335">
        <v>3</v>
      </c>
      <c r="D38" s="335">
        <v>148493.36831492299</v>
      </c>
      <c r="E38" s="335">
        <v>0</v>
      </c>
      <c r="F38" s="335">
        <v>0</v>
      </c>
    </row>
    <row r="39" spans="1:6">
      <c r="A39" s="1269" t="s">
        <v>30</v>
      </c>
      <c r="B39" s="1269" t="s">
        <v>31</v>
      </c>
      <c r="C39" s="335">
        <v>10300</v>
      </c>
      <c r="D39" s="335">
        <v>126025045.87992699</v>
      </c>
      <c r="E39" s="335">
        <v>15375</v>
      </c>
      <c r="F39" s="335">
        <v>38208266.266476698</v>
      </c>
    </row>
    <row r="40" spans="1:6">
      <c r="A40" s="1269" t="s">
        <v>30</v>
      </c>
      <c r="B40" s="1269" t="s">
        <v>29</v>
      </c>
      <c r="C40" s="335">
        <v>0</v>
      </c>
      <c r="D40" s="335">
        <v>0</v>
      </c>
      <c r="E40" s="335">
        <v>1</v>
      </c>
      <c r="F40" s="335">
        <v>2599.0427206446002</v>
      </c>
    </row>
    <row r="41" spans="1:6">
      <c r="A41" s="1269" t="s">
        <v>32</v>
      </c>
      <c r="B41" s="1269" t="s">
        <v>33</v>
      </c>
      <c r="C41" s="335">
        <v>146</v>
      </c>
      <c r="D41" s="335">
        <v>2031091.1124285799</v>
      </c>
      <c r="E41" s="335">
        <v>275</v>
      </c>
      <c r="F41" s="335">
        <v>2394349.64859808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18</v>
      </c>
      <c r="F44" s="335">
        <v>166849.35346753799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5</v>
      </c>
      <c r="F47" s="335">
        <v>54225.741895977299</v>
      </c>
    </row>
    <row r="48" spans="1:6">
      <c r="A48" s="1269" t="s">
        <v>32</v>
      </c>
      <c r="B48" s="1269" t="s">
        <v>29</v>
      </c>
      <c r="C48" s="335">
        <v>33</v>
      </c>
      <c r="D48" s="335">
        <v>959819.76027486299</v>
      </c>
      <c r="E48" s="335">
        <v>27</v>
      </c>
      <c r="F48" s="335">
        <v>203799.42530915499</v>
      </c>
    </row>
    <row r="49" spans="1:6">
      <c r="A49" s="1269" t="s">
        <v>32</v>
      </c>
      <c r="B49" s="1269" t="s">
        <v>40</v>
      </c>
      <c r="C49" s="335">
        <v>0</v>
      </c>
      <c r="D49" s="335">
        <v>0</v>
      </c>
      <c r="E49" s="335">
        <v>0</v>
      </c>
      <c r="F49" s="335">
        <v>0</v>
      </c>
    </row>
    <row r="50" spans="1:6">
      <c r="A50" s="1269" t="s">
        <v>32</v>
      </c>
      <c r="B50" s="1269" t="s">
        <v>41</v>
      </c>
      <c r="C50" s="335">
        <v>15</v>
      </c>
      <c r="D50" s="335">
        <v>510531.07939121802</v>
      </c>
      <c r="E50" s="335">
        <v>29</v>
      </c>
      <c r="F50" s="335">
        <v>708708.347744636</v>
      </c>
    </row>
    <row r="51" spans="1:6">
      <c r="A51" s="1269" t="s">
        <v>42</v>
      </c>
      <c r="B51" s="1269" t="s">
        <v>43</v>
      </c>
      <c r="C51" s="335">
        <v>15</v>
      </c>
      <c r="D51" s="335">
        <v>60066.829096146699</v>
      </c>
      <c r="E51" s="335">
        <v>32</v>
      </c>
      <c r="F51" s="335">
        <v>367470.74010827899</v>
      </c>
    </row>
    <row r="52" spans="1:6">
      <c r="A52" s="1269" t="s">
        <v>42</v>
      </c>
      <c r="B52" s="1269" t="s">
        <v>29</v>
      </c>
      <c r="C52" s="335">
        <v>2</v>
      </c>
      <c r="D52" s="335">
        <v>53633.545151630402</v>
      </c>
      <c r="E52" s="335">
        <v>7</v>
      </c>
      <c r="F52" s="335">
        <v>21815.8424984462</v>
      </c>
    </row>
    <row r="53" spans="1:6">
      <c r="A53" s="1269" t="s">
        <v>44</v>
      </c>
      <c r="B53" s="1269" t="s">
        <v>45</v>
      </c>
      <c r="C53" s="335">
        <v>686</v>
      </c>
      <c r="D53" s="335">
        <v>11110493.691664301</v>
      </c>
      <c r="E53" s="335">
        <v>1417</v>
      </c>
      <c r="F53" s="335">
        <v>3803231.9323018799</v>
      </c>
    </row>
    <row r="54" spans="1:6">
      <c r="A54" s="1269" t="s">
        <v>46</v>
      </c>
      <c r="B54" s="1269" t="s">
        <v>47</v>
      </c>
      <c r="C54" s="335">
        <v>0</v>
      </c>
      <c r="D54" s="335">
        <v>0</v>
      </c>
      <c r="E54" s="335">
        <v>4</v>
      </c>
      <c r="F54" s="335">
        <v>1795792.1038750501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88</v>
      </c>
      <c r="D57" s="335">
        <v>7900118.5530024897</v>
      </c>
      <c r="E57" s="335">
        <v>240</v>
      </c>
      <c r="F57" s="335">
        <v>5929798.8776703496</v>
      </c>
    </row>
    <row r="58" spans="1:6">
      <c r="A58" s="1269" t="s">
        <v>49</v>
      </c>
      <c r="B58" s="1269" t="s">
        <v>51</v>
      </c>
      <c r="C58" s="335">
        <v>29</v>
      </c>
      <c r="D58" s="335">
        <v>935399.30321716703</v>
      </c>
      <c r="E58" s="335">
        <v>43</v>
      </c>
      <c r="F58" s="335">
        <v>887003.66411387001</v>
      </c>
    </row>
    <row r="59" spans="1:6">
      <c r="A59" s="1269" t="s">
        <v>49</v>
      </c>
      <c r="B59" s="1269" t="s">
        <v>52</v>
      </c>
      <c r="C59" s="335">
        <v>228</v>
      </c>
      <c r="D59" s="335">
        <v>9795995.5166435894</v>
      </c>
      <c r="E59" s="335">
        <v>462</v>
      </c>
      <c r="F59" s="335">
        <v>10820135.530561499</v>
      </c>
    </row>
    <row r="60" spans="1:6">
      <c r="A60" s="1269" t="s">
        <v>49</v>
      </c>
      <c r="B60" s="1269" t="s">
        <v>53</v>
      </c>
      <c r="C60" s="335">
        <v>291</v>
      </c>
      <c r="D60" s="335">
        <v>21261087.544165999</v>
      </c>
      <c r="E60" s="335">
        <v>441</v>
      </c>
      <c r="F60" s="335">
        <v>15252731.599476701</v>
      </c>
    </row>
    <row r="61" spans="1:6">
      <c r="A61" s="1269" t="s">
        <v>49</v>
      </c>
      <c r="B61" s="1269" t="s">
        <v>54</v>
      </c>
      <c r="C61" s="335">
        <v>361</v>
      </c>
      <c r="D61" s="335">
        <v>22601871.119941801</v>
      </c>
      <c r="E61" s="335">
        <v>1154</v>
      </c>
      <c r="F61" s="335">
        <v>8168131.86502882</v>
      </c>
    </row>
    <row r="62" spans="1:6">
      <c r="A62" s="1269" t="s">
        <v>49</v>
      </c>
      <c r="B62" s="1269" t="s">
        <v>55</v>
      </c>
      <c r="C62" s="335">
        <v>7</v>
      </c>
      <c r="D62" s="335">
        <v>1305562.4813304199</v>
      </c>
      <c r="E62" s="335">
        <v>11</v>
      </c>
      <c r="F62" s="335">
        <v>422971.6392643</v>
      </c>
    </row>
    <row r="63" spans="1:6">
      <c r="A63" s="1269" t="s">
        <v>49</v>
      </c>
      <c r="B63" s="1269" t="s">
        <v>29</v>
      </c>
      <c r="C63" s="335">
        <v>105</v>
      </c>
      <c r="D63" s="335">
        <v>8365316.5352228796</v>
      </c>
      <c r="E63" s="335">
        <v>86</v>
      </c>
      <c r="F63" s="335">
        <v>3992768.2448308798</v>
      </c>
    </row>
    <row r="64" spans="1:6">
      <c r="A64" s="1269" t="s">
        <v>56</v>
      </c>
      <c r="B64" s="1269" t="s">
        <v>57</v>
      </c>
      <c r="C64" s="335">
        <v>0</v>
      </c>
      <c r="D64" s="335">
        <v>0</v>
      </c>
      <c r="E64" s="335">
        <v>0</v>
      </c>
      <c r="F64" s="335">
        <v>0</v>
      </c>
    </row>
    <row r="65" spans="1:6">
      <c r="A65" s="1269" t="s">
        <v>56</v>
      </c>
      <c r="B65" s="1269" t="s">
        <v>29</v>
      </c>
      <c r="C65" s="335">
        <v>2</v>
      </c>
      <c r="D65" s="335">
        <v>34305.824428858999</v>
      </c>
      <c r="E65" s="335">
        <v>4</v>
      </c>
      <c r="F65" s="335">
        <v>18453.335349454101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9</v>
      </c>
      <c r="D68" s="335">
        <v>214711.155647498</v>
      </c>
      <c r="E68" s="335">
        <v>19</v>
      </c>
      <c r="F68" s="335">
        <v>55935.9854546274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29592991</v>
      </c>
      <c r="E73" s="335">
        <v>32682016.793456338</v>
      </c>
    </row>
    <row r="74" spans="1:6">
      <c r="A74" s="1269" t="s">
        <v>64</v>
      </c>
      <c r="B74" s="1269" t="s">
        <v>727</v>
      </c>
      <c r="C74" s="1269" t="s">
        <v>728</v>
      </c>
      <c r="D74" s="335">
        <v>2491333.2157167499</v>
      </c>
      <c r="E74" s="335">
        <v>2703703.1123822075</v>
      </c>
    </row>
    <row r="75" spans="1:6">
      <c r="A75" s="1269" t="s">
        <v>65</v>
      </c>
      <c r="B75" s="1269" t="s">
        <v>725</v>
      </c>
      <c r="C75" s="1269" t="s">
        <v>729</v>
      </c>
      <c r="D75" s="335">
        <v>3952255</v>
      </c>
      <c r="E75" s="335">
        <v>4191559.1006153799</v>
      </c>
    </row>
    <row r="76" spans="1:6">
      <c r="A76" s="1269" t="s">
        <v>65</v>
      </c>
      <c r="B76" s="1269" t="s">
        <v>727</v>
      </c>
      <c r="C76" s="1269" t="s">
        <v>730</v>
      </c>
      <c r="D76" s="335">
        <v>519731.21571674978</v>
      </c>
      <c r="E76" s="335">
        <v>564811.34522573266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93233.568566500398</v>
      </c>
      <c r="C83" s="335">
        <v>93789.801308087044</v>
      </c>
    </row>
    <row r="84" spans="1:6">
      <c r="A84" s="1265" t="s">
        <v>337</v>
      </c>
      <c r="B84" s="338">
        <v>225540.32333847304</v>
      </c>
      <c r="C84" s="338">
        <v>231794.81043736063</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1742.5576211508187</v>
      </c>
    </row>
    <row r="92" spans="1:6">
      <c r="A92" s="1265" t="s">
        <v>69</v>
      </c>
      <c r="B92" s="338">
        <v>788.29741305274979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5834</v>
      </c>
    </row>
    <row r="98" spans="1:6">
      <c r="A98" s="1269" t="s">
        <v>72</v>
      </c>
      <c r="B98" s="335">
        <v>2</v>
      </c>
    </row>
    <row r="99" spans="1:6">
      <c r="A99" s="1269" t="s">
        <v>73</v>
      </c>
      <c r="B99" s="335">
        <v>23</v>
      </c>
    </row>
    <row r="100" spans="1:6">
      <c r="A100" s="1269" t="s">
        <v>74</v>
      </c>
      <c r="B100" s="335">
        <v>1053</v>
      </c>
    </row>
    <row r="101" spans="1:6">
      <c r="A101" s="1269" t="s">
        <v>75</v>
      </c>
      <c r="B101" s="335">
        <v>28</v>
      </c>
    </row>
    <row r="102" spans="1:6">
      <c r="A102" s="1269" t="s">
        <v>76</v>
      </c>
      <c r="B102" s="335">
        <v>279</v>
      </c>
    </row>
    <row r="103" spans="1:6">
      <c r="A103" s="1269" t="s">
        <v>77</v>
      </c>
      <c r="B103" s="335">
        <v>58</v>
      </c>
    </row>
    <row r="104" spans="1:6">
      <c r="A104" s="1269" t="s">
        <v>78</v>
      </c>
      <c r="B104" s="335">
        <v>885</v>
      </c>
    </row>
    <row r="105" spans="1:6">
      <c r="A105" s="1265" t="s">
        <v>79</v>
      </c>
      <c r="B105" s="1265">
        <v>10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52</v>
      </c>
    </row>
    <row r="130" spans="1:6">
      <c r="A130" s="1269" t="s">
        <v>295</v>
      </c>
      <c r="B130" s="335">
        <v>2</v>
      </c>
    </row>
    <row r="131" spans="1:6">
      <c r="A131" s="1269" t="s">
        <v>296</v>
      </c>
      <c r="B131" s="335">
        <v>2</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91936.836897360801</v>
      </c>
      <c r="C3" s="43" t="s">
        <v>170</v>
      </c>
      <c r="D3" s="43"/>
      <c r="E3" s="156"/>
      <c r="F3" s="43"/>
      <c r="G3" s="43"/>
      <c r="H3" s="43"/>
      <c r="I3" s="43"/>
      <c r="J3" s="43"/>
      <c r="K3" s="96"/>
    </row>
    <row r="4" spans="1:11">
      <c r="A4" s="366" t="s">
        <v>171</v>
      </c>
      <c r="B4" s="49">
        <f>IF(ISERROR('SEAP template'!B69),0,'SEAP template'!B69)</f>
        <v>2530.8550342035687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0.21491626924055021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1795.7921038750501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1795.7921038750501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0.21491626924055021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385.94493929646438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38210.865309197347</v>
      </c>
      <c r="C5" s="17">
        <f>IF(ISERROR('Eigen informatie GS &amp; warmtenet'!B57),0,'Eigen informatie GS &amp; warmtenet'!B57)</f>
        <v>0</v>
      </c>
      <c r="D5" s="30">
        <f>(SUM(HH_hh_gas_kWh,HH_rest_gas_kWh)/1000)*0.902</f>
        <v>113674.59138369416</v>
      </c>
      <c r="E5" s="17">
        <f>B46*B57</f>
        <v>0</v>
      </c>
      <c r="F5" s="17">
        <f>B51*B62</f>
        <v>0</v>
      </c>
      <c r="G5" s="18"/>
      <c r="H5" s="17"/>
      <c r="I5" s="17"/>
      <c r="J5" s="17">
        <f>B50*B61+C50*C61</f>
        <v>0</v>
      </c>
      <c r="K5" s="17"/>
      <c r="L5" s="17"/>
      <c r="M5" s="17"/>
      <c r="N5" s="17">
        <f>B48*B59+C48*C59</f>
        <v>0</v>
      </c>
      <c r="O5" s="17">
        <f>B69*B70*B71</f>
        <v>101.61666666666667</v>
      </c>
      <c r="P5" s="17">
        <f>B77*B78*B79/1000-B77*B78*B79/1000/B80</f>
        <v>286</v>
      </c>
    </row>
    <row r="6" spans="1:16">
      <c r="A6" s="16" t="s">
        <v>634</v>
      </c>
      <c r="B6" s="831">
        <f>kWh_PV_kleiner_dan_10kW</f>
        <v>1742.5576211508187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39953.422930348162</v>
      </c>
      <c r="C8" s="21">
        <f>C5</f>
        <v>0</v>
      </c>
      <c r="D8" s="21">
        <f>D5</f>
        <v>113674.59138369416</v>
      </c>
      <c r="E8" s="21">
        <f>E5</f>
        <v>0</v>
      </c>
      <c r="F8" s="21">
        <f>F5</f>
        <v>0</v>
      </c>
      <c r="G8" s="21"/>
      <c r="H8" s="21"/>
      <c r="I8" s="21"/>
      <c r="J8" s="21">
        <f>J5</f>
        <v>0</v>
      </c>
      <c r="K8" s="21"/>
      <c r="L8" s="21">
        <f>L5</f>
        <v>0</v>
      </c>
      <c r="M8" s="21">
        <f>M5</f>
        <v>0</v>
      </c>
      <c r="N8" s="21">
        <f>N5</f>
        <v>0</v>
      </c>
      <c r="O8" s="21">
        <f>O5</f>
        <v>101.61666666666667</v>
      </c>
      <c r="P8" s="21">
        <f>P5</f>
        <v>286</v>
      </c>
    </row>
    <row r="9" spans="1:16">
      <c r="B9" s="19"/>
      <c r="C9" s="19"/>
      <c r="D9" s="261"/>
      <c r="E9" s="19"/>
      <c r="F9" s="19"/>
      <c r="G9" s="19"/>
      <c r="H9" s="19"/>
      <c r="I9" s="19"/>
      <c r="J9" s="19"/>
      <c r="K9" s="19"/>
      <c r="L9" s="19"/>
      <c r="M9" s="19"/>
      <c r="N9" s="19"/>
      <c r="O9" s="19"/>
      <c r="P9" s="19"/>
    </row>
    <row r="10" spans="1:16">
      <c r="A10" s="24" t="s">
        <v>214</v>
      </c>
      <c r="B10" s="25">
        <f ca="1">'EF ele_warmte'!B12</f>
        <v>0.21491626924055021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8586.6405995802779</v>
      </c>
      <c r="C12" s="23">
        <f ca="1">C10*C8</f>
        <v>0</v>
      </c>
      <c r="D12" s="23">
        <f>D8*D10</f>
        <v>22962.267459506224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5834</v>
      </c>
      <c r="C18" s="168" t="s">
        <v>111</v>
      </c>
      <c r="D18" s="230"/>
      <c r="E18" s="15"/>
    </row>
    <row r="19" spans="1:7">
      <c r="A19" s="173" t="s">
        <v>72</v>
      </c>
      <c r="B19" s="37">
        <f>aantalw2001_ander</f>
        <v>2</v>
      </c>
      <c r="C19" s="168" t="s">
        <v>111</v>
      </c>
      <c r="D19" s="231"/>
      <c r="E19" s="15"/>
    </row>
    <row r="20" spans="1:7">
      <c r="A20" s="173" t="s">
        <v>73</v>
      </c>
      <c r="B20" s="37">
        <f>aantalw2001_propaan</f>
        <v>23</v>
      </c>
      <c r="C20" s="169">
        <f>IF(ISERROR(B20/SUM($B$20,$B$21,$B$22)*100),0,B20/SUM($B$20,$B$21,$B$22)*100)</f>
        <v>2.083333333333333</v>
      </c>
      <c r="D20" s="231"/>
      <c r="E20" s="15"/>
    </row>
    <row r="21" spans="1:7">
      <c r="A21" s="173" t="s">
        <v>74</v>
      </c>
      <c r="B21" s="37">
        <f>aantalw2001_elektriciteit</f>
        <v>1053</v>
      </c>
      <c r="C21" s="169">
        <f>IF(ISERROR(B21/SUM($B$20,$B$21,$B$22)*100),0,B21/SUM($B$20,$B$21,$B$22)*100)</f>
        <v>95.380434782608688</v>
      </c>
      <c r="D21" s="231"/>
      <c r="E21" s="15"/>
    </row>
    <row r="22" spans="1:7">
      <c r="A22" s="173" t="s">
        <v>75</v>
      </c>
      <c r="B22" s="37">
        <f>aantalw2001_hout</f>
        <v>28</v>
      </c>
      <c r="C22" s="169">
        <f>IF(ISERROR(B22/SUM($B$20,$B$21,$B$22)*100),0,B22/SUM($B$20,$B$21,$B$22)*100)</f>
        <v>2.5362318840579712</v>
      </c>
      <c r="D22" s="231"/>
      <c r="E22" s="15"/>
    </row>
    <row r="23" spans="1:7">
      <c r="A23" s="173" t="s">
        <v>76</v>
      </c>
      <c r="B23" s="37">
        <f>aantalw2001_niet_gespec</f>
        <v>279</v>
      </c>
      <c r="C23" s="168" t="s">
        <v>111</v>
      </c>
      <c r="D23" s="230"/>
      <c r="E23" s="15"/>
    </row>
    <row r="24" spans="1:7">
      <c r="A24" s="173" t="s">
        <v>77</v>
      </c>
      <c r="B24" s="37">
        <f>aantalw2001_steenkool</f>
        <v>58</v>
      </c>
      <c r="C24" s="168" t="s">
        <v>111</v>
      </c>
      <c r="D24" s="231"/>
      <c r="E24" s="15"/>
    </row>
    <row r="25" spans="1:7">
      <c r="A25" s="173" t="s">
        <v>78</v>
      </c>
      <c r="B25" s="37">
        <f>aantalw2001_stookolie</f>
        <v>885</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9965</v>
      </c>
      <c r="C28" s="36"/>
      <c r="D28" s="230"/>
    </row>
    <row r="29" spans="1:7" s="15" customFormat="1">
      <c r="A29" s="232" t="s">
        <v>746</v>
      </c>
      <c r="B29" s="37">
        <f>SUM(HH_hh_gas_aantal,HH_rest_gas_aantal)</f>
        <v>10300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10300</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10300</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45473.541420946422</v>
      </c>
      <c r="C5" s="17">
        <f>IF(ISERROR('Eigen informatie GS &amp; warmtenet'!B58),0,'Eigen informatie GS &amp; warmtenet'!B58)</f>
        <v>0</v>
      </c>
      <c r="D5" s="30">
        <f>SUM(D6:D12)</f>
        <v>65093.146650278963</v>
      </c>
      <c r="E5" s="17">
        <f>SUM(E6:E12)</f>
        <v>1123.9206810662035</v>
      </c>
      <c r="F5" s="17">
        <f>SUM(F6:F12)</f>
        <v>10380.702309422943</v>
      </c>
      <c r="G5" s="18"/>
      <c r="H5" s="17"/>
      <c r="I5" s="17"/>
      <c r="J5" s="17">
        <f>SUM(J6:J12)</f>
        <v>0</v>
      </c>
      <c r="K5" s="17"/>
      <c r="L5" s="17"/>
      <c r="M5" s="17"/>
      <c r="N5" s="17">
        <f>SUM(N6:N12)</f>
        <v>4494.7406956918103</v>
      </c>
      <c r="O5" s="17">
        <f>B38*B39*B40</f>
        <v>3.1266666666666669</v>
      </c>
      <c r="P5" s="17">
        <f>B46*B47*B48/1000-B46*B47*B48/1000/B49</f>
        <v>38.133333333333333</v>
      </c>
      <c r="R5" s="32"/>
    </row>
    <row r="6" spans="1:18">
      <c r="A6" s="32" t="s">
        <v>54</v>
      </c>
      <c r="B6" s="37">
        <f>B26</f>
        <v>8168.1318650288204</v>
      </c>
      <c r="C6" s="33"/>
      <c r="D6" s="37">
        <f>IF(ISERROR(TER_kantoor_gas_kWh/1000),0,TER_kantoor_gas_kWh/1000)*0.902</f>
        <v>20386.887750187503</v>
      </c>
      <c r="E6" s="33">
        <f>$C$26*'E Balans VL '!I12/100/3.6*1000000</f>
        <v>31.734921589909852</v>
      </c>
      <c r="F6" s="33">
        <f>$C$26*('E Balans VL '!L12+'E Balans VL '!N12)/100/3.6*1000000</f>
        <v>1242.2985325965412</v>
      </c>
      <c r="G6" s="34"/>
      <c r="H6" s="33"/>
      <c r="I6" s="33"/>
      <c r="J6" s="33">
        <f>$C$26*('E Balans VL '!D12+'E Balans VL '!E12)/100/3.6*1000000</f>
        <v>0</v>
      </c>
      <c r="K6" s="33"/>
      <c r="L6" s="33"/>
      <c r="M6" s="33"/>
      <c r="N6" s="33">
        <f>$C$26*'E Balans VL '!Y12/100/3.6*1000000</f>
        <v>4.5016191757304007</v>
      </c>
      <c r="O6" s="33"/>
      <c r="P6" s="33"/>
      <c r="R6" s="32"/>
    </row>
    <row r="7" spans="1:18">
      <c r="A7" s="32" t="s">
        <v>53</v>
      </c>
      <c r="B7" s="37">
        <f t="shared" ref="B7:B12" si="0">B27</f>
        <v>15252.731599476701</v>
      </c>
      <c r="C7" s="33"/>
      <c r="D7" s="37">
        <f>IF(ISERROR(TER_horeca_gas_kWh/1000),0,TER_horeca_gas_kWh/1000)*0.902</f>
        <v>19177.500964837731</v>
      </c>
      <c r="E7" s="33">
        <f>$C$27*'E Balans VL '!I9/100/3.6*1000000</f>
        <v>859.19044890331475</v>
      </c>
      <c r="F7" s="33">
        <f>$C$27*('E Balans VL '!L9+'E Balans VL '!N9)/100/3.6*1000000</f>
        <v>4397.9746308895137</v>
      </c>
      <c r="G7" s="34"/>
      <c r="H7" s="33"/>
      <c r="I7" s="33"/>
      <c r="J7" s="33">
        <f>$C$27*('E Balans VL '!D9+'E Balans VL '!E9)/100/3.6*1000000</f>
        <v>0</v>
      </c>
      <c r="K7" s="33"/>
      <c r="L7" s="33"/>
      <c r="M7" s="33"/>
      <c r="N7" s="33">
        <f>$C$27*'E Balans VL '!Y9/100/3.6*1000000</f>
        <v>4.2111999339647355</v>
      </c>
      <c r="O7" s="33"/>
      <c r="P7" s="33"/>
      <c r="R7" s="32"/>
    </row>
    <row r="8" spans="1:18">
      <c r="A8" s="6" t="s">
        <v>52</v>
      </c>
      <c r="B8" s="37">
        <f t="shared" si="0"/>
        <v>10820.1355305615</v>
      </c>
      <c r="C8" s="33"/>
      <c r="D8" s="37">
        <f>IF(ISERROR(TER_handel_gas_kWh/1000),0,TER_handel_gas_kWh/1000)*0.902</f>
        <v>8835.9879560125191</v>
      </c>
      <c r="E8" s="33">
        <f>$C$28*'E Balans VL '!I13/100/3.6*1000000</f>
        <v>155.95486206358703</v>
      </c>
      <c r="F8" s="33">
        <f>$C$28*('E Balans VL '!L13+'E Balans VL '!N13)/100/3.6*1000000</f>
        <v>1879.7095256114512</v>
      </c>
      <c r="G8" s="34"/>
      <c r="H8" s="33"/>
      <c r="I8" s="33"/>
      <c r="J8" s="33">
        <f>$C$28*('E Balans VL '!D13+'E Balans VL '!E13)/100/3.6*1000000</f>
        <v>0</v>
      </c>
      <c r="K8" s="33"/>
      <c r="L8" s="33"/>
      <c r="M8" s="33"/>
      <c r="N8" s="33">
        <f>$C$28*'E Balans VL '!Y13/100/3.6*1000000</f>
        <v>32.41833057186286</v>
      </c>
      <c r="O8" s="33"/>
      <c r="P8" s="33"/>
      <c r="R8" s="32"/>
    </row>
    <row r="9" spans="1:18">
      <c r="A9" s="32" t="s">
        <v>51</v>
      </c>
      <c r="B9" s="37">
        <f t="shared" si="0"/>
        <v>887.00366411387006</v>
      </c>
      <c r="C9" s="33"/>
      <c r="D9" s="37">
        <f>IF(ISERROR(TER_gezond_gas_kWh/1000),0,TER_gezond_gas_kWh/1000)*0.902</f>
        <v>843.73017150188468</v>
      </c>
      <c r="E9" s="33">
        <f>$C$29*'E Balans VL '!I10/100/3.6*1000000</f>
        <v>0.94754981618043488</v>
      </c>
      <c r="F9" s="33">
        <f>$C$29*('E Balans VL '!L10+'E Balans VL '!N10)/100/3.6*1000000</f>
        <v>144.69725466989453</v>
      </c>
      <c r="G9" s="34"/>
      <c r="H9" s="33"/>
      <c r="I9" s="33"/>
      <c r="J9" s="33">
        <f>$C$29*('E Balans VL '!D10+'E Balans VL '!E10)/100/3.6*1000000</f>
        <v>0</v>
      </c>
      <c r="K9" s="33"/>
      <c r="L9" s="33"/>
      <c r="M9" s="33"/>
      <c r="N9" s="33">
        <f>$C$29*'E Balans VL '!Y10/100/3.6*1000000</f>
        <v>9.1311966078586817</v>
      </c>
      <c r="O9" s="33"/>
      <c r="P9" s="33"/>
      <c r="R9" s="32"/>
    </row>
    <row r="10" spans="1:18">
      <c r="A10" s="32" t="s">
        <v>50</v>
      </c>
      <c r="B10" s="37">
        <f t="shared" si="0"/>
        <v>5929.7988776703496</v>
      </c>
      <c r="C10" s="33"/>
      <c r="D10" s="37">
        <f>IF(ISERROR(TER_ander_gas_kWh/1000),0,TER_ander_gas_kWh/1000)*0.902</f>
        <v>7125.9069348082458</v>
      </c>
      <c r="E10" s="33">
        <f>$C$30*'E Balans VL '!I14/100/3.6*1000000</f>
        <v>27.270243049038697</v>
      </c>
      <c r="F10" s="33">
        <f>$C$30*('E Balans VL '!L14+'E Balans VL '!N14)/100/3.6*1000000</f>
        <v>1777.3477663054821</v>
      </c>
      <c r="G10" s="34"/>
      <c r="H10" s="33"/>
      <c r="I10" s="33"/>
      <c r="J10" s="33">
        <f>$C$30*('E Balans VL '!D14+'E Balans VL '!E14)/100/3.6*1000000</f>
        <v>0</v>
      </c>
      <c r="K10" s="33"/>
      <c r="L10" s="33"/>
      <c r="M10" s="33"/>
      <c r="N10" s="33">
        <f>$C$30*'E Balans VL '!Y14/100/3.6*1000000</f>
        <v>4127.5314494406293</v>
      </c>
      <c r="O10" s="33"/>
      <c r="P10" s="33"/>
      <c r="R10" s="32"/>
    </row>
    <row r="11" spans="1:18">
      <c r="A11" s="32" t="s">
        <v>55</v>
      </c>
      <c r="B11" s="37">
        <f t="shared" si="0"/>
        <v>422.97163926429999</v>
      </c>
      <c r="C11" s="33"/>
      <c r="D11" s="37">
        <f>IF(ISERROR(TER_onderwijs_gas_kWh/1000),0,TER_onderwijs_gas_kWh/1000)*0.902</f>
        <v>1177.6173581600387</v>
      </c>
      <c r="E11" s="33">
        <f>$C$31*'E Balans VL '!I11/100/3.6*1000000</f>
        <v>0.39236181990114105</v>
      </c>
      <c r="F11" s="33">
        <f>$C$31*('E Balans VL '!L11+'E Balans VL '!N11)/100/3.6*1000000</f>
        <v>148.580215569345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3992.7682448308797</v>
      </c>
      <c r="C12" s="33"/>
      <c r="D12" s="37">
        <f>IF(ISERROR(TER_rest_gas_kWh/1000),0,TER_rest_gas_kWh/1000)*0.902</f>
        <v>7545.5155147710366</v>
      </c>
      <c r="E12" s="33">
        <f>$C$32*'E Balans VL '!I8/100/3.6*1000000</f>
        <v>48.43029382427126</v>
      </c>
      <c r="F12" s="33">
        <f>$C$32*('E Balans VL '!L8+'E Balans VL '!N8)/100/3.6*1000000</f>
        <v>790.09438378071513</v>
      </c>
      <c r="G12" s="34"/>
      <c r="H12" s="33"/>
      <c r="I12" s="33"/>
      <c r="J12" s="33">
        <f>$C$32*('E Balans VL '!D8+'E Balans VL '!E8)/100/3.6*1000000</f>
        <v>0</v>
      </c>
      <c r="K12" s="33"/>
      <c r="L12" s="33"/>
      <c r="M12" s="33"/>
      <c r="N12" s="33">
        <f>$C$32*'E Balans VL '!Y8/100/3.6*1000000</f>
        <v>316.94689996176351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45473.541420946422</v>
      </c>
      <c r="C16" s="21">
        <f t="shared" ca="1" si="1"/>
        <v>0</v>
      </c>
      <c r="D16" s="21">
        <f t="shared" ca="1" si="1"/>
        <v>65093.146650278963</v>
      </c>
      <c r="E16" s="21">
        <f t="shared" si="1"/>
        <v>1123.9206810662035</v>
      </c>
      <c r="F16" s="21">
        <f t="shared" ca="1" si="1"/>
        <v>10380.702309422943</v>
      </c>
      <c r="G16" s="21">
        <f t="shared" si="1"/>
        <v>0</v>
      </c>
      <c r="H16" s="21">
        <f t="shared" si="1"/>
        <v>0</v>
      </c>
      <c r="I16" s="21">
        <f t="shared" si="1"/>
        <v>0</v>
      </c>
      <c r="J16" s="21">
        <f t="shared" si="1"/>
        <v>0</v>
      </c>
      <c r="K16" s="21">
        <f t="shared" si="1"/>
        <v>0</v>
      </c>
      <c r="L16" s="21">
        <f t="shared" ca="1" si="1"/>
        <v>0</v>
      </c>
      <c r="M16" s="21">
        <f t="shared" si="1"/>
        <v>0</v>
      </c>
      <c r="N16" s="21">
        <f t="shared" ca="1" si="1"/>
        <v>4494.7406956918103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0.21491626924055021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9773.0038713454342</v>
      </c>
      <c r="C20" s="23">
        <f t="shared" ref="C20:P20" ca="1" si="2">C16*C18</f>
        <v>0</v>
      </c>
      <c r="D20" s="23">
        <f t="shared" ca="1" si="2"/>
        <v>13148.815623356351</v>
      </c>
      <c r="E20" s="23">
        <f t="shared" si="2"/>
        <v>255.12999460202821</v>
      </c>
      <c r="F20" s="23">
        <f t="shared" ca="1" si="2"/>
        <v>2771.6475166159257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8168.1318650288204</v>
      </c>
      <c r="C26" s="39">
        <f>IF(ISERROR(B26*3.6/1000000/'E Balans VL '!Z12*100),0,B26*3.6/1000000/'E Balans VL '!Z12*100)</f>
        <v>0.17349516677976962</v>
      </c>
      <c r="D26" s="239" t="s">
        <v>692</v>
      </c>
      <c r="F26" s="6"/>
    </row>
    <row r="27" spans="1:18">
      <c r="A27" s="233" t="s">
        <v>53</v>
      </c>
      <c r="B27" s="33">
        <f>IF(ISERROR(TER_horeca_ele_kWh/1000),0,TER_horeca_ele_kWh/1000)</f>
        <v>15252.731599476701</v>
      </c>
      <c r="C27" s="39">
        <f>IF(ISERROR(B27*3.6/1000000/'E Balans VL '!Z9*100),0,B27*3.6/1000000/'E Balans VL '!Z9*100)</f>
        <v>1.1859927721889789</v>
      </c>
      <c r="D27" s="239" t="s">
        <v>692</v>
      </c>
      <c r="F27" s="6"/>
    </row>
    <row r="28" spans="1:18">
      <c r="A28" s="173" t="s">
        <v>52</v>
      </c>
      <c r="B28" s="33">
        <f>IF(ISERROR(TER_handel_ele_kWh/1000),0,TER_handel_ele_kWh/1000)</f>
        <v>10820.1355305615</v>
      </c>
      <c r="C28" s="39">
        <f>IF(ISERROR(B28*3.6/1000000/'E Balans VL '!Z13*100),0,B28*3.6/1000000/'E Balans VL '!Z13*100)</f>
        <v>0.30957681155503469</v>
      </c>
      <c r="D28" s="239" t="s">
        <v>692</v>
      </c>
      <c r="F28" s="6"/>
    </row>
    <row r="29" spans="1:18">
      <c r="A29" s="233" t="s">
        <v>51</v>
      </c>
      <c r="B29" s="33">
        <f>IF(ISERROR(TER_gezond_ele_kWh/1000),0,TER_gezond_ele_kWh/1000)</f>
        <v>887.00366411387006</v>
      </c>
      <c r="C29" s="39">
        <f>IF(ISERROR(B29*3.6/1000000/'E Balans VL '!Z10*100),0,B29*3.6/1000000/'E Balans VL '!Z10*100)</f>
        <v>9.6704010881591834E-2</v>
      </c>
      <c r="D29" s="239" t="s">
        <v>692</v>
      </c>
      <c r="F29" s="6"/>
    </row>
    <row r="30" spans="1:18">
      <c r="A30" s="233" t="s">
        <v>50</v>
      </c>
      <c r="B30" s="33">
        <f>IF(ISERROR(TER_ander_ele_kWh/1000),0,TER_ander_ele_kWh/1000)</f>
        <v>5929.7988776703496</v>
      </c>
      <c r="C30" s="39">
        <f>IF(ISERROR(B30*3.6/1000000/'E Balans VL '!Z14*100),0,B30*3.6/1000000/'E Balans VL '!Z14*100)</f>
        <v>0.43392923043803439</v>
      </c>
      <c r="D30" s="239" t="s">
        <v>692</v>
      </c>
      <c r="F30" s="6"/>
    </row>
    <row r="31" spans="1:18">
      <c r="A31" s="233" t="s">
        <v>55</v>
      </c>
      <c r="B31" s="33">
        <f>IF(ISERROR(TER_onderwijs_ele_kWh/1000),0,TER_onderwijs_ele_kWh/1000)</f>
        <v>422.97163926429999</v>
      </c>
      <c r="C31" s="39">
        <f>IF(ISERROR(B31*3.6/1000000/'E Balans VL '!Z11*100),0,B31*3.6/1000000/'E Balans VL '!Z11*100)</f>
        <v>8.495416783631296E-2</v>
      </c>
      <c r="D31" s="239" t="s">
        <v>692</v>
      </c>
    </row>
    <row r="32" spans="1:18">
      <c r="A32" s="233" t="s">
        <v>260</v>
      </c>
      <c r="B32" s="33">
        <f>IF(ISERROR(TER_rest_ele_kWh/1000),0,TER_rest_ele_kWh/1000)</f>
        <v>3992.7682448308797</v>
      </c>
      <c r="C32" s="39">
        <f>IF(ISERROR(B32*3.6/1000000/'E Balans VL '!Z8*100),0,B32*3.6/1000000/'E Balans VL '!Z8*100)</f>
        <v>3.2538638107439025E-2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3527.9325170153866</v>
      </c>
      <c r="C5" s="17">
        <f>IF(ISERROR('Eigen informatie GS &amp; warmtenet'!B59),0,'Eigen informatie GS &amp; warmtenet'!B59)</f>
        <v>0</v>
      </c>
      <c r="D5" s="30">
        <f>SUM(D6:D15)</f>
        <v>3158.300640789384</v>
      </c>
      <c r="E5" s="17">
        <f>SUM(E6:E15)</f>
        <v>722.62571008706504</v>
      </c>
      <c r="F5" s="17">
        <f>SUM(F6:F15)</f>
        <v>2746.387763960644</v>
      </c>
      <c r="G5" s="18"/>
      <c r="H5" s="17"/>
      <c r="I5" s="17"/>
      <c r="J5" s="17">
        <f>SUM(J6:J15)</f>
        <v>0.53172609442871099</v>
      </c>
      <c r="K5" s="17"/>
      <c r="L5" s="17"/>
      <c r="M5" s="17"/>
      <c r="N5" s="17">
        <f>SUM(N6:N15)</f>
        <v>1150.3373301170066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166.84935346753798</v>
      </c>
      <c r="C8" s="33"/>
      <c r="D8" s="37">
        <f>IF( ISERROR(IND_metaal_Gas_kWH/1000),0,IND_metaal_Gas_kWH/1000)*0.902</f>
        <v>0</v>
      </c>
      <c r="E8" s="33">
        <f>C30*'E Balans VL '!I18/100/3.6*1000000</f>
        <v>4.7925397072300147</v>
      </c>
      <c r="F8" s="33">
        <f>C30*'E Balans VL '!L18/100/3.6*1000000+C30*'E Balans VL '!N18/100/3.6*1000000</f>
        <v>42.793650190190498</v>
      </c>
      <c r="G8" s="34"/>
      <c r="H8" s="33"/>
      <c r="I8" s="33"/>
      <c r="J8" s="40">
        <f>C30*'E Balans VL '!D18/100/3.6*1000000+C30*'E Balans VL '!E18/100/3.6*1000000</f>
        <v>0</v>
      </c>
      <c r="K8" s="33"/>
      <c r="L8" s="33"/>
      <c r="M8" s="33"/>
      <c r="N8" s="33">
        <f>C30*'E Balans VL '!Y18/100/3.6*1000000</f>
        <v>4.5303005344277842</v>
      </c>
      <c r="O8" s="33"/>
      <c r="P8" s="33"/>
      <c r="R8" s="32"/>
    </row>
    <row r="9" spans="1:18">
      <c r="A9" s="6" t="s">
        <v>33</v>
      </c>
      <c r="B9" s="37">
        <f t="shared" si="0"/>
        <v>2394.34964859808</v>
      </c>
      <c r="C9" s="33"/>
      <c r="D9" s="37">
        <f>IF( ISERROR(IND_andere_gas_kWh/1000),0,IND_andere_gas_kWh/1000)*0.902</f>
        <v>1832.0441834105791</v>
      </c>
      <c r="E9" s="33">
        <f>C31*'E Balans VL '!I19/100/3.6*1000000</f>
        <v>648.09157990384881</v>
      </c>
      <c r="F9" s="33">
        <f>C31*'E Balans VL '!L19/100/3.6*1000000+C31*'E Balans VL '!N19/100/3.6*1000000</f>
        <v>1594.8902410867352</v>
      </c>
      <c r="G9" s="34"/>
      <c r="H9" s="33"/>
      <c r="I9" s="33"/>
      <c r="J9" s="40">
        <f>C31*'E Balans VL '!D19/100/3.6*1000000+C31*'E Balans VL '!E19/100/3.6*1000000</f>
        <v>0</v>
      </c>
      <c r="K9" s="33"/>
      <c r="L9" s="33"/>
      <c r="M9" s="33"/>
      <c r="N9" s="33">
        <f>C31*'E Balans VL '!Y19/100/3.6*1000000</f>
        <v>781.71538671455596</v>
      </c>
      <c r="O9" s="33"/>
      <c r="P9" s="33"/>
      <c r="R9" s="32"/>
    </row>
    <row r="10" spans="1:18">
      <c r="A10" s="6" t="s">
        <v>41</v>
      </c>
      <c r="B10" s="37">
        <f t="shared" si="0"/>
        <v>708.70834774463606</v>
      </c>
      <c r="C10" s="33"/>
      <c r="D10" s="37">
        <f>IF( ISERROR(IND_voed_gas_kWh/1000),0,IND_voed_gas_kWh/1000)*0.902</f>
        <v>460.49903361087871</v>
      </c>
      <c r="E10" s="33">
        <f>C32*'E Balans VL '!I20/100/3.6*1000000</f>
        <v>57.803881057113102</v>
      </c>
      <c r="F10" s="33">
        <f>C32*'E Balans VL '!L20/100/3.6*1000000+C32*'E Balans VL '!N20/100/3.6*1000000</f>
        <v>1056.7484461425786</v>
      </c>
      <c r="G10" s="34"/>
      <c r="H10" s="33"/>
      <c r="I10" s="33"/>
      <c r="J10" s="40">
        <f>C32*'E Balans VL '!D20/100/3.6*1000000+C32*'E Balans VL '!E20/100/3.6*1000000</f>
        <v>9.3753511841313114E-3</v>
      </c>
      <c r="K10" s="33"/>
      <c r="L10" s="33"/>
      <c r="M10" s="33"/>
      <c r="N10" s="33">
        <f>C32*'E Balans VL '!Y20/100/3.6*1000000</f>
        <v>208.19350494630041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54.225741895977301</v>
      </c>
      <c r="C13" s="33"/>
      <c r="D13" s="37">
        <f>IF( ISERROR(IND_papier_gas_kWh/1000),0,IND_papier_gas_kWh/1000)*0.902</f>
        <v>0</v>
      </c>
      <c r="E13" s="33">
        <f>C35*'E Balans VL '!I23/100/3.6*1000000</f>
        <v>0.56811343360607613</v>
      </c>
      <c r="F13" s="33">
        <f>C35*'E Balans VL '!L23/100/3.6*1000000+C35*'E Balans VL '!N23/100/3.6*1000000</f>
        <v>4.0463344715754639</v>
      </c>
      <c r="G13" s="34"/>
      <c r="H13" s="33"/>
      <c r="I13" s="33"/>
      <c r="J13" s="40">
        <f>C35*'E Balans VL '!D23/100/3.6*1000000+C35*'E Balans VL '!E23/100/3.6*1000000</f>
        <v>0</v>
      </c>
      <c r="K13" s="33"/>
      <c r="L13" s="33"/>
      <c r="M13" s="33"/>
      <c r="N13" s="33">
        <f>C35*'E Balans VL '!Y23/100/3.6*1000000</f>
        <v>115.90186339168284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203.799425309155</v>
      </c>
      <c r="C15" s="33"/>
      <c r="D15" s="37">
        <f>IF( ISERROR(IND_rest_gas_kWh/1000),0,IND_rest_gas_kWh/1000)*0.902</f>
        <v>865.75742376792653</v>
      </c>
      <c r="E15" s="33">
        <f>C37*'E Balans VL '!I15/100/3.6*1000000</f>
        <v>11.369595985266971</v>
      </c>
      <c r="F15" s="33">
        <f>C37*'E Balans VL '!L15/100/3.6*1000000+C37*'E Balans VL '!N15/100/3.6*1000000</f>
        <v>47.909092069564572</v>
      </c>
      <c r="G15" s="34"/>
      <c r="H15" s="33"/>
      <c r="I15" s="33"/>
      <c r="J15" s="40">
        <f>C37*'E Balans VL '!D15/100/3.6*1000000+C37*'E Balans VL '!E15/100/3.6*1000000</f>
        <v>0.52235074324457964</v>
      </c>
      <c r="K15" s="33"/>
      <c r="L15" s="33"/>
      <c r="M15" s="33"/>
      <c r="N15" s="33">
        <f>C37*'E Balans VL '!Y15/100/3.6*1000000</f>
        <v>39.996274530039535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3527.9325170153866</v>
      </c>
      <c r="C18" s="21">
        <f>C5+C16</f>
        <v>0</v>
      </c>
      <c r="D18" s="21">
        <f>MAX((D5+D16),0)</f>
        <v>3158.300640789384</v>
      </c>
      <c r="E18" s="21">
        <f>MAX((E5+E16),0)</f>
        <v>722.62571008706504</v>
      </c>
      <c r="F18" s="21">
        <f>MAX((F5+F16),0)</f>
        <v>2746.387763960644</v>
      </c>
      <c r="G18" s="21"/>
      <c r="H18" s="21"/>
      <c r="I18" s="21"/>
      <c r="J18" s="21">
        <f>MAX((J5+J16),0)</f>
        <v>0.53172609442871099</v>
      </c>
      <c r="K18" s="21"/>
      <c r="L18" s="21">
        <f>MAX((L5+L16),0)</f>
        <v>0</v>
      </c>
      <c r="M18" s="21"/>
      <c r="N18" s="21">
        <f>MAX((N5+N16),0)</f>
        <v>1150.3373301170066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0.21491626924055021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758.21009468937086</v>
      </c>
      <c r="C22" s="23">
        <f ca="1">C18*C20</f>
        <v>0</v>
      </c>
      <c r="D22" s="23">
        <f>D18*D20</f>
        <v>637.97672943945565</v>
      </c>
      <c r="E22" s="23">
        <f>E18*E20</f>
        <v>164.03603618976376</v>
      </c>
      <c r="F22" s="23">
        <f>F18*F20</f>
        <v>733.28553297749193</v>
      </c>
      <c r="G22" s="23"/>
      <c r="H22" s="23"/>
      <c r="I22" s="23"/>
      <c r="J22" s="23">
        <f>J18*J20</f>
        <v>0.18823103742776368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166.84935346753798</v>
      </c>
      <c r="C30" s="39">
        <f>IF(ISERROR(B30*3.6/1000000/'E Balans VL '!Z18*100),0,B30*3.6/1000000/'E Balans VL '!Z18*100)</f>
        <v>1.6417550460177593E-2</v>
      </c>
      <c r="D30" s="239" t="s">
        <v>692</v>
      </c>
    </row>
    <row r="31" spans="1:18">
      <c r="A31" s="6" t="s">
        <v>33</v>
      </c>
      <c r="B31" s="37">
        <f>IF( ISERROR(IND_ander_ele_kWh/1000),0,IND_ander_ele_kWh/1000)</f>
        <v>2394.34964859808</v>
      </c>
      <c r="C31" s="39">
        <f>IF(ISERROR(B31*3.6/1000000/'E Balans VL '!Z19*100),0,B31*3.6/1000000/'E Balans VL '!Z19*100)</f>
        <v>0.10427201724254598</v>
      </c>
      <c r="D31" s="239" t="s">
        <v>692</v>
      </c>
    </row>
    <row r="32" spans="1:18">
      <c r="A32" s="173" t="s">
        <v>41</v>
      </c>
      <c r="B32" s="37">
        <f>IF( ISERROR(IND_voed_ele_kWh/1000),0,IND_voed_ele_kWh/1000)</f>
        <v>708.70834774463606</v>
      </c>
      <c r="C32" s="39">
        <f>IF(ISERROR(B32*3.6/1000000/'E Balans VL '!Z20*100),0,B32*3.6/1000000/'E Balans VL '!Z20*100)</f>
        <v>0.13446718829829241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54.225741895977301</v>
      </c>
      <c r="C35" s="39">
        <f>IF(ISERROR(B35*3.6/1000000/'E Balans VL '!Z22*100),0,B35*3.6/1000000/'E Balans VL '!Z22*100)</f>
        <v>7.6246838285021048E-3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203.799425309155</v>
      </c>
      <c r="C37" s="39">
        <f>IF(ISERROR(B37*3.6/1000000/'E Balans VL '!Z15*100),0,B37*3.6/1000000/'E Balans VL '!Z15*100)</f>
        <v>1.5705248892988585E-3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389.28658260672518</v>
      </c>
      <c r="C5" s="17">
        <f>'Eigen informatie GS &amp; warmtenet'!B60</f>
        <v>0</v>
      </c>
      <c r="D5" s="30">
        <f>IF(ISERROR(SUM(LB_lb_gas_kWh,LB_rest_gas_kWh,onbekend_gas_kWh)/1000),0,SUM(LB_lb_gas_kWh,LB_rest_gas_kWh,onbekend_gas_kWh)/1000)*0.902</f>
        <v>10124.223047452693</v>
      </c>
      <c r="E5" s="17">
        <f>B17*'E Balans VL '!I25/3.6*1000000/100</f>
        <v>4.9055124439290303</v>
      </c>
      <c r="F5" s="17">
        <f>B17*('E Balans VL '!L25/3.6*1000000+'E Balans VL '!N25/3.6*1000000)/100</f>
        <v>1343.1362321093302</v>
      </c>
      <c r="G5" s="18"/>
      <c r="H5" s="17"/>
      <c r="I5" s="17"/>
      <c r="J5" s="17">
        <f>('E Balans VL '!D25+'E Balans VL '!E25)/3.6*1000000*landbouw!B17/100</f>
        <v>58.544276770362131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389.28658260672518</v>
      </c>
      <c r="C8" s="21">
        <f>C5+C6</f>
        <v>0</v>
      </c>
      <c r="D8" s="21">
        <f>MAX((D5+D6),0)</f>
        <v>10124.223047452693</v>
      </c>
      <c r="E8" s="21">
        <f>MAX((E5+E6),0)</f>
        <v>4.9055124439290303</v>
      </c>
      <c r="F8" s="21">
        <f>MAX((F5+F6),0)</f>
        <v>1343.1362321093302</v>
      </c>
      <c r="G8" s="21"/>
      <c r="H8" s="21"/>
      <c r="I8" s="21"/>
      <c r="J8" s="21">
        <f>MAX((J5+J6),0)</f>
        <v>58.544276770362131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0.21491626924055021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83.664019999240637</v>
      </c>
      <c r="C12" s="23">
        <f ca="1">C8*C10</f>
        <v>0</v>
      </c>
      <c r="D12" s="23">
        <f>D8*D10</f>
        <v>2045.0930555854441</v>
      </c>
      <c r="E12" s="23">
        <f>E8*E10</f>
        <v>1.11355132477189</v>
      </c>
      <c r="F12" s="23">
        <f>F8*F10</f>
        <v>358.61737397319121</v>
      </c>
      <c r="G12" s="23"/>
      <c r="H12" s="23"/>
      <c r="I12" s="23"/>
      <c r="J12" s="23">
        <f>J8*J10</f>
        <v>20.724673976708193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5.429320867275933E-2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67.124415625414358</v>
      </c>
      <c r="C26" s="249">
        <f>B26*'GWP N2O_CH4'!B5</f>
        <v>1409.6127281337015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41.0251169768108</v>
      </c>
      <c r="C27" s="249">
        <f>B27*'GWP N2O_CH4'!B5</f>
        <v>861.52745651302678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1.0189655848700332</v>
      </c>
      <c r="C28" s="249">
        <f>B28*'GWP N2O_CH4'!B4</f>
        <v>315.87933130971027</v>
      </c>
      <c r="D28" s="50"/>
    </row>
    <row r="29" spans="1:4">
      <c r="A29" s="41" t="s">
        <v>277</v>
      </c>
      <c r="B29" s="249">
        <f>B34*'ha_N2O bodem landbouw'!B4</f>
        <v>6.218715618528341</v>
      </c>
      <c r="C29" s="249">
        <f>B29*'GWP N2O_CH4'!B4</f>
        <v>1927.8018417437856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1.5527511508057498E-3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6.5941300833300219E-6</v>
      </c>
      <c r="C5" s="448" t="s">
        <v>211</v>
      </c>
      <c r="D5" s="433">
        <f>SUM(D6:D11)</f>
        <v>1.0198448638986099E-5</v>
      </c>
      <c r="E5" s="433">
        <f>SUM(E6:E11)</f>
        <v>3.1544062266774728E-4</v>
      </c>
      <c r="F5" s="446" t="s">
        <v>211</v>
      </c>
      <c r="G5" s="433">
        <f>SUM(G6:G11)</f>
        <v>8.5889943510830624E-2</v>
      </c>
      <c r="H5" s="433">
        <f>SUM(H6:H11)</f>
        <v>1.5331842455233082E-2</v>
      </c>
      <c r="I5" s="448" t="s">
        <v>211</v>
      </c>
      <c r="J5" s="448" t="s">
        <v>211</v>
      </c>
      <c r="K5" s="448" t="s">
        <v>211</v>
      </c>
      <c r="L5" s="448" t="s">
        <v>211</v>
      </c>
      <c r="M5" s="433">
        <f>SUM(M6:M11)</f>
        <v>4.5757947431708532E-3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5.8172186964678866E-6</v>
      </c>
      <c r="C6" s="949"/>
      <c r="D6" s="949">
        <f>vkm_2011_GW_PW*SUMIFS(TableVerdeelsleutelVkm[CNG],TableVerdeelsleutelVkm[Voertuigtype],"Lichte voertuigen")*SUMIFS(TableECFTransport[EnergieConsumptieFactor (PJ per km)],TableECFTransport[Index],CONCATENATE($A6,"_CNG_CNG"))</f>
        <v>8.2383194094055492E-6</v>
      </c>
      <c r="E6" s="949">
        <f>vkm_2011_GW_PW*SUMIFS(TableVerdeelsleutelVkm[LPG],TableVerdeelsleutelVkm[Voertuigtype],"Lichte voertuigen")*SUMIFS(TableECFTransport[EnergieConsumptieFactor (PJ per km)],TableECFTransport[Index],CONCATENATE($A6,"_LPG_LPG"))</f>
        <v>2.587384913859256E-4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4.6502391689573888E-2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1.2460690039483299E-2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2.6676782206626498E-3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2.3517558653707634E-2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8.3555447887173193E-6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1.0612729941022923E-3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7.7691138686213516E-7</v>
      </c>
      <c r="C8" s="949"/>
      <c r="D8" s="436">
        <f>vkm_2011_NGW_PW*SUMIFS(TableVerdeelsleutelVkm[CNG],TableVerdeelsleutelVkm[Voertuigtype],"Lichte voertuigen")*SUMIFS(TableECFTransport[EnergieConsumptieFactor (PJ per km)],TableECFTransport[Index],CONCATENATE($A8,"_CNG_CNG"))</f>
        <v>1.9601292295805506E-6</v>
      </c>
      <c r="E8" s="436">
        <f>vkm_2011_NGW_PW*SUMIFS(TableVerdeelsleutelVkm[LPG],TableVerdeelsleutelVkm[Voertuigtype],"Lichte voertuigen")*SUMIFS(TableECFTransport[EnergieConsumptieFactor (PJ per km)],TableECFTransport[Index],CONCATENATE($A8,"_LPG_LPG"))</f>
        <v>5.6702131281821677E-5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9.6115610926428494E-3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2.8606927399339728E-3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5.6442575770828567E-4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6.2584320749062526E-3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2.1041310270927873E-6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2.8241777069762549E-4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1.831702800925006</v>
      </c>
      <c r="C14" s="21"/>
      <c r="D14" s="21">
        <f t="shared" ref="D14:M14" si="0">((D5)*10^9/3600)+D12</f>
        <v>2.8329023997183609</v>
      </c>
      <c r="E14" s="21">
        <f t="shared" si="0"/>
        <v>87.622395185485345</v>
      </c>
      <c r="F14" s="21"/>
      <c r="G14" s="21">
        <f t="shared" si="0"/>
        <v>23858.317641897396</v>
      </c>
      <c r="H14" s="21">
        <f t="shared" si="0"/>
        <v>4258.8451264536343</v>
      </c>
      <c r="I14" s="21"/>
      <c r="J14" s="21"/>
      <c r="K14" s="21"/>
      <c r="L14" s="21"/>
      <c r="M14" s="21">
        <f t="shared" si="0"/>
        <v>1271.0540953252369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0.21491626924055021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0.39366273233226856</v>
      </c>
      <c r="C18" s="23"/>
      <c r="D18" s="23">
        <f t="shared" ref="D18:M18" si="1">D14*D16</f>
        <v>0.5722462847431089</v>
      </c>
      <c r="E18" s="23">
        <f t="shared" si="1"/>
        <v>19.890283707105173</v>
      </c>
      <c r="F18" s="23"/>
      <c r="G18" s="23">
        <f t="shared" si="1"/>
        <v>6370.1708103866049</v>
      </c>
      <c r="H18" s="23">
        <f t="shared" si="1"/>
        <v>1060.4524364869549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2.8621067031652228E-3</v>
      </c>
      <c r="C50" s="323">
        <f t="shared" ref="C50:P50" si="2">SUM(C51:C52)</f>
        <v>0</v>
      </c>
      <c r="D50" s="323">
        <f t="shared" si="2"/>
        <v>0</v>
      </c>
      <c r="E50" s="323">
        <f t="shared" si="2"/>
        <v>0</v>
      </c>
      <c r="F50" s="323">
        <f t="shared" si="2"/>
        <v>0</v>
      </c>
      <c r="G50" s="323">
        <f t="shared" si="2"/>
        <v>1.2163669465740093E-3</v>
      </c>
      <c r="H50" s="323">
        <f t="shared" si="2"/>
        <v>0</v>
      </c>
      <c r="I50" s="323">
        <f t="shared" si="2"/>
        <v>0</v>
      </c>
      <c r="J50" s="323">
        <f t="shared" si="2"/>
        <v>0</v>
      </c>
      <c r="K50" s="323">
        <f t="shared" si="2"/>
        <v>0</v>
      </c>
      <c r="L50" s="323">
        <f t="shared" si="2"/>
        <v>0</v>
      </c>
      <c r="M50" s="323">
        <f t="shared" si="2"/>
        <v>5.409481324598294E-5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1.2163669465740093E-3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5.409481324598294E-5</v>
      </c>
      <c r="N51" s="325"/>
      <c r="O51" s="325"/>
      <c r="P51" s="328"/>
    </row>
    <row r="52" spans="1:18">
      <c r="A52" s="4" t="s">
        <v>330</v>
      </c>
      <c r="B52" s="329">
        <f>vkm_2011_tram*SUMIFS(TableECFTransport[EnergieConsumptieFactor (PJ per km)],TableECFTransport[Index],"Tram_gemiddeld_Electric_Electric")</f>
        <v>2.8621067031652228E-3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795.02963976811748</v>
      </c>
      <c r="C54" s="21">
        <f t="shared" ref="C54:P54" si="3">(C50)*10^9/3600</f>
        <v>0</v>
      </c>
      <c r="D54" s="21">
        <f t="shared" si="3"/>
        <v>0</v>
      </c>
      <c r="E54" s="21">
        <f t="shared" si="3"/>
        <v>0</v>
      </c>
      <c r="F54" s="21">
        <f t="shared" si="3"/>
        <v>0</v>
      </c>
      <c r="G54" s="21">
        <f t="shared" si="3"/>
        <v>337.87970738166922</v>
      </c>
      <c r="H54" s="21">
        <f t="shared" si="3"/>
        <v>0</v>
      </c>
      <c r="I54" s="21">
        <f t="shared" si="3"/>
        <v>0</v>
      </c>
      <c r="J54" s="21">
        <f t="shared" si="3"/>
        <v>0</v>
      </c>
      <c r="K54" s="21">
        <f t="shared" si="3"/>
        <v>0</v>
      </c>
      <c r="L54" s="21">
        <f t="shared" si="3"/>
        <v>0</v>
      </c>
      <c r="M54" s="21">
        <f t="shared" si="3"/>
        <v>15.026337012773039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0.21491626924055021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170.86480411462239</v>
      </c>
      <c r="C58" s="23">
        <f t="shared" ref="C58:P58" ca="1" si="4">C54*C56</f>
        <v>0</v>
      </c>
      <c r="D58" s="23">
        <f t="shared" si="4"/>
        <v>0</v>
      </c>
      <c r="E58" s="23">
        <f t="shared" si="4"/>
        <v>0</v>
      </c>
      <c r="F58" s="23">
        <f t="shared" si="4"/>
        <v>0</v>
      </c>
      <c r="G58" s="23">
        <f t="shared" si="4"/>
        <v>90.213881870905681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2530.8550342035687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2530.8550342035687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47269.333524821472</v>
      </c>
      <c r="D10" s="704">
        <f ca="1">tertiair!C16</f>
        <v>0</v>
      </c>
      <c r="E10" s="704">
        <f ca="1">tertiair!D16</f>
        <v>65093.146650278963</v>
      </c>
      <c r="F10" s="704">
        <f>tertiair!E16</f>
        <v>1123.9206810662035</v>
      </c>
      <c r="G10" s="704">
        <f ca="1">tertiair!F16</f>
        <v>10380.702309422943</v>
      </c>
      <c r="H10" s="704">
        <f>tertiair!G16</f>
        <v>0</v>
      </c>
      <c r="I10" s="704">
        <f>tertiair!H16</f>
        <v>0</v>
      </c>
      <c r="J10" s="704">
        <f>tertiair!I16</f>
        <v>0</v>
      </c>
      <c r="K10" s="704">
        <f>tertiair!J16</f>
        <v>0</v>
      </c>
      <c r="L10" s="704">
        <f>tertiair!K16</f>
        <v>0</v>
      </c>
      <c r="M10" s="704">
        <f ca="1">tertiair!L16</f>
        <v>0</v>
      </c>
      <c r="N10" s="704">
        <f>tertiair!M16</f>
        <v>0</v>
      </c>
      <c r="O10" s="704">
        <f ca="1">tertiair!N16</f>
        <v>4494.7406956918103</v>
      </c>
      <c r="P10" s="704">
        <f>tertiair!O16</f>
        <v>3.1266666666666669</v>
      </c>
      <c r="Q10" s="705">
        <f>tertiair!P16</f>
        <v>38.133333333333333</v>
      </c>
      <c r="R10" s="707">
        <f ca="1">SUM(C10:Q10)</f>
        <v>128403.10386128139</v>
      </c>
      <c r="S10" s="67"/>
    </row>
    <row r="11" spans="1:19" s="459" customFormat="1">
      <c r="A11" s="858" t="s">
        <v>225</v>
      </c>
      <c r="B11" s="863"/>
      <c r="C11" s="704">
        <f>huishoudens!B8</f>
        <v>39953.422930348162</v>
      </c>
      <c r="D11" s="704">
        <f>huishoudens!C8</f>
        <v>0</v>
      </c>
      <c r="E11" s="704">
        <f>huishoudens!D8</f>
        <v>113674.59138369416</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101.61666666666667</v>
      </c>
      <c r="Q11" s="705">
        <f>huishoudens!P8</f>
        <v>286</v>
      </c>
      <c r="R11" s="707">
        <f>SUM(C11:Q11)</f>
        <v>154015.63098070899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3527.9325170153866</v>
      </c>
      <c r="D13" s="704">
        <f>industrie!C18</f>
        <v>0</v>
      </c>
      <c r="E13" s="704">
        <f>industrie!D18</f>
        <v>3158.300640789384</v>
      </c>
      <c r="F13" s="704">
        <f>industrie!E18</f>
        <v>722.62571008706504</v>
      </c>
      <c r="G13" s="704">
        <f>industrie!F18</f>
        <v>2746.387763960644</v>
      </c>
      <c r="H13" s="704">
        <f>industrie!G18</f>
        <v>0</v>
      </c>
      <c r="I13" s="704">
        <f>industrie!H18</f>
        <v>0</v>
      </c>
      <c r="J13" s="704">
        <f>industrie!I18</f>
        <v>0</v>
      </c>
      <c r="K13" s="704">
        <f>industrie!J18</f>
        <v>0.53172609442871099</v>
      </c>
      <c r="L13" s="704">
        <f>industrie!K18</f>
        <v>0</v>
      </c>
      <c r="M13" s="704">
        <f>industrie!L18</f>
        <v>0</v>
      </c>
      <c r="N13" s="704">
        <f>industrie!M18</f>
        <v>0</v>
      </c>
      <c r="O13" s="704">
        <f>industrie!N18</f>
        <v>1150.3373301170066</v>
      </c>
      <c r="P13" s="704">
        <f>industrie!O18</f>
        <v>0</v>
      </c>
      <c r="Q13" s="705">
        <f>industrie!P18</f>
        <v>0</v>
      </c>
      <c r="R13" s="707">
        <f>SUM(C13:Q13)</f>
        <v>11306.115688063916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90750.688972185031</v>
      </c>
      <c r="D15" s="709">
        <f t="shared" ref="D15:Q15" ca="1" si="0">SUM(D9:D14)</f>
        <v>0</v>
      </c>
      <c r="E15" s="709">
        <f t="shared" ca="1" si="0"/>
        <v>181926.0386747625</v>
      </c>
      <c r="F15" s="709">
        <f t="shared" si="0"/>
        <v>1846.5463911532686</v>
      </c>
      <c r="G15" s="709">
        <f t="shared" ca="1" si="0"/>
        <v>13127.090073383586</v>
      </c>
      <c r="H15" s="709">
        <f t="shared" si="0"/>
        <v>0</v>
      </c>
      <c r="I15" s="709">
        <f t="shared" si="0"/>
        <v>0</v>
      </c>
      <c r="J15" s="709">
        <f t="shared" si="0"/>
        <v>0</v>
      </c>
      <c r="K15" s="709">
        <f t="shared" si="0"/>
        <v>0.53172609442871099</v>
      </c>
      <c r="L15" s="709">
        <f t="shared" si="0"/>
        <v>0</v>
      </c>
      <c r="M15" s="709">
        <f t="shared" ca="1" si="0"/>
        <v>0</v>
      </c>
      <c r="N15" s="709">
        <f t="shared" si="0"/>
        <v>0</v>
      </c>
      <c r="O15" s="709">
        <f t="shared" ca="1" si="0"/>
        <v>5645.0780258088171</v>
      </c>
      <c r="P15" s="709">
        <f t="shared" si="0"/>
        <v>104.74333333333334</v>
      </c>
      <c r="Q15" s="710">
        <f t="shared" si="0"/>
        <v>324.13333333333333</v>
      </c>
      <c r="R15" s="711">
        <f ca="1">SUM(R9:R14)</f>
        <v>293724.8505300543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795.02963976811748</v>
      </c>
      <c r="D18" s="704">
        <f>transport!C54</f>
        <v>0</v>
      </c>
      <c r="E18" s="704">
        <f>transport!D54</f>
        <v>0</v>
      </c>
      <c r="F18" s="704">
        <f>transport!E54</f>
        <v>0</v>
      </c>
      <c r="G18" s="704">
        <f>transport!F54</f>
        <v>0</v>
      </c>
      <c r="H18" s="704">
        <f>transport!G54</f>
        <v>337.87970738166922</v>
      </c>
      <c r="I18" s="704">
        <f>transport!H54</f>
        <v>0</v>
      </c>
      <c r="J18" s="704">
        <f>transport!I54</f>
        <v>0</v>
      </c>
      <c r="K18" s="704">
        <f>transport!J54</f>
        <v>0</v>
      </c>
      <c r="L18" s="704">
        <f>transport!K54</f>
        <v>0</v>
      </c>
      <c r="M18" s="704">
        <f>transport!L54</f>
        <v>0</v>
      </c>
      <c r="N18" s="704">
        <f>transport!M54</f>
        <v>15.026337012773039</v>
      </c>
      <c r="O18" s="704">
        <f>transport!N54</f>
        <v>0</v>
      </c>
      <c r="P18" s="704">
        <f>transport!O54</f>
        <v>0</v>
      </c>
      <c r="Q18" s="705">
        <f>transport!P54</f>
        <v>0</v>
      </c>
      <c r="R18" s="707">
        <f>SUM(C18:Q18)</f>
        <v>1147.9356841625597</v>
      </c>
      <c r="S18" s="67"/>
    </row>
    <row r="19" spans="1:19" s="459" customFormat="1" ht="15" thickBot="1">
      <c r="A19" s="858" t="s">
        <v>307</v>
      </c>
      <c r="B19" s="863"/>
      <c r="C19" s="713">
        <f>transport!B14</f>
        <v>1.831702800925006</v>
      </c>
      <c r="D19" s="713">
        <f>transport!C14</f>
        <v>0</v>
      </c>
      <c r="E19" s="713">
        <f>transport!D14</f>
        <v>2.8329023997183609</v>
      </c>
      <c r="F19" s="713">
        <f>transport!E14</f>
        <v>87.622395185485345</v>
      </c>
      <c r="G19" s="713">
        <f>transport!F14</f>
        <v>0</v>
      </c>
      <c r="H19" s="713">
        <f>transport!G14</f>
        <v>23858.317641897396</v>
      </c>
      <c r="I19" s="713">
        <f>transport!H14</f>
        <v>4258.8451264536343</v>
      </c>
      <c r="J19" s="713">
        <f>transport!I14</f>
        <v>0</v>
      </c>
      <c r="K19" s="713">
        <f>transport!J14</f>
        <v>0</v>
      </c>
      <c r="L19" s="713">
        <f>transport!K14</f>
        <v>0</v>
      </c>
      <c r="M19" s="713">
        <f>transport!L14</f>
        <v>0</v>
      </c>
      <c r="N19" s="713">
        <f>transport!M14</f>
        <v>1271.0540953252369</v>
      </c>
      <c r="O19" s="713">
        <f>transport!N14</f>
        <v>0</v>
      </c>
      <c r="P19" s="713">
        <f>transport!O14</f>
        <v>0</v>
      </c>
      <c r="Q19" s="714">
        <f>transport!P14</f>
        <v>0</v>
      </c>
      <c r="R19" s="715">
        <f>SUM(C19:Q19)</f>
        <v>29480.503864062397</v>
      </c>
      <c r="S19" s="67"/>
    </row>
    <row r="20" spans="1:19" s="459" customFormat="1" ht="15.75" thickBot="1">
      <c r="A20" s="716" t="s">
        <v>230</v>
      </c>
      <c r="B20" s="866"/>
      <c r="C20" s="861">
        <f>SUM(C17:C19)</f>
        <v>796.86134256904245</v>
      </c>
      <c r="D20" s="717">
        <f t="shared" ref="D20:R20" si="1">SUM(D17:D19)</f>
        <v>0</v>
      </c>
      <c r="E20" s="717">
        <f t="shared" si="1"/>
        <v>2.8329023997183609</v>
      </c>
      <c r="F20" s="717">
        <f t="shared" si="1"/>
        <v>87.622395185485345</v>
      </c>
      <c r="G20" s="717">
        <f t="shared" si="1"/>
        <v>0</v>
      </c>
      <c r="H20" s="717">
        <f t="shared" si="1"/>
        <v>24196.197349279064</v>
      </c>
      <c r="I20" s="717">
        <f t="shared" si="1"/>
        <v>4258.8451264536343</v>
      </c>
      <c r="J20" s="717">
        <f t="shared" si="1"/>
        <v>0</v>
      </c>
      <c r="K20" s="717">
        <f t="shared" si="1"/>
        <v>0</v>
      </c>
      <c r="L20" s="717">
        <f t="shared" si="1"/>
        <v>0</v>
      </c>
      <c r="M20" s="717">
        <f t="shared" si="1"/>
        <v>0</v>
      </c>
      <c r="N20" s="717">
        <f t="shared" si="1"/>
        <v>1286.0804323380098</v>
      </c>
      <c r="O20" s="717">
        <f t="shared" si="1"/>
        <v>0</v>
      </c>
      <c r="P20" s="717">
        <f t="shared" si="1"/>
        <v>0</v>
      </c>
      <c r="Q20" s="718">
        <f t="shared" si="1"/>
        <v>0</v>
      </c>
      <c r="R20" s="719">
        <f t="shared" si="1"/>
        <v>30628.439548224957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389.28658260672518</v>
      </c>
      <c r="D22" s="713">
        <f>+landbouw!C8</f>
        <v>0</v>
      </c>
      <c r="E22" s="713">
        <f>+landbouw!D8</f>
        <v>10124.223047452693</v>
      </c>
      <c r="F22" s="713">
        <f>+landbouw!E8</f>
        <v>4.9055124439290303</v>
      </c>
      <c r="G22" s="713">
        <f>+landbouw!F8</f>
        <v>1343.1362321093302</v>
      </c>
      <c r="H22" s="713">
        <f>+landbouw!G8</f>
        <v>0</v>
      </c>
      <c r="I22" s="713">
        <f>+landbouw!H8</f>
        <v>0</v>
      </c>
      <c r="J22" s="713">
        <f>+landbouw!I8</f>
        <v>0</v>
      </c>
      <c r="K22" s="713">
        <f>+landbouw!J8</f>
        <v>58.544276770362131</v>
      </c>
      <c r="L22" s="713">
        <f>+landbouw!K8</f>
        <v>0</v>
      </c>
      <c r="M22" s="713">
        <f>+landbouw!L8</f>
        <v>0</v>
      </c>
      <c r="N22" s="713">
        <f>+landbouw!M8</f>
        <v>0</v>
      </c>
      <c r="O22" s="713">
        <f>+landbouw!N8</f>
        <v>0</v>
      </c>
      <c r="P22" s="713">
        <f>+landbouw!O8</f>
        <v>0</v>
      </c>
      <c r="Q22" s="714">
        <f>+landbouw!P8</f>
        <v>0</v>
      </c>
      <c r="R22" s="715">
        <f>SUM(C22:Q22)</f>
        <v>11920.095651383041</v>
      </c>
      <c r="S22" s="67"/>
    </row>
    <row r="23" spans="1:19" s="459" customFormat="1" ht="17.25" thickTop="1" thickBot="1">
      <c r="A23" s="720" t="s">
        <v>116</v>
      </c>
      <c r="B23" s="852"/>
      <c r="C23" s="721">
        <f ca="1">C20+C15+C22</f>
        <v>91936.836897360801</v>
      </c>
      <c r="D23" s="721">
        <f t="shared" ref="D23:Q23" ca="1" si="2">D20+D15+D22</f>
        <v>0</v>
      </c>
      <c r="E23" s="721">
        <f t="shared" ca="1" si="2"/>
        <v>192053.0946246149</v>
      </c>
      <c r="F23" s="721">
        <f t="shared" si="2"/>
        <v>1939.0742987826829</v>
      </c>
      <c r="G23" s="721">
        <f t="shared" ca="1" si="2"/>
        <v>14470.226305492917</v>
      </c>
      <c r="H23" s="721">
        <f t="shared" si="2"/>
        <v>24196.197349279064</v>
      </c>
      <c r="I23" s="721">
        <f t="shared" si="2"/>
        <v>4258.8451264536343</v>
      </c>
      <c r="J23" s="721">
        <f t="shared" si="2"/>
        <v>0</v>
      </c>
      <c r="K23" s="721">
        <f t="shared" si="2"/>
        <v>59.076002864790844</v>
      </c>
      <c r="L23" s="721">
        <f t="shared" si="2"/>
        <v>0</v>
      </c>
      <c r="M23" s="721">
        <f t="shared" ca="1" si="2"/>
        <v>0</v>
      </c>
      <c r="N23" s="721">
        <f t="shared" si="2"/>
        <v>1286.0804323380098</v>
      </c>
      <c r="O23" s="721">
        <f t="shared" ca="1" si="2"/>
        <v>5645.0780258088171</v>
      </c>
      <c r="P23" s="721">
        <f t="shared" si="2"/>
        <v>104.74333333333334</v>
      </c>
      <c r="Q23" s="722">
        <f t="shared" si="2"/>
        <v>324.13333333333333</v>
      </c>
      <c r="R23" s="723">
        <f ca="1">R20+R15+R22</f>
        <v>336273.38572966232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10158.948810641899</v>
      </c>
      <c r="D36" s="704">
        <f ca="1">tertiair!C20</f>
        <v>0</v>
      </c>
      <c r="E36" s="704">
        <f ca="1">tertiair!D20</f>
        <v>13148.815623356351</v>
      </c>
      <c r="F36" s="704">
        <f>tertiair!E20</f>
        <v>255.12999460202821</v>
      </c>
      <c r="G36" s="704">
        <f ca="1">tertiair!F20</f>
        <v>2771.6475166159257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26334.541945216206</v>
      </c>
    </row>
    <row r="37" spans="1:18">
      <c r="A37" s="873" t="s">
        <v>225</v>
      </c>
      <c r="B37" s="880"/>
      <c r="C37" s="704">
        <f ca="1">huishoudens!B12</f>
        <v>8586.6405995802779</v>
      </c>
      <c r="D37" s="704">
        <f ca="1">huishoudens!C12</f>
        <v>0</v>
      </c>
      <c r="E37" s="704">
        <f>huishoudens!D12</f>
        <v>22962.267459506224</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31548.908059086501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758.21009468937086</v>
      </c>
      <c r="D39" s="704">
        <f ca="1">industrie!C22</f>
        <v>0</v>
      </c>
      <c r="E39" s="704">
        <f>industrie!D22</f>
        <v>637.97672943945565</v>
      </c>
      <c r="F39" s="704">
        <f>industrie!E22</f>
        <v>164.03603618976376</v>
      </c>
      <c r="G39" s="704">
        <f>industrie!F22</f>
        <v>733.28553297749193</v>
      </c>
      <c r="H39" s="704">
        <f>industrie!G22</f>
        <v>0</v>
      </c>
      <c r="I39" s="704">
        <f>industrie!H22</f>
        <v>0</v>
      </c>
      <c r="J39" s="704">
        <f>industrie!I22</f>
        <v>0</v>
      </c>
      <c r="K39" s="704">
        <f>industrie!J22</f>
        <v>0.18823103742776368</v>
      </c>
      <c r="L39" s="704">
        <f>industrie!K22</f>
        <v>0</v>
      </c>
      <c r="M39" s="704">
        <f>industrie!L22</f>
        <v>0</v>
      </c>
      <c r="N39" s="704">
        <f>industrie!M22</f>
        <v>0</v>
      </c>
      <c r="O39" s="704">
        <f>industrie!N22</f>
        <v>0</v>
      </c>
      <c r="P39" s="704">
        <f>industrie!O22</f>
        <v>0</v>
      </c>
      <c r="Q39" s="814">
        <f>industrie!P22</f>
        <v>0</v>
      </c>
      <c r="R39" s="906">
        <f ca="1">SUM(C39:Q39)</f>
        <v>2293.69662433351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19503.799504911549</v>
      </c>
      <c r="D41" s="749">
        <f t="shared" ref="D41:R41" ca="1" si="4">SUM(D35:D40)</f>
        <v>0</v>
      </c>
      <c r="E41" s="749">
        <f t="shared" ca="1" si="4"/>
        <v>36749.059812302032</v>
      </c>
      <c r="F41" s="749">
        <f t="shared" si="4"/>
        <v>419.16603079179197</v>
      </c>
      <c r="G41" s="749">
        <f t="shared" ca="1" si="4"/>
        <v>3504.9330495934178</v>
      </c>
      <c r="H41" s="749">
        <f t="shared" si="4"/>
        <v>0</v>
      </c>
      <c r="I41" s="749">
        <f t="shared" si="4"/>
        <v>0</v>
      </c>
      <c r="J41" s="749">
        <f t="shared" si="4"/>
        <v>0</v>
      </c>
      <c r="K41" s="749">
        <f t="shared" si="4"/>
        <v>0.18823103742776368</v>
      </c>
      <c r="L41" s="749">
        <f t="shared" si="4"/>
        <v>0</v>
      </c>
      <c r="M41" s="749">
        <f t="shared" ca="1" si="4"/>
        <v>0</v>
      </c>
      <c r="N41" s="749">
        <f t="shared" si="4"/>
        <v>0</v>
      </c>
      <c r="O41" s="749">
        <f t="shared" ca="1" si="4"/>
        <v>0</v>
      </c>
      <c r="P41" s="749">
        <f t="shared" si="4"/>
        <v>0</v>
      </c>
      <c r="Q41" s="750">
        <f t="shared" si="4"/>
        <v>0</v>
      </c>
      <c r="R41" s="751">
        <f t="shared" ca="1" si="4"/>
        <v>60177.146628636219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170.86480411462239</v>
      </c>
      <c r="D44" s="704">
        <f ca="1">transport!C58</f>
        <v>0</v>
      </c>
      <c r="E44" s="704">
        <f>transport!D58</f>
        <v>0</v>
      </c>
      <c r="F44" s="704">
        <f>transport!E58</f>
        <v>0</v>
      </c>
      <c r="G44" s="704">
        <f>transport!F58</f>
        <v>0</v>
      </c>
      <c r="H44" s="704">
        <f>transport!G58</f>
        <v>90.213881870905681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261.07868598552807</v>
      </c>
    </row>
    <row r="45" spans="1:18" ht="15" thickBot="1">
      <c r="A45" s="876" t="s">
        <v>307</v>
      </c>
      <c r="B45" s="886"/>
      <c r="C45" s="713">
        <f ca="1">transport!B18</f>
        <v>0.39366273233226856</v>
      </c>
      <c r="D45" s="713">
        <f>transport!C18</f>
        <v>0</v>
      </c>
      <c r="E45" s="713">
        <f>transport!D18</f>
        <v>0.5722462847431089</v>
      </c>
      <c r="F45" s="713">
        <f>transport!E18</f>
        <v>19.890283707105173</v>
      </c>
      <c r="G45" s="713">
        <f>transport!F18</f>
        <v>0</v>
      </c>
      <c r="H45" s="713">
        <f>transport!G18</f>
        <v>6370.1708103866049</v>
      </c>
      <c r="I45" s="713">
        <f>transport!H18</f>
        <v>1060.4524364869549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7451.4794395977406</v>
      </c>
    </row>
    <row r="46" spans="1:18" ht="15.75" thickBot="1">
      <c r="A46" s="874" t="s">
        <v>230</v>
      </c>
      <c r="B46" s="887"/>
      <c r="C46" s="749">
        <f t="shared" ref="C46:R46" ca="1" si="5">SUM(C43:C45)</f>
        <v>171.25846684695466</v>
      </c>
      <c r="D46" s="749">
        <f t="shared" ca="1" si="5"/>
        <v>0</v>
      </c>
      <c r="E46" s="749">
        <f t="shared" si="5"/>
        <v>0.5722462847431089</v>
      </c>
      <c r="F46" s="749">
        <f t="shared" si="5"/>
        <v>19.890283707105173</v>
      </c>
      <c r="G46" s="749">
        <f t="shared" si="5"/>
        <v>0</v>
      </c>
      <c r="H46" s="749">
        <f t="shared" si="5"/>
        <v>6460.3846922575103</v>
      </c>
      <c r="I46" s="749">
        <f t="shared" si="5"/>
        <v>1060.4524364869549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7712.5581255832685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83.664019999240637</v>
      </c>
      <c r="D48" s="704">
        <f ca="1">+landbouw!C12</f>
        <v>0</v>
      </c>
      <c r="E48" s="704">
        <f>+landbouw!D12</f>
        <v>2045.0930555854441</v>
      </c>
      <c r="F48" s="704">
        <f>+landbouw!E12</f>
        <v>1.11355132477189</v>
      </c>
      <c r="G48" s="704">
        <f>+landbouw!F12</f>
        <v>358.61737397319121</v>
      </c>
      <c r="H48" s="704">
        <f>+landbouw!G12</f>
        <v>0</v>
      </c>
      <c r="I48" s="704">
        <f>+landbouw!H12</f>
        <v>0</v>
      </c>
      <c r="J48" s="704">
        <f>+landbouw!I12</f>
        <v>0</v>
      </c>
      <c r="K48" s="704">
        <f>+landbouw!J12</f>
        <v>20.724673976708193</v>
      </c>
      <c r="L48" s="704">
        <f>+landbouw!K12</f>
        <v>0</v>
      </c>
      <c r="M48" s="704">
        <f>+landbouw!L12</f>
        <v>0</v>
      </c>
      <c r="N48" s="704">
        <f>+landbouw!M12</f>
        <v>0</v>
      </c>
      <c r="O48" s="704">
        <f>+landbouw!N12</f>
        <v>0</v>
      </c>
      <c r="P48" s="704">
        <f>+landbouw!O12</f>
        <v>0</v>
      </c>
      <c r="Q48" s="705">
        <f>+landbouw!P12</f>
        <v>0</v>
      </c>
      <c r="R48" s="747">
        <f ca="1">SUM(C48:Q48)</f>
        <v>2509.212674859356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19758.721991757742</v>
      </c>
      <c r="D53" s="759">
        <f t="shared" ref="D53:Q53" ca="1" si="6">D41+D46+D48</f>
        <v>0</v>
      </c>
      <c r="E53" s="759">
        <f t="shared" ca="1" si="6"/>
        <v>38794.725114172215</v>
      </c>
      <c r="F53" s="759">
        <f t="shared" si="6"/>
        <v>440.16986582366906</v>
      </c>
      <c r="G53" s="759">
        <f t="shared" ca="1" si="6"/>
        <v>3863.550423566609</v>
      </c>
      <c r="H53" s="759">
        <f t="shared" si="6"/>
        <v>6460.3846922575103</v>
      </c>
      <c r="I53" s="759">
        <f t="shared" si="6"/>
        <v>1060.4524364869549</v>
      </c>
      <c r="J53" s="759">
        <f t="shared" si="6"/>
        <v>0</v>
      </c>
      <c r="K53" s="759">
        <f t="shared" si="6"/>
        <v>20.912905014135955</v>
      </c>
      <c r="L53" s="759">
        <f t="shared" si="6"/>
        <v>0</v>
      </c>
      <c r="M53" s="759">
        <f t="shared" ca="1" si="6"/>
        <v>0</v>
      </c>
      <c r="N53" s="759">
        <f t="shared" si="6"/>
        <v>0</v>
      </c>
      <c r="O53" s="759">
        <f t="shared" ca="1" si="6"/>
        <v>0</v>
      </c>
      <c r="P53" s="759">
        <f>P41+P46+P48</f>
        <v>0</v>
      </c>
      <c r="Q53" s="760">
        <f t="shared" si="6"/>
        <v>0</v>
      </c>
      <c r="R53" s="761">
        <f ca="1">R41+R46+R48</f>
        <v>70398.917429078851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0.21491626924055018</v>
      </c>
      <c r="D55" s="824">
        <f t="shared" ca="1" si="7"/>
        <v>0</v>
      </c>
      <c r="E55" s="824">
        <f t="shared" ca="1" si="7"/>
        <v>0.20200000000000004</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2530.8550342035687</v>
      </c>
      <c r="C66" s="781">
        <f>'lokale energieproductie'!B6</f>
        <v>2530.8550342035687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2530.8550342035687</v>
      </c>
      <c r="C69" s="789">
        <f>SUM(C64:C68)</f>
        <v>2530.8550342035687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39953.422930348162</v>
      </c>
      <c r="C4" s="463">
        <f>huishoudens!C8</f>
        <v>0</v>
      </c>
      <c r="D4" s="463">
        <f>huishoudens!D8</f>
        <v>113674.59138369416</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101.61666666666667</v>
      </c>
      <c r="P4" s="464">
        <f>huishoudens!P8</f>
        <v>286</v>
      </c>
      <c r="Q4" s="465">
        <f>SUM(B4:P4)</f>
        <v>154015.63098070899</v>
      </c>
    </row>
    <row r="5" spans="1:17">
      <c r="A5" s="462" t="s">
        <v>156</v>
      </c>
      <c r="B5" s="463">
        <f ca="1">tertiair!B16</f>
        <v>45473.541420946422</v>
      </c>
      <c r="C5" s="463">
        <f ca="1">tertiair!C16</f>
        <v>0</v>
      </c>
      <c r="D5" s="463">
        <f ca="1">tertiair!D16</f>
        <v>65093.146650278963</v>
      </c>
      <c r="E5" s="463">
        <f>tertiair!E16</f>
        <v>1123.9206810662035</v>
      </c>
      <c r="F5" s="463">
        <f ca="1">tertiair!F16</f>
        <v>10380.702309422943</v>
      </c>
      <c r="G5" s="463">
        <f>tertiair!G16</f>
        <v>0</v>
      </c>
      <c r="H5" s="463">
        <f>tertiair!H16</f>
        <v>0</v>
      </c>
      <c r="I5" s="463">
        <f>tertiair!I16</f>
        <v>0</v>
      </c>
      <c r="J5" s="463">
        <f>tertiair!J16</f>
        <v>0</v>
      </c>
      <c r="K5" s="463">
        <f>tertiair!K16</f>
        <v>0</v>
      </c>
      <c r="L5" s="463">
        <f ca="1">tertiair!L16</f>
        <v>0</v>
      </c>
      <c r="M5" s="463">
        <f>tertiair!M16</f>
        <v>0</v>
      </c>
      <c r="N5" s="463">
        <f ca="1">tertiair!N16</f>
        <v>4494.7406956918103</v>
      </c>
      <c r="O5" s="463">
        <f>tertiair!O16</f>
        <v>3.1266666666666669</v>
      </c>
      <c r="P5" s="464">
        <f>tertiair!P16</f>
        <v>38.133333333333333</v>
      </c>
      <c r="Q5" s="462">
        <f t="shared" ref="Q5:Q13" ca="1" si="0">SUM(B5:P5)</f>
        <v>126607.31175740634</v>
      </c>
    </row>
    <row r="6" spans="1:17">
      <c r="A6" s="462" t="s">
        <v>194</v>
      </c>
      <c r="B6" s="463">
        <f>'openbare verlichting'!B8</f>
        <v>1795.7921038750501</v>
      </c>
      <c r="C6" s="463"/>
      <c r="D6" s="463"/>
      <c r="E6" s="463"/>
      <c r="F6" s="463"/>
      <c r="G6" s="463"/>
      <c r="H6" s="463"/>
      <c r="I6" s="463"/>
      <c r="J6" s="463"/>
      <c r="K6" s="463"/>
      <c r="L6" s="463"/>
      <c r="M6" s="463"/>
      <c r="N6" s="463"/>
      <c r="O6" s="463"/>
      <c r="P6" s="464"/>
      <c r="Q6" s="462">
        <f t="shared" si="0"/>
        <v>1795.7921038750501</v>
      </c>
    </row>
    <row r="7" spans="1:17">
      <c r="A7" s="462" t="s">
        <v>112</v>
      </c>
      <c r="B7" s="463">
        <f>landbouw!B8</f>
        <v>389.28658260672518</v>
      </c>
      <c r="C7" s="463">
        <f>landbouw!C8</f>
        <v>0</v>
      </c>
      <c r="D7" s="463">
        <f>landbouw!D8</f>
        <v>10124.223047452693</v>
      </c>
      <c r="E7" s="463">
        <f>landbouw!E8</f>
        <v>4.9055124439290303</v>
      </c>
      <c r="F7" s="463">
        <f>landbouw!F8</f>
        <v>1343.1362321093302</v>
      </c>
      <c r="G7" s="463">
        <f>landbouw!G8</f>
        <v>0</v>
      </c>
      <c r="H7" s="463">
        <f>landbouw!H8</f>
        <v>0</v>
      </c>
      <c r="I7" s="463">
        <f>landbouw!I8</f>
        <v>0</v>
      </c>
      <c r="J7" s="463">
        <f>landbouw!J8</f>
        <v>58.544276770362131</v>
      </c>
      <c r="K7" s="463">
        <f>landbouw!K8</f>
        <v>0</v>
      </c>
      <c r="L7" s="463">
        <f>landbouw!L8</f>
        <v>0</v>
      </c>
      <c r="M7" s="463">
        <f>landbouw!M8</f>
        <v>0</v>
      </c>
      <c r="N7" s="463">
        <f>landbouw!N8</f>
        <v>0</v>
      </c>
      <c r="O7" s="463">
        <f>landbouw!O8</f>
        <v>0</v>
      </c>
      <c r="P7" s="464">
        <f>landbouw!P8</f>
        <v>0</v>
      </c>
      <c r="Q7" s="462">
        <f t="shared" si="0"/>
        <v>11920.095651383041</v>
      </c>
    </row>
    <row r="8" spans="1:17">
      <c r="A8" s="462" t="s">
        <v>657</v>
      </c>
      <c r="B8" s="463">
        <f>industrie!B18</f>
        <v>3527.9325170153866</v>
      </c>
      <c r="C8" s="463">
        <f>industrie!C18</f>
        <v>0</v>
      </c>
      <c r="D8" s="463">
        <f>industrie!D18</f>
        <v>3158.300640789384</v>
      </c>
      <c r="E8" s="463">
        <f>industrie!E18</f>
        <v>722.62571008706504</v>
      </c>
      <c r="F8" s="463">
        <f>industrie!F18</f>
        <v>2746.387763960644</v>
      </c>
      <c r="G8" s="463">
        <f>industrie!G18</f>
        <v>0</v>
      </c>
      <c r="H8" s="463">
        <f>industrie!H18</f>
        <v>0</v>
      </c>
      <c r="I8" s="463">
        <f>industrie!I18</f>
        <v>0</v>
      </c>
      <c r="J8" s="463">
        <f>industrie!J18</f>
        <v>0.53172609442871099</v>
      </c>
      <c r="K8" s="463">
        <f>industrie!K18</f>
        <v>0</v>
      </c>
      <c r="L8" s="463">
        <f>industrie!L18</f>
        <v>0</v>
      </c>
      <c r="M8" s="463">
        <f>industrie!M18</f>
        <v>0</v>
      </c>
      <c r="N8" s="463">
        <f>industrie!N18</f>
        <v>1150.3373301170066</v>
      </c>
      <c r="O8" s="463">
        <f>industrie!O18</f>
        <v>0</v>
      </c>
      <c r="P8" s="464">
        <f>industrie!P18</f>
        <v>0</v>
      </c>
      <c r="Q8" s="462">
        <f t="shared" si="0"/>
        <v>11306.115688063916</v>
      </c>
    </row>
    <row r="9" spans="1:17" s="468" customFormat="1">
      <c r="A9" s="466" t="s">
        <v>574</v>
      </c>
      <c r="B9" s="467">
        <f>transport!B14</f>
        <v>1.831702800925006</v>
      </c>
      <c r="C9" s="467"/>
      <c r="D9" s="467">
        <f>transport!D14</f>
        <v>2.8329023997183609</v>
      </c>
      <c r="E9" s="467">
        <f>transport!E14</f>
        <v>87.622395185485345</v>
      </c>
      <c r="F9" s="467"/>
      <c r="G9" s="467">
        <f>transport!G14</f>
        <v>23858.317641897396</v>
      </c>
      <c r="H9" s="467">
        <f>transport!H14</f>
        <v>4258.8451264536343</v>
      </c>
      <c r="I9" s="467"/>
      <c r="J9" s="467"/>
      <c r="K9" s="467"/>
      <c r="L9" s="467"/>
      <c r="M9" s="467">
        <f>transport!M14</f>
        <v>1271.0540953252369</v>
      </c>
      <c r="N9" s="467"/>
      <c r="O9" s="467"/>
      <c r="P9" s="467"/>
      <c r="Q9" s="466">
        <f>SUM(B9:P9)</f>
        <v>29480.503864062397</v>
      </c>
    </row>
    <row r="10" spans="1:17">
      <c r="A10" s="462" t="s">
        <v>564</v>
      </c>
      <c r="B10" s="463">
        <f>transport!B54</f>
        <v>795.02963976811748</v>
      </c>
      <c r="C10" s="463"/>
      <c r="D10" s="463">
        <f>transport!D54</f>
        <v>0</v>
      </c>
      <c r="E10" s="463"/>
      <c r="F10" s="463"/>
      <c r="G10" s="463">
        <f>transport!G54</f>
        <v>337.87970738166922</v>
      </c>
      <c r="H10" s="463"/>
      <c r="I10" s="463"/>
      <c r="J10" s="463"/>
      <c r="K10" s="463"/>
      <c r="L10" s="463"/>
      <c r="M10" s="463">
        <f>transport!M54</f>
        <v>15.026337012773039</v>
      </c>
      <c r="N10" s="463"/>
      <c r="O10" s="463"/>
      <c r="P10" s="464"/>
      <c r="Q10" s="462">
        <f t="shared" si="0"/>
        <v>1147.9356841625597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91936.836897360801</v>
      </c>
      <c r="C14" s="473">
        <f t="shared" ref="C14:Q14" ca="1" si="1">SUM(C4:C13)</f>
        <v>0</v>
      </c>
      <c r="D14" s="473">
        <f t="shared" ca="1" si="1"/>
        <v>192053.0946246149</v>
      </c>
      <c r="E14" s="473">
        <f t="shared" si="1"/>
        <v>1939.0742987826829</v>
      </c>
      <c r="F14" s="473">
        <f t="shared" ca="1" si="1"/>
        <v>14470.226305492917</v>
      </c>
      <c r="G14" s="473">
        <f t="shared" si="1"/>
        <v>24196.197349279064</v>
      </c>
      <c r="H14" s="473">
        <f t="shared" si="1"/>
        <v>4258.8451264536343</v>
      </c>
      <c r="I14" s="473">
        <f t="shared" si="1"/>
        <v>0</v>
      </c>
      <c r="J14" s="473">
        <f t="shared" si="1"/>
        <v>59.076002864790844</v>
      </c>
      <c r="K14" s="473">
        <f t="shared" si="1"/>
        <v>0</v>
      </c>
      <c r="L14" s="473">
        <f t="shared" ca="1" si="1"/>
        <v>0</v>
      </c>
      <c r="M14" s="473">
        <f t="shared" si="1"/>
        <v>1286.0804323380098</v>
      </c>
      <c r="N14" s="473">
        <f t="shared" ca="1" si="1"/>
        <v>5645.0780258088171</v>
      </c>
      <c r="O14" s="473">
        <f t="shared" si="1"/>
        <v>104.74333333333334</v>
      </c>
      <c r="P14" s="474">
        <f t="shared" si="1"/>
        <v>324.13333333333333</v>
      </c>
      <c r="Q14" s="474">
        <f t="shared" ca="1" si="1"/>
        <v>336273.38572966226</v>
      </c>
    </row>
    <row r="16" spans="1:17">
      <c r="A16" s="476" t="s">
        <v>569</v>
      </c>
      <c r="B16" s="829">
        <f ca="1">huishoudens!B10</f>
        <v>0.21491626924055021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8586.6405995802779</v>
      </c>
      <c r="C21" s="463">
        <f t="shared" ref="C21:C28" ca="1" si="3">C4*$C$16</f>
        <v>0</v>
      </c>
      <c r="D21" s="463">
        <f t="shared" ref="D21:D30" si="4">D4*$D$16</f>
        <v>22962.267459506224</v>
      </c>
      <c r="E21" s="463">
        <f t="shared" ref="E21:E30" si="5">E4*$E$16</f>
        <v>0</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31548.908059086501</v>
      </c>
    </row>
    <row r="22" spans="1:17">
      <c r="A22" s="462" t="s">
        <v>156</v>
      </c>
      <c r="B22" s="463">
        <f t="shared" ca="1" si="2"/>
        <v>9773.0038713454342</v>
      </c>
      <c r="C22" s="463">
        <f t="shared" ca="1" si="3"/>
        <v>0</v>
      </c>
      <c r="D22" s="463">
        <f t="shared" ca="1" si="4"/>
        <v>13148.815623356351</v>
      </c>
      <c r="E22" s="463">
        <f t="shared" si="5"/>
        <v>255.12999460202821</v>
      </c>
      <c r="F22" s="463">
        <f t="shared" ca="1" si="6"/>
        <v>2771.6475166159257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25948.597005919739</v>
      </c>
    </row>
    <row r="23" spans="1:17">
      <c r="A23" s="462" t="s">
        <v>194</v>
      </c>
      <c r="B23" s="463">
        <f t="shared" ca="1" si="2"/>
        <v>385.94493929646438</v>
      </c>
      <c r="C23" s="463"/>
      <c r="D23" s="463"/>
      <c r="E23" s="463"/>
      <c r="F23" s="463"/>
      <c r="G23" s="463"/>
      <c r="H23" s="463"/>
      <c r="I23" s="463"/>
      <c r="J23" s="463"/>
      <c r="K23" s="463"/>
      <c r="L23" s="463"/>
      <c r="M23" s="463"/>
      <c r="N23" s="463"/>
      <c r="O23" s="463"/>
      <c r="P23" s="464"/>
      <c r="Q23" s="462">
        <f t="shared" ca="1" si="17"/>
        <v>385.94493929646438</v>
      </c>
    </row>
    <row r="24" spans="1:17">
      <c r="A24" s="462" t="s">
        <v>112</v>
      </c>
      <c r="B24" s="463">
        <f t="shared" ca="1" si="2"/>
        <v>83.664019999240637</v>
      </c>
      <c r="C24" s="463">
        <f t="shared" ca="1" si="3"/>
        <v>0</v>
      </c>
      <c r="D24" s="463">
        <f t="shared" si="4"/>
        <v>2045.0930555854441</v>
      </c>
      <c r="E24" s="463">
        <f t="shared" si="5"/>
        <v>1.11355132477189</v>
      </c>
      <c r="F24" s="463">
        <f t="shared" si="6"/>
        <v>358.61737397319121</v>
      </c>
      <c r="G24" s="463">
        <f t="shared" si="7"/>
        <v>0</v>
      </c>
      <c r="H24" s="463">
        <f t="shared" si="8"/>
        <v>0</v>
      </c>
      <c r="I24" s="463">
        <f t="shared" si="9"/>
        <v>0</v>
      </c>
      <c r="J24" s="463">
        <f t="shared" si="10"/>
        <v>20.724673976708193</v>
      </c>
      <c r="K24" s="463">
        <f t="shared" si="11"/>
        <v>0</v>
      </c>
      <c r="L24" s="463">
        <f t="shared" si="12"/>
        <v>0</v>
      </c>
      <c r="M24" s="463">
        <f t="shared" si="13"/>
        <v>0</v>
      </c>
      <c r="N24" s="463">
        <f t="shared" si="14"/>
        <v>0</v>
      </c>
      <c r="O24" s="463">
        <f t="shared" si="15"/>
        <v>0</v>
      </c>
      <c r="P24" s="464">
        <f t="shared" si="16"/>
        <v>0</v>
      </c>
      <c r="Q24" s="462">
        <f t="shared" ca="1" si="17"/>
        <v>2509.212674859356</v>
      </c>
    </row>
    <row r="25" spans="1:17">
      <c r="A25" s="462" t="s">
        <v>657</v>
      </c>
      <c r="B25" s="463">
        <f t="shared" ca="1" si="2"/>
        <v>758.21009468937086</v>
      </c>
      <c r="C25" s="463">
        <f t="shared" ca="1" si="3"/>
        <v>0</v>
      </c>
      <c r="D25" s="463">
        <f t="shared" si="4"/>
        <v>637.97672943945565</v>
      </c>
      <c r="E25" s="463">
        <f t="shared" si="5"/>
        <v>164.03603618976376</v>
      </c>
      <c r="F25" s="463">
        <f t="shared" si="6"/>
        <v>733.28553297749193</v>
      </c>
      <c r="G25" s="463">
        <f t="shared" si="7"/>
        <v>0</v>
      </c>
      <c r="H25" s="463">
        <f t="shared" si="8"/>
        <v>0</v>
      </c>
      <c r="I25" s="463">
        <f t="shared" si="9"/>
        <v>0</v>
      </c>
      <c r="J25" s="463">
        <f t="shared" si="10"/>
        <v>0.18823103742776368</v>
      </c>
      <c r="K25" s="463">
        <f t="shared" si="11"/>
        <v>0</v>
      </c>
      <c r="L25" s="463">
        <f t="shared" si="12"/>
        <v>0</v>
      </c>
      <c r="M25" s="463">
        <f t="shared" si="13"/>
        <v>0</v>
      </c>
      <c r="N25" s="463">
        <f t="shared" si="14"/>
        <v>0</v>
      </c>
      <c r="O25" s="463">
        <f t="shared" si="15"/>
        <v>0</v>
      </c>
      <c r="P25" s="464">
        <f t="shared" si="16"/>
        <v>0</v>
      </c>
      <c r="Q25" s="462">
        <f t="shared" ca="1" si="17"/>
        <v>2293.69662433351</v>
      </c>
    </row>
    <row r="26" spans="1:17" s="468" customFormat="1">
      <c r="A26" s="466" t="s">
        <v>574</v>
      </c>
      <c r="B26" s="823">
        <f t="shared" ca="1" si="2"/>
        <v>0.39366273233226856</v>
      </c>
      <c r="C26" s="467"/>
      <c r="D26" s="467">
        <f t="shared" si="4"/>
        <v>0.5722462847431089</v>
      </c>
      <c r="E26" s="467">
        <f t="shared" si="5"/>
        <v>19.890283707105173</v>
      </c>
      <c r="F26" s="467"/>
      <c r="G26" s="467">
        <f t="shared" si="7"/>
        <v>6370.1708103866049</v>
      </c>
      <c r="H26" s="467">
        <f t="shared" si="8"/>
        <v>1060.4524364869549</v>
      </c>
      <c r="I26" s="467"/>
      <c r="J26" s="467"/>
      <c r="K26" s="467"/>
      <c r="L26" s="467"/>
      <c r="M26" s="467">
        <f t="shared" si="13"/>
        <v>0</v>
      </c>
      <c r="N26" s="467"/>
      <c r="O26" s="467"/>
      <c r="P26" s="478"/>
      <c r="Q26" s="466">
        <f t="shared" ca="1" si="17"/>
        <v>7451.4794395977406</v>
      </c>
    </row>
    <row r="27" spans="1:17">
      <c r="A27" s="462" t="s">
        <v>564</v>
      </c>
      <c r="B27" s="463">
        <f t="shared" ca="1" si="2"/>
        <v>170.86480411462239</v>
      </c>
      <c r="C27" s="463"/>
      <c r="D27" s="467">
        <f t="shared" si="4"/>
        <v>0</v>
      </c>
      <c r="E27" s="463"/>
      <c r="F27" s="463"/>
      <c r="G27" s="463">
        <f t="shared" si="7"/>
        <v>90.213881870905681</v>
      </c>
      <c r="H27" s="463"/>
      <c r="I27" s="463"/>
      <c r="J27" s="463"/>
      <c r="K27" s="463"/>
      <c r="L27" s="463"/>
      <c r="M27" s="463">
        <f t="shared" si="13"/>
        <v>0</v>
      </c>
      <c r="N27" s="463"/>
      <c r="O27" s="463"/>
      <c r="P27" s="464"/>
      <c r="Q27" s="462">
        <f t="shared" ca="1" si="17"/>
        <v>261.07868598552807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19758.721991757739</v>
      </c>
      <c r="C31" s="473">
        <f t="shared" ca="1" si="18"/>
        <v>0</v>
      </c>
      <c r="D31" s="473">
        <f t="shared" ca="1" si="18"/>
        <v>38794.725114172215</v>
      </c>
      <c r="E31" s="473">
        <f t="shared" si="18"/>
        <v>440.16986582366906</v>
      </c>
      <c r="F31" s="473">
        <f t="shared" ca="1" si="18"/>
        <v>3863.550423566609</v>
      </c>
      <c r="G31" s="473">
        <f t="shared" si="18"/>
        <v>6460.3846922575103</v>
      </c>
      <c r="H31" s="473">
        <f t="shared" si="18"/>
        <v>1060.4524364869549</v>
      </c>
      <c r="I31" s="473">
        <f t="shared" si="18"/>
        <v>0</v>
      </c>
      <c r="J31" s="473">
        <f t="shared" si="18"/>
        <v>20.912905014135955</v>
      </c>
      <c r="K31" s="473">
        <f t="shared" si="18"/>
        <v>0</v>
      </c>
      <c r="L31" s="473">
        <f t="shared" ca="1" si="18"/>
        <v>0</v>
      </c>
      <c r="M31" s="473">
        <f t="shared" si="18"/>
        <v>0</v>
      </c>
      <c r="N31" s="473">
        <f t="shared" ca="1" si="18"/>
        <v>0</v>
      </c>
      <c r="O31" s="473">
        <f t="shared" si="18"/>
        <v>0</v>
      </c>
      <c r="P31" s="474">
        <f t="shared" si="18"/>
        <v>0</v>
      </c>
      <c r="Q31" s="474">
        <f t="shared" ca="1" si="18"/>
        <v>70398.917429078851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0.21491626924055021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0.21491626924055021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0.21491626924055021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2019-01-02T18:03:39Z</dcterms:modified>
</cp:coreProperties>
</file>